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hgac-my.sharepoint.com/personal/lingala_h-gac_com/Documents/RGM Benefits templates/Emissions Reduction Calculator/"/>
    </mc:Choice>
  </mc:AlternateContent>
  <xr:revisionPtr revIDLastSave="123" documentId="8_{D417835A-E6DF-4C61-B6C3-84A4F2DF986B}" xr6:coauthVersionLast="47" xr6:coauthVersionMax="47" xr10:uidLastSave="{CBA73DB3-3B16-4555-8E83-0453C12D5DF8}"/>
  <bookViews>
    <workbookView xWindow="-96" yWindow="-96" windowWidth="23232" windowHeight="12552" tabRatio="907" firstSheet="2" activeTab="4" xr2:uid="{00000000-000D-0000-FFFF-FFFF00000000}"/>
  </bookViews>
  <sheets>
    <sheet name="ITS Delay Worksheet" sheetId="7" state="hidden" r:id="rId1"/>
    <sheet name="Emissions Reduction Worksheet" sheetId="5" state="hidden" r:id="rId2"/>
    <sheet name="Instructions" sheetId="18"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 name="Growth Rates" sheetId="19" r:id="rId11"/>
  </sheets>
  <externalReferences>
    <externalReference r:id="rId12"/>
    <externalReference r:id="rId13"/>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Outputs'!$F$11</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#REF!</definedName>
    <definedName name="Application_ID_Number">'Inputs &amp; Outputs'!$C$6</definedName>
    <definedName name="Base_Year">#REF!</definedName>
    <definedName name="Discount_Rate">Calculations!#REF!</definedName>
    <definedName name="Name">'Inputs &amp; Outputs'!$C$5</definedName>
    <definedName name="_xlnm.Print_Area" localSheetId="5">'Assumed Values'!$B$2:$C$14</definedName>
    <definedName name="_xlnm.Print_Area" localSheetId="4">Calculations!#REF!</definedName>
    <definedName name="_xlnm.Print_Area" localSheetId="1">'Emissions Reduction Worksheet'!$A$3:$K$33</definedName>
    <definedName name="_xlnm.Print_Area" localSheetId="3">'Inputs &amp; Outputs'!$B$2:$F$24</definedName>
    <definedName name="_xlnm.Print_Area" localSheetId="2">Instructions!$A$1:$G$12</definedName>
    <definedName name="_xlnm.Print_Area" localSheetId="0">'ITS Delay Worksheet'!$A$3:$J$33</definedName>
    <definedName name="Real_wage_growth_rate">#REF!</definedName>
    <definedName name="Service_Life">'[1]Inputs &amp; Outputs'!$C$19</definedName>
    <definedName name="Sponsor_ID_Number__CSJ__etc.">'Inputs &amp; Outputs'!$C$7</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Outputs'!$C$12</definedName>
    <definedName name="Years_to_include_in_BCA_Analysi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3" l="1"/>
  <c r="C5" i="13"/>
  <c r="C16" i="19"/>
  <c r="I5" i="13" l="1"/>
  <c r="G6" i="13"/>
  <c r="C6" i="2" l="1"/>
  <c r="C5" i="2"/>
  <c r="D19" i="2" l="1"/>
  <c r="D18" i="2"/>
  <c r="C7" i="2" l="1"/>
  <c r="C8" i="2" s="1"/>
  <c r="C15" i="11" s="1"/>
  <c r="G34" i="13" l="1"/>
  <c r="G11" i="13"/>
  <c r="G13" i="13"/>
  <c r="G14" i="13"/>
  <c r="G9" i="13"/>
  <c r="G10" i="13"/>
  <c r="G12" i="13"/>
  <c r="G18" i="13"/>
  <c r="G19" i="13"/>
  <c r="G27" i="13"/>
  <c r="G20" i="13"/>
  <c r="G28" i="13"/>
  <c r="G5" i="13"/>
  <c r="I6" i="13" s="1"/>
  <c r="G21" i="13"/>
  <c r="G29" i="13"/>
  <c r="G22" i="13"/>
  <c r="G30" i="13"/>
  <c r="G7" i="13"/>
  <c r="G15" i="13"/>
  <c r="G23" i="13"/>
  <c r="G31" i="13"/>
  <c r="G8" i="13"/>
  <c r="G16" i="13"/>
  <c r="G24" i="13"/>
  <c r="G32" i="13"/>
  <c r="G17" i="13"/>
  <c r="G25" i="13"/>
  <c r="G33" i="13"/>
  <c r="G26" i="13"/>
  <c r="I7" i="13" l="1"/>
  <c r="I8" i="13" s="1"/>
  <c r="I9" i="13" s="1"/>
  <c r="I10" i="13" s="1"/>
  <c r="I11" i="13" s="1"/>
  <c r="I12" i="13" s="1"/>
  <c r="I13" i="13" s="1"/>
  <c r="I14" i="13" s="1"/>
  <c r="I15" i="13" s="1"/>
  <c r="I16" i="13" s="1"/>
  <c r="I17" i="13" s="1"/>
  <c r="I18" i="13" s="1"/>
  <c r="I19" i="13" s="1"/>
  <c r="I20" i="13" s="1"/>
  <c r="I21" i="13" s="1"/>
  <c r="I22" i="13" s="1"/>
  <c r="I23" i="13" s="1"/>
  <c r="I24" i="13" s="1"/>
  <c r="I25" i="13" s="1"/>
  <c r="I26" i="13" s="1"/>
  <c r="I27" i="13" s="1"/>
  <c r="I28" i="13" s="1"/>
  <c r="I29" i="13" s="1"/>
  <c r="I30" i="13" s="1"/>
  <c r="I31" i="13" s="1"/>
  <c r="I32" i="13" s="1"/>
  <c r="I33" i="13" s="1"/>
  <c r="I34" i="13" s="1"/>
  <c r="H5" i="13"/>
  <c r="F6" i="13"/>
  <c r="H6" i="13" l="1"/>
  <c r="F7" i="13"/>
  <c r="H7" i="13" l="1"/>
  <c r="F8" i="13"/>
  <c r="H8" i="13" s="1"/>
  <c r="F9" i="13" l="1"/>
  <c r="H9" i="13" l="1"/>
  <c r="F10" i="13"/>
  <c r="H10" i="13" l="1"/>
  <c r="F11" i="13"/>
  <c r="H11" i="13" l="1"/>
  <c r="F12" i="13"/>
  <c r="H12" i="13" l="1"/>
  <c r="F13" i="13"/>
  <c r="H13" i="13" l="1"/>
  <c r="F14" i="13"/>
  <c r="H14" i="13" l="1"/>
  <c r="F15" i="13"/>
  <c r="H15" i="13" l="1"/>
  <c r="F16" i="13"/>
  <c r="H16" i="13" l="1"/>
  <c r="F17" i="13"/>
  <c r="B18" i="5"/>
  <c r="E17" i="5" s="1"/>
  <c r="G4" i="7"/>
  <c r="H4" i="7" s="1"/>
  <c r="G4" i="5"/>
  <c r="G5" i="5" s="1"/>
  <c r="G6" i="5" s="1"/>
  <c r="G7" i="5" s="1"/>
  <c r="G8" i="5" s="1"/>
  <c r="G9" i="5" s="1"/>
  <c r="G10" i="5" s="1"/>
  <c r="G11" i="5" s="1"/>
  <c r="G12" i="5" s="1"/>
  <c r="G13" i="5" s="1"/>
  <c r="G14" i="5" s="1"/>
  <c r="B18" i="7"/>
  <c r="B17" i="7"/>
  <c r="B16" i="7"/>
  <c r="E17" i="7"/>
  <c r="G5" i="7" l="1"/>
  <c r="H5" i="7" s="1"/>
  <c r="H17" i="13"/>
  <c r="I4" i="7"/>
  <c r="B19" i="5"/>
  <c r="E18" i="5" s="1"/>
  <c r="J4" i="5" s="1"/>
  <c r="F18" i="13"/>
  <c r="J14" i="5"/>
  <c r="H14" i="5"/>
  <c r="G15" i="5"/>
  <c r="H10" i="5"/>
  <c r="G6" i="7"/>
  <c r="I5" i="7"/>
  <c r="H6" i="5"/>
  <c r="H11" i="5"/>
  <c r="H12" i="5"/>
  <c r="H4" i="5"/>
  <c r="H13" i="5"/>
  <c r="H5" i="5"/>
  <c r="H7" i="5"/>
  <c r="H8" i="5"/>
  <c r="H9" i="5"/>
  <c r="H18" i="13" l="1"/>
  <c r="J9" i="5"/>
  <c r="J10" i="5"/>
  <c r="J6" i="5"/>
  <c r="J13" i="5"/>
  <c r="J11" i="5"/>
  <c r="J7" i="5"/>
  <c r="J5" i="5"/>
  <c r="J12" i="5"/>
  <c r="J8" i="5"/>
  <c r="F19" i="13"/>
  <c r="B20" i="5"/>
  <c r="I9" i="5" s="1"/>
  <c r="B21" i="5"/>
  <c r="K4" i="5" s="1"/>
  <c r="H6" i="7"/>
  <c r="I6" i="7"/>
  <c r="G7" i="7"/>
  <c r="H15" i="5"/>
  <c r="G16" i="5"/>
  <c r="J15" i="5"/>
  <c r="B19" i="7"/>
  <c r="H19" i="13" l="1"/>
  <c r="I7" i="5"/>
  <c r="F20" i="13"/>
  <c r="I4" i="5"/>
  <c r="I10" i="5"/>
  <c r="I8" i="5"/>
  <c r="K5" i="5"/>
  <c r="I13" i="5"/>
  <c r="K12" i="5"/>
  <c r="I11" i="5"/>
  <c r="K13" i="5"/>
  <c r="I6" i="5"/>
  <c r="I5" i="5"/>
  <c r="K9" i="5"/>
  <c r="I14" i="5"/>
  <c r="K8" i="5"/>
  <c r="K6" i="5"/>
  <c r="K15" i="5"/>
  <c r="I12" i="5"/>
  <c r="K10" i="5"/>
  <c r="K7" i="5"/>
  <c r="K11" i="5"/>
  <c r="K14" i="5"/>
  <c r="H16" i="5"/>
  <c r="I16" i="5" s="1"/>
  <c r="J16" i="5"/>
  <c r="K16" i="5" s="1"/>
  <c r="G17" i="5"/>
  <c r="I15" i="5"/>
  <c r="G8" i="7"/>
  <c r="H7" i="7"/>
  <c r="I7" i="7"/>
  <c r="J7" i="7" s="1"/>
  <c r="J6" i="7"/>
  <c r="J5" i="7"/>
  <c r="J4" i="7"/>
  <c r="H20" i="13" l="1"/>
  <c r="F21" i="13"/>
  <c r="H8" i="7"/>
  <c r="I8" i="7" s="1"/>
  <c r="J8" i="7" s="1"/>
  <c r="G9" i="7"/>
  <c r="G18" i="5"/>
  <c r="H17" i="5"/>
  <c r="J17" i="5"/>
  <c r="K17" i="5" s="1"/>
  <c r="B11" i="7"/>
  <c r="B12" i="7" s="1"/>
  <c r="H21" i="13" l="1"/>
  <c r="F22" i="13"/>
  <c r="I17" i="5"/>
  <c r="G10" i="7"/>
  <c r="H9" i="7"/>
  <c r="I9" i="7" s="1"/>
  <c r="J9" i="7" s="1"/>
  <c r="G19" i="5"/>
  <c r="H18" i="5"/>
  <c r="I18" i="5" s="1"/>
  <c r="J18" i="5"/>
  <c r="K18" i="5" s="1"/>
  <c r="H22" i="13" l="1"/>
  <c r="F23" i="13"/>
  <c r="J19" i="5"/>
  <c r="K19" i="5" s="1"/>
  <c r="G20" i="5"/>
  <c r="H19" i="5"/>
  <c r="I19" i="5" s="1"/>
  <c r="G11" i="7"/>
  <c r="H10" i="7"/>
  <c r="I10" i="7" s="1"/>
  <c r="J10" i="7" s="1"/>
  <c r="H23" i="13" l="1"/>
  <c r="F24" i="13"/>
  <c r="H11" i="7"/>
  <c r="I11" i="7"/>
  <c r="J11" i="7" s="1"/>
  <c r="G12" i="7"/>
  <c r="J20" i="5"/>
  <c r="K20" i="5" s="1"/>
  <c r="G21" i="5"/>
  <c r="H20" i="5"/>
  <c r="H24" i="13" l="1"/>
  <c r="F25" i="13"/>
  <c r="I20" i="5"/>
  <c r="G13" i="7"/>
  <c r="H12" i="7"/>
  <c r="I12" i="7" s="1"/>
  <c r="J12" i="7" s="1"/>
  <c r="J21" i="5"/>
  <c r="K21" i="5" s="1"/>
  <c r="H21" i="5"/>
  <c r="I21" i="5" s="1"/>
  <c r="G22" i="5"/>
  <c r="H25" i="13" l="1"/>
  <c r="F26" i="13"/>
  <c r="H13" i="7"/>
  <c r="I13" i="7" s="1"/>
  <c r="J13" i="7" s="1"/>
  <c r="G14" i="7"/>
  <c r="J22" i="5"/>
  <c r="K22" i="5" s="1"/>
  <c r="G23" i="5"/>
  <c r="H22" i="5"/>
  <c r="I22" i="5" s="1"/>
  <c r="H26" i="13" l="1"/>
  <c r="F27" i="13"/>
  <c r="H23" i="5"/>
  <c r="I23" i="5" s="1"/>
  <c r="J23" i="5"/>
  <c r="K23" i="5" s="1"/>
  <c r="G24" i="5"/>
  <c r="H14" i="7"/>
  <c r="I14" i="7" s="1"/>
  <c r="J14" i="7" s="1"/>
  <c r="G15" i="7"/>
  <c r="H27" i="13" l="1"/>
  <c r="F28" i="13"/>
  <c r="G16" i="7"/>
  <c r="H15" i="7"/>
  <c r="I15" i="7" s="1"/>
  <c r="J15" i="7" s="1"/>
  <c r="H24" i="5"/>
  <c r="I24" i="5" s="1"/>
  <c r="J24" i="5"/>
  <c r="K24" i="5" s="1"/>
  <c r="G25" i="5"/>
  <c r="H28" i="13" l="1"/>
  <c r="B11" i="5"/>
  <c r="B12" i="5" s="1"/>
  <c r="F29" i="13"/>
  <c r="G26" i="5"/>
  <c r="H25" i="5"/>
  <c r="I25" i="5" s="1"/>
  <c r="J25" i="5"/>
  <c r="K25" i="5" s="1"/>
  <c r="H16" i="7"/>
  <c r="I16" i="7"/>
  <c r="J16" i="7" s="1"/>
  <c r="G17" i="7"/>
  <c r="H29" i="13" l="1"/>
  <c r="F30" i="13"/>
  <c r="H17" i="7"/>
  <c r="I17" i="7" s="1"/>
  <c r="J17" i="7" s="1"/>
  <c r="G18" i="7"/>
  <c r="G27" i="5"/>
  <c r="H26" i="5"/>
  <c r="I26" i="5" s="1"/>
  <c r="J26" i="5"/>
  <c r="K26" i="5" s="1"/>
  <c r="H30" i="13" l="1"/>
  <c r="F31" i="13"/>
  <c r="J27" i="5"/>
  <c r="K27" i="5" s="1"/>
  <c r="G28" i="5"/>
  <c r="H27" i="5"/>
  <c r="I27" i="5" s="1"/>
  <c r="G19" i="7"/>
  <c r="H18" i="7"/>
  <c r="I18" i="7" s="1"/>
  <c r="J18" i="7" s="1"/>
  <c r="H31" i="13" l="1"/>
  <c r="F32" i="13"/>
  <c r="G29" i="5"/>
  <c r="H28" i="5"/>
  <c r="I28" i="5" s="1"/>
  <c r="J28" i="5"/>
  <c r="K28" i="5" s="1"/>
  <c r="H19" i="7"/>
  <c r="I19" i="7" s="1"/>
  <c r="J19" i="7" s="1"/>
  <c r="G20" i="7"/>
  <c r="H32" i="13" l="1"/>
  <c r="F33" i="13"/>
  <c r="G21" i="7"/>
  <c r="H20" i="7"/>
  <c r="I20" i="7" s="1"/>
  <c r="J20" i="7" s="1"/>
  <c r="J29" i="5"/>
  <c r="K29" i="5" s="1"/>
  <c r="H29" i="5"/>
  <c r="H33" i="13" l="1"/>
  <c r="F34" i="13"/>
  <c r="I29" i="5"/>
  <c r="B13" i="5"/>
  <c r="H21" i="7"/>
  <c r="I21" i="7" s="1"/>
  <c r="J21" i="7" s="1"/>
  <c r="G22" i="7"/>
  <c r="H34" i="13" l="1"/>
  <c r="H22" i="7"/>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N5" i="13" l="1"/>
  <c r="O5" i="13" s="1"/>
  <c r="J7" i="13"/>
  <c r="K7" i="13" s="1"/>
  <c r="N6" i="13"/>
  <c r="O6" i="13" s="1"/>
  <c r="J5" i="13"/>
  <c r="K5" i="13" s="1"/>
  <c r="L5" i="13" s="1"/>
  <c r="J6" i="13"/>
  <c r="K6" i="13" s="1"/>
  <c r="N7" i="13"/>
  <c r="O7" i="13" s="1"/>
  <c r="P6" i="13" l="1"/>
  <c r="Q6" i="13" s="1"/>
  <c r="L6" i="13"/>
  <c r="M6" i="13" s="1"/>
  <c r="M5" i="13"/>
  <c r="P7" i="13"/>
  <c r="Q7" i="13" s="1"/>
  <c r="L7" i="13"/>
  <c r="M7" i="13" s="1"/>
  <c r="P5" i="13"/>
  <c r="N8" i="13" l="1"/>
  <c r="O8" i="13" s="1"/>
  <c r="J8" i="13"/>
  <c r="K8" i="13" s="1"/>
  <c r="Q5" i="13"/>
  <c r="J9" i="13" l="1"/>
  <c r="K9" i="13" s="1"/>
  <c r="C19" i="11"/>
  <c r="C11" i="13" s="1"/>
  <c r="N9" i="13"/>
  <c r="O9" i="13" s="1"/>
  <c r="L8" i="13"/>
  <c r="P8" i="13"/>
  <c r="M8" i="13" l="1"/>
  <c r="C17" i="13"/>
  <c r="C15" i="13"/>
  <c r="Q8" i="13"/>
  <c r="J10" i="13"/>
  <c r="K10" i="13" s="1"/>
  <c r="N10" i="13"/>
  <c r="O10" i="13" s="1"/>
  <c r="P9" i="13"/>
  <c r="Q9" i="13" s="1"/>
  <c r="L9" i="13"/>
  <c r="M9" i="13" s="1"/>
  <c r="P10" i="13" l="1"/>
  <c r="Q10" i="13" s="1"/>
  <c r="L10" i="13"/>
  <c r="M10" i="13" s="1"/>
  <c r="N11" i="13"/>
  <c r="O11" i="13" s="1"/>
  <c r="J11" i="13"/>
  <c r="K11" i="13" s="1"/>
  <c r="L11" i="13" l="1"/>
  <c r="P11" i="13"/>
  <c r="Q11" i="13" s="1"/>
  <c r="J12" i="13"/>
  <c r="K12" i="13" s="1"/>
  <c r="N12" i="13"/>
  <c r="O12" i="13" s="1"/>
  <c r="N13" i="13" l="1"/>
  <c r="O13" i="13" s="1"/>
  <c r="J13" i="13"/>
  <c r="K13" i="13" s="1"/>
  <c r="M11" i="13"/>
  <c r="L12" i="13"/>
  <c r="M12" i="13" s="1"/>
  <c r="P12" i="13"/>
  <c r="Q12" i="13" s="1"/>
  <c r="J14" i="13" l="1"/>
  <c r="K14" i="13" s="1"/>
  <c r="N14" i="13"/>
  <c r="O14" i="13" s="1"/>
  <c r="P13" i="13"/>
  <c r="Q13" i="13" s="1"/>
  <c r="L13" i="13"/>
  <c r="M13" i="13" s="1"/>
  <c r="N15" i="13" l="1"/>
  <c r="O15" i="13" s="1"/>
  <c r="J15" i="13"/>
  <c r="K15" i="13" s="1"/>
  <c r="L14" i="13"/>
  <c r="M14" i="13" s="1"/>
  <c r="P14" i="13"/>
  <c r="Q14" i="13" s="1"/>
  <c r="J16" i="13" l="1"/>
  <c r="K16" i="13" s="1"/>
  <c r="N16" i="13"/>
  <c r="O16" i="13" s="1"/>
  <c r="L15" i="13"/>
  <c r="M15" i="13" s="1"/>
  <c r="P15" i="13"/>
  <c r="Q15" i="13" s="1"/>
  <c r="J17" i="13" l="1"/>
  <c r="K17" i="13" s="1"/>
  <c r="N17" i="13"/>
  <c r="O17" i="13" s="1"/>
  <c r="L16" i="13"/>
  <c r="M16" i="13" s="1"/>
  <c r="P16" i="13"/>
  <c r="Q16" i="13" s="1"/>
  <c r="L17" i="13" l="1"/>
  <c r="M17" i="13" s="1"/>
  <c r="P17" i="13"/>
  <c r="Q17" i="13" s="1"/>
  <c r="N18" i="13"/>
  <c r="O18" i="13" s="1"/>
  <c r="J18" i="13"/>
  <c r="K18" i="13" s="1"/>
  <c r="P18" i="13" l="1"/>
  <c r="Q18" i="13" s="1"/>
  <c r="L18" i="13"/>
  <c r="M18" i="13" s="1"/>
  <c r="N19" i="13"/>
  <c r="O19" i="13" s="1"/>
  <c r="J19" i="13"/>
  <c r="K19" i="13" s="1"/>
  <c r="L19" i="13" l="1"/>
  <c r="M19" i="13" s="1"/>
  <c r="P19" i="13"/>
  <c r="Q19" i="13" s="1"/>
  <c r="N20" i="13"/>
  <c r="O20" i="13" s="1"/>
  <c r="J20" i="13"/>
  <c r="K20" i="13" s="1"/>
  <c r="N21" i="13" l="1"/>
  <c r="O21" i="13" s="1"/>
  <c r="J21" i="13"/>
  <c r="K21" i="13" s="1"/>
  <c r="L20" i="13"/>
  <c r="M20" i="13" s="1"/>
  <c r="P20" i="13"/>
  <c r="Q20" i="13" s="1"/>
  <c r="L21" i="13" l="1"/>
  <c r="M21" i="13" s="1"/>
  <c r="P21" i="13"/>
  <c r="Q21" i="13" s="1"/>
  <c r="N22" i="13"/>
  <c r="O22" i="13" s="1"/>
  <c r="J22" i="13"/>
  <c r="K22" i="13" s="1"/>
  <c r="P22" i="13" l="1"/>
  <c r="Q22" i="13" s="1"/>
  <c r="L22" i="13"/>
  <c r="M22" i="13" s="1"/>
  <c r="J23" i="13"/>
  <c r="K23" i="13" s="1"/>
  <c r="N23" i="13"/>
  <c r="O23" i="13" s="1"/>
  <c r="N24" i="13" l="1"/>
  <c r="O24" i="13" s="1"/>
  <c r="J24" i="13"/>
  <c r="K24" i="13" s="1"/>
  <c r="L23" i="13"/>
  <c r="M23" i="13" s="1"/>
  <c r="P23" i="13"/>
  <c r="Q23" i="13" s="1"/>
  <c r="L24" i="13" l="1"/>
  <c r="M24" i="13" s="1"/>
  <c r="P24" i="13"/>
  <c r="Q24" i="13" s="1"/>
  <c r="N25" i="13"/>
  <c r="O25" i="13" s="1"/>
  <c r="J25" i="13"/>
  <c r="K25" i="13" s="1"/>
  <c r="L25" i="13" l="1"/>
  <c r="M25" i="13" s="1"/>
  <c r="P25" i="13"/>
  <c r="Q25" i="13" s="1"/>
  <c r="N26" i="13"/>
  <c r="O26" i="13" s="1"/>
  <c r="J26" i="13"/>
  <c r="K26" i="13" s="1"/>
  <c r="P26" i="13" l="1"/>
  <c r="Q26" i="13" s="1"/>
  <c r="L26" i="13"/>
  <c r="M26" i="13" s="1"/>
  <c r="J27" i="13"/>
  <c r="K27" i="13" s="1"/>
  <c r="N27" i="13"/>
  <c r="O27" i="13" s="1"/>
  <c r="J28" i="13" l="1"/>
  <c r="K28" i="13" s="1"/>
  <c r="N28" i="13"/>
  <c r="O28" i="13" s="1"/>
  <c r="L27" i="13"/>
  <c r="M27" i="13" s="1"/>
  <c r="P27" i="13"/>
  <c r="Q27" i="13" s="1"/>
  <c r="P28" i="13" l="1"/>
  <c r="Q28" i="13" s="1"/>
  <c r="L28" i="13"/>
  <c r="M28" i="13" s="1"/>
  <c r="N29" i="13"/>
  <c r="O29" i="13" s="1"/>
  <c r="J29" i="13"/>
  <c r="K29" i="13" s="1"/>
  <c r="P29" i="13" l="1"/>
  <c r="Q29" i="13" s="1"/>
  <c r="L29" i="13"/>
  <c r="M29" i="13" s="1"/>
  <c r="J30" i="13"/>
  <c r="K30" i="13" s="1"/>
  <c r="N30" i="13"/>
  <c r="O30" i="13" s="1"/>
  <c r="N31" i="13" l="1"/>
  <c r="O31" i="13" s="1"/>
  <c r="J31" i="13"/>
  <c r="K31" i="13" s="1"/>
  <c r="P30" i="13"/>
  <c r="Q30" i="13" s="1"/>
  <c r="L30" i="13"/>
  <c r="M30" i="13" s="1"/>
  <c r="L31" i="13" l="1"/>
  <c r="M31" i="13" s="1"/>
  <c r="P31" i="13"/>
  <c r="Q31" i="13" s="1"/>
  <c r="J32" i="13"/>
  <c r="K32" i="13" s="1"/>
  <c r="N32" i="13"/>
  <c r="O32" i="13" s="1"/>
  <c r="L32" i="13" l="1"/>
  <c r="M32" i="13" s="1"/>
  <c r="P32" i="13"/>
  <c r="Q32" i="13" s="1"/>
  <c r="N33" i="13"/>
  <c r="O33" i="13" s="1"/>
  <c r="J33" i="13"/>
  <c r="K33" i="13" s="1"/>
  <c r="N34" i="13" l="1"/>
  <c r="O34" i="13" s="1"/>
  <c r="O35" i="13" s="1"/>
  <c r="C34" i="11" s="1"/>
  <c r="J34" i="13"/>
  <c r="K34" i="13" s="1"/>
  <c r="P33" i="13"/>
  <c r="Q33" i="13" s="1"/>
  <c r="L33" i="13"/>
  <c r="M33" i="13" s="1"/>
  <c r="L34" i="13" l="1"/>
  <c r="P34" i="13"/>
  <c r="K35" i="13"/>
  <c r="C33" i="11" s="1"/>
  <c r="Q34" i="13" l="1"/>
  <c r="Q35" i="13" s="1"/>
  <c r="C27" i="11" s="1"/>
  <c r="P35" i="13"/>
  <c r="M34" i="13"/>
  <c r="M35" i="13" s="1"/>
  <c r="C26" i="11" s="1"/>
  <c r="L35" i="13"/>
  <c r="C30" i="11" l="1"/>
</calcChain>
</file>

<file path=xl/sharedStrings.xml><?xml version="1.0" encoding="utf-8"?>
<sst xmlns="http://schemas.openxmlformats.org/spreadsheetml/2006/main" count="240" uniqueCount="148">
  <si>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</si>
  <si>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</si>
  <si>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</si>
  <si>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</si>
  <si>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</si>
  <si>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</si>
  <si>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</si>
  <si>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</si>
  <si>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</si>
  <si>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</si>
  <si>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</si>
  <si>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</si>
  <si>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</si>
  <si>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</si>
  <si>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</si>
  <si>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</si>
  <si>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</si>
  <si>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</si>
  <si>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</si>
  <si>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</si>
  <si>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</si>
  <si>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</si>
  <si>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</si>
  <si>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</si>
  <si>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</si>
  <si>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</si>
  <si>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</si>
  <si>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</si>
  <si>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</si>
  <si>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</si>
  <si>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</si>
  <si>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</si>
  <si>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</si>
  <si>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</si>
  <si>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</si>
  <si>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</si>
  <si>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</si>
  <si>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</si>
  <si>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</si>
  <si>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</si>
  <si>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</si>
  <si>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</si>
  <si>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</si>
  <si>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</si>
  <si>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</si>
  <si>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</si>
  <si>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</si>
  <si>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data entered by sponsors</t>
  </si>
  <si>
    <t>Coomuter data derived from Activity-Connectivity Explorer (ACE) - Advanced Viewer</t>
  </si>
  <si>
    <t>Application ID Number:</t>
  </si>
  <si>
    <t>Benefits calculated by this tool</t>
  </si>
  <si>
    <t>MPOID/CSJ #:</t>
  </si>
  <si>
    <t>Project County</t>
  </si>
  <si>
    <t>Harris</t>
  </si>
  <si>
    <t>Proposed Improvements Information</t>
  </si>
  <si>
    <r>
      <t xml:space="preserve">Year Open to Traffic? </t>
    </r>
    <r>
      <rPr>
        <b/>
        <sz val="11"/>
        <color theme="1"/>
        <rFont val="Calibri"/>
        <family val="2"/>
        <scheme val="minor"/>
      </rPr>
      <t>(Must be &gt;=2025)</t>
    </r>
  </si>
  <si>
    <t>Type of Improvement Project</t>
  </si>
  <si>
    <t>Install New Sidewalks</t>
  </si>
  <si>
    <t>Length</t>
  </si>
  <si>
    <t>Applicable Project Service Life (years)</t>
  </si>
  <si>
    <t>Daily VMT Reductions</t>
  </si>
  <si>
    <t>Estimated Total Walking/Bicycling Commuter Daily VMT Reduction with potential mode shift in Year Open to Traffic</t>
  </si>
  <si>
    <t>OUTPUTS</t>
  </si>
  <si>
    <t>Benefit Results</t>
  </si>
  <si>
    <t>Discounted NOx Benefits @ 7% (2021 $)</t>
  </si>
  <si>
    <t>Discounted VOC Benefits @ 7% (2021 $)</t>
  </si>
  <si>
    <t>Total Emissions Benefit Results</t>
  </si>
  <si>
    <t>Discounted Emissions Benefits @ 7% (2021 $)</t>
  </si>
  <si>
    <t>Total Emissions Reductions</t>
  </si>
  <si>
    <t>NOx Emission Reductions (tons)</t>
  </si>
  <si>
    <t>VOC Emission Reductions (tons)</t>
  </si>
  <si>
    <t>Annual Emission Reductions Over Life of Project</t>
  </si>
  <si>
    <t>Growth Rates</t>
  </si>
  <si>
    <t>Demand Growth</t>
  </si>
  <si>
    <t>Use in Analysis?</t>
  </si>
  <si>
    <t>Estimated Daily VMT Reduced</t>
  </si>
  <si>
    <t>NOx (g/day)</t>
  </si>
  <si>
    <t>NOx (Short ton/yr)</t>
  </si>
  <si>
    <t>NOx Emission Reduction Benefit</t>
  </si>
  <si>
    <t>Discounted NOx Benefit (7%)</t>
  </si>
  <si>
    <t>VOC (g/day)</t>
  </si>
  <si>
    <t>VOC (Short ton/yr)</t>
  </si>
  <si>
    <t>VOC Emission Reduction Benefit</t>
  </si>
  <si>
    <t>Discounted VOC Benefit (7%)</t>
  </si>
  <si>
    <t>2021-2030 Demand Growth</t>
  </si>
  <si>
    <t>2030-2045 Demand Growth</t>
  </si>
  <si>
    <t>Estimated Travel Demand Reduced</t>
  </si>
  <si>
    <t>Estimated Daily VMT Reduced in Year Open to traffic</t>
  </si>
  <si>
    <t>Estimated NOx Reductions In Year Open to Traffic (in gms/day)</t>
  </si>
  <si>
    <t>Estimated VOC Reductions In Year Open to Traffic (in Gms/day)</t>
  </si>
  <si>
    <t>Total</t>
  </si>
  <si>
    <t>2020 TIP Call For Projects - Benefit-Cost Analysis Assumptions*</t>
  </si>
  <si>
    <t>Emissions Reduction Values</t>
  </si>
  <si>
    <r>
      <t xml:space="preserve">VOC emissions factor, </t>
    </r>
    <r>
      <rPr>
        <b/>
        <u/>
        <sz val="11"/>
        <color theme="1"/>
        <rFont val="Calibri"/>
        <family val="2"/>
        <scheme val="minor"/>
      </rPr>
      <t>Ped/Bike Projects Only</t>
    </r>
    <r>
      <rPr>
        <sz val="11"/>
        <color theme="1"/>
        <rFont val="Calibri"/>
        <family val="2"/>
        <scheme val="minor"/>
      </rPr>
      <t xml:space="preserve"> (g/VMT)</t>
    </r>
  </si>
  <si>
    <t>Information determined from project inputs</t>
  </si>
  <si>
    <r>
      <t xml:space="preserve">NOx emissions factor, </t>
    </r>
    <r>
      <rPr>
        <b/>
        <u/>
        <sz val="11"/>
        <color theme="1"/>
        <rFont val="Calibri"/>
        <family val="2"/>
        <scheme val="minor"/>
      </rPr>
      <t>Ped/Bike Projects Only</t>
    </r>
    <r>
      <rPr>
        <sz val="11"/>
        <color theme="1"/>
        <rFont val="Calibri"/>
        <family val="2"/>
        <scheme val="minor"/>
      </rPr>
      <t xml:space="preserve"> (g/VMT)</t>
    </r>
  </si>
  <si>
    <t>Improvement Type</t>
  </si>
  <si>
    <t>Applicable Project Life (years)</t>
  </si>
  <si>
    <t>MOSERS indictates a range of 10-12 years. Currently using a range suggested by previous projects.</t>
  </si>
  <si>
    <t>Average Arterial Roadway Speed</t>
  </si>
  <si>
    <t>Judgement estimate from regional model</t>
  </si>
  <si>
    <t>Vehicle Occupancy (BCA Guidance)</t>
  </si>
  <si>
    <t>Number of Days considered in a Year</t>
  </si>
  <si>
    <t>Mode Shift/Conversion Ratio</t>
  </si>
  <si>
    <t>Minimum Length (miles)</t>
  </si>
  <si>
    <t>Auto</t>
  </si>
  <si>
    <t>Bike/Walk Combined</t>
  </si>
  <si>
    <t>Walk</t>
  </si>
  <si>
    <t>Bike</t>
  </si>
  <si>
    <t>Constraint</t>
  </si>
  <si>
    <t>min one walk flow</t>
  </si>
  <si>
    <t>min one bike flow</t>
  </si>
  <si>
    <t>Source: 2019 CTPP Data Product based on 2012-2016 ACS</t>
  </si>
  <si>
    <t>Eligible Counties</t>
  </si>
  <si>
    <t>Brazoria</t>
  </si>
  <si>
    <t>Chambers</t>
  </si>
  <si>
    <t>Fort Bend</t>
  </si>
  <si>
    <t>Galveston</t>
  </si>
  <si>
    <t>Liberty</t>
  </si>
  <si>
    <t>Montgomery</t>
  </si>
  <si>
    <t>Waller</t>
  </si>
  <si>
    <t>Value of Emissions, Benefit-Cost Analysis Guidance for
Discretionary Grant Programs</t>
  </si>
  <si>
    <t>NOX</t>
  </si>
  <si>
    <t>VOC/PM2.5</t>
  </si>
  <si>
    <t>SO2</t>
  </si>
  <si>
    <t>CO2</t>
  </si>
  <si>
    <t>https://www.transportation.gov/sites/dot.gov/files/2021-02/Benefit%20Cost%20Analysis%20Guidance%202021.pdf#page=35</t>
  </si>
  <si>
    <t>All Rates are in gms/mile</t>
  </si>
  <si>
    <t>Facility Type</t>
  </si>
  <si>
    <t>Speed Bin</t>
  </si>
  <si>
    <t>Non-Freeway</t>
  </si>
  <si>
    <t>All emissions rate are in gms/miles</t>
  </si>
  <si>
    <t>All emissions rate are in gms/mile</t>
  </si>
  <si>
    <t>Type of Improvement</t>
  </si>
  <si>
    <t>Project Life (Years)</t>
  </si>
  <si>
    <t>Sidewalk Improvements</t>
  </si>
  <si>
    <t>ADA Ramps</t>
  </si>
  <si>
    <t>Paved Shoulder/Shared Use Path</t>
  </si>
  <si>
    <t>On Street Bicycle Lane</t>
  </si>
  <si>
    <t>Off Street Hike &amp; Bike Trails</t>
  </si>
  <si>
    <t>Pedestrian/Bicycle Bridge/Underpass</t>
  </si>
  <si>
    <t>Growth Rate</t>
  </si>
  <si>
    <t>County Name</t>
  </si>
  <si>
    <t>2023-2030</t>
  </si>
  <si>
    <t>2030-2045</t>
  </si>
  <si>
    <t>Total Daily VMT Reductions (H-GAC ACE)</t>
  </si>
  <si>
    <t>2021 AADT</t>
  </si>
  <si>
    <t>AADT in Year Open to Traffic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</si>
</sst>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0"/>
      <color theme="1"/>
      <name val="Times New Roman"/>
      <family val="1"/>
    </font>
    <font>
      <sz val="11"/>
      <color rgb="FF000000"/>
      <name val="Calibri"/>
      <family val="2"/>
    </font>
    <font>
      <b/>
      <sz val="11"/>
      <color rgb="FF000000"/>
      <name val="Calibri"/>
      <family val="2"/>
    </font>
    <font>
      <sz val="8"/>
      <color rgb="FF000000"/>
      <name val="Calibri"/>
      <family val="2"/>
    </font>
    <font>
      <b/>
      <sz val="11"/>
      <color rgb="FF000000"/>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58">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0" fillId="0" borderId="1" xfId="0" applyBorder="1"/>
    <xf numFmtId="0" fontId="8" fillId="0" borderId="0" xfId="4" applyAlignment="1" applyProtection="1"/>
    <xf numFmtId="0" fontId="3" fillId="10" borderId="11" xfId="0" applyFont="1" applyFill="1"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xf numFmtId="0" fontId="3" fillId="10" borderId="12" xfId="0" applyFont="1" applyFill="1" applyBorder="1"/>
    <xf numFmtId="0" fontId="15" fillId="0" borderId="0" xfId="0" applyFont="1" applyAlignment="1">
      <alignment vertical="center"/>
    </xf>
    <xf numFmtId="10" fontId="13" fillId="0" borderId="1" xfId="0" applyNumberFormat="1" applyFont="1" applyBorder="1" applyAlignment="1">
      <alignment horizontal="right" vertical="center"/>
    </xf>
    <xf numFmtId="0" fontId="13" fillId="0" borderId="11" xfId="0" applyFont="1" applyBorder="1" applyAlignment="1">
      <alignment vertical="center"/>
    </xf>
    <xf numFmtId="0" fontId="14" fillId="0" borderId="26" xfId="0" applyFont="1" applyBorder="1" applyAlignment="1">
      <alignment horizontal="right" vertical="center"/>
    </xf>
    <xf numFmtId="0" fontId="14" fillId="0" borderId="12" xfId="0" applyFont="1" applyBorder="1" applyAlignment="1">
      <alignment horizontal="right" vertical="center"/>
    </xf>
    <xf numFmtId="0" fontId="13" fillId="0" borderId="15" xfId="0" applyFont="1" applyBorder="1" applyAlignment="1">
      <alignment vertical="center"/>
    </xf>
    <xf numFmtId="0" fontId="13" fillId="0" borderId="13" xfId="0" applyFont="1" applyBorder="1" applyAlignment="1">
      <alignment horizontal="right" vertical="center"/>
    </xf>
    <xf numFmtId="10" fontId="13" fillId="0" borderId="17" xfId="0" applyNumberFormat="1" applyFont="1" applyBorder="1" applyAlignment="1">
      <alignment horizontal="right" vertical="center"/>
    </xf>
    <xf numFmtId="0" fontId="13" fillId="0" borderId="14" xfId="0" applyFont="1" applyBorder="1" applyAlignment="1">
      <alignment horizontal="right" vertical="center"/>
    </xf>
    <xf numFmtId="0" fontId="13" fillId="0" borderId="16" xfId="0" applyFont="1" applyBorder="1" applyAlignment="1">
      <alignment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6" fontId="0" fillId="0" borderId="0" xfId="0" applyNumberFormat="1" applyAlignment="1">
      <alignment horizontal="center" vertical="center"/>
    </xf>
    <xf numFmtId="6" fontId="0" fillId="0" borderId="19" xfId="0" applyNumberFormat="1" applyBorder="1" applyAlignment="1">
      <alignment horizontal="center" vertical="center"/>
    </xf>
    <xf numFmtId="0" fontId="0" fillId="0" borderId="23" xfId="0" applyBorder="1" applyAlignment="1">
      <alignment horizontal="center" vertical="center"/>
    </xf>
    <xf numFmtId="6" fontId="0" fillId="0" borderId="20" xfId="0" applyNumberFormat="1" applyBorder="1" applyAlignment="1">
      <alignment horizontal="center" vertical="center"/>
    </xf>
    <xf numFmtId="6" fontId="0" fillId="0" borderId="21" xfId="0" applyNumberFormat="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166" fontId="0" fillId="0" borderId="1" xfId="0" applyNumberFormat="1" applyBorder="1" applyAlignment="1">
      <alignment vertical="center"/>
    </xf>
    <xf numFmtId="0" fontId="0" fillId="0" borderId="1" xfId="0" applyBorder="1" applyAlignment="1">
      <alignment horizontal="right" vertical="center"/>
    </xf>
    <xf numFmtId="0" fontId="0" fillId="0" borderId="0" xfId="0" applyAlignment="1">
      <alignment horizontal="right" vertical="center"/>
    </xf>
    <xf numFmtId="0" fontId="2" fillId="9" borderId="1" xfId="0" applyFont="1" applyFill="1" applyBorder="1" applyAlignment="1">
      <alignment horizontal="left" vertical="center"/>
    </xf>
    <xf numFmtId="0" fontId="0" fillId="11" borderId="1" xfId="0" applyFill="1" applyBorder="1" applyAlignment="1">
      <alignment vertical="center"/>
    </xf>
    <xf numFmtId="0" fontId="3" fillId="0" borderId="26" xfId="0" applyFont="1" applyBorder="1" applyAlignment="1">
      <alignment horizontal="right" vertical="center"/>
    </xf>
    <xf numFmtId="10" fontId="0" fillId="0" borderId="1" xfId="0" applyNumberFormat="1" applyBorder="1" applyAlignment="1">
      <alignment vertical="center"/>
    </xf>
    <xf numFmtId="10" fontId="0" fillId="0" borderId="17" xfId="0" applyNumberFormat="1" applyBorder="1" applyAlignment="1">
      <alignment vertical="center"/>
    </xf>
    <xf numFmtId="0" fontId="12" fillId="0" borderId="0" xfId="0" applyFont="1" applyAlignment="1">
      <alignment vertical="center"/>
    </xf>
    <xf numFmtId="0" fontId="0" fillId="0" borderId="24" xfId="0" applyBorder="1" applyAlignment="1">
      <alignment vertical="center"/>
    </xf>
    <xf numFmtId="2" fontId="0" fillId="0" borderId="9" xfId="0" applyNumberFormat="1" applyBorder="1" applyAlignment="1">
      <alignment vertical="center"/>
    </xf>
    <xf numFmtId="2" fontId="0" fillId="0" borderId="10" xfId="0" applyNumberFormat="1" applyBorder="1" applyAlignment="1">
      <alignment vertical="center"/>
    </xf>
    <xf numFmtId="0" fontId="10" fillId="0" borderId="5" xfId="0" applyFont="1" applyBorder="1" applyAlignment="1">
      <alignment vertical="center"/>
    </xf>
    <xf numFmtId="0" fontId="0" fillId="0" borderId="5" xfId="0" applyBorder="1" applyAlignment="1">
      <alignment vertical="center"/>
    </xf>
    <xf numFmtId="0" fontId="0" fillId="2" borderId="1" xfId="0" applyFill="1" applyBorder="1" applyAlignment="1" applyProtection="1">
      <alignment vertical="center"/>
      <protection locked="0"/>
    </xf>
    <xf numFmtId="0" fontId="0" fillId="0" borderId="0" xfId="0" applyAlignment="1" applyProtection="1">
      <alignment vertical="center"/>
      <protection locked="0"/>
    </xf>
    <xf numFmtId="0" fontId="0" fillId="2" borderId="1" xfId="0" applyFill="1" applyBorder="1" applyAlignment="1">
      <alignment vertical="center"/>
    </xf>
    <xf numFmtId="0" fontId="0" fillId="2" borderId="1" xfId="0" applyFill="1" applyBorder="1" applyAlignment="1" applyProtection="1">
      <alignment horizontal="right" vertical="center"/>
      <protection locked="0"/>
    </xf>
    <xf numFmtId="0" fontId="0" fillId="15" borderId="1" xfId="0" applyFill="1" applyBorder="1" applyAlignment="1" applyProtection="1">
      <alignment vertical="center"/>
      <protection locked="0"/>
    </xf>
    <xf numFmtId="0" fontId="0" fillId="4" borderId="1" xfId="0" applyFill="1" applyBorder="1" applyAlignment="1" applyProtection="1">
      <alignment vertical="center"/>
      <protection locked="0"/>
    </xf>
    <xf numFmtId="0" fontId="6" fillId="0" borderId="0" xfId="0" applyFont="1" applyAlignment="1">
      <alignment vertical="center"/>
    </xf>
    <xf numFmtId="3" fontId="6" fillId="0" borderId="0" xfId="0"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15" borderId="1" xfId="0" applyFill="1" applyBorder="1" applyAlignment="1" applyProtection="1">
      <alignment vertical="center" wrapText="1"/>
      <protection locked="0"/>
    </xf>
    <xf numFmtId="0" fontId="0" fillId="0" borderId="0" xfId="0" applyAlignment="1" applyProtection="1">
      <alignment vertical="center" wrapText="1"/>
      <protection locked="0"/>
    </xf>
    <xf numFmtId="0" fontId="10" fillId="0" borderId="0" xfId="0" applyFont="1" applyAlignment="1">
      <alignment vertical="center"/>
    </xf>
    <xf numFmtId="0" fontId="0" fillId="4" borderId="1" xfId="0" applyFill="1" applyBorder="1" applyAlignment="1">
      <alignment vertical="center"/>
    </xf>
    <xf numFmtId="0" fontId="0" fillId="2" borderId="1" xfId="0" applyFill="1" applyBorder="1" applyAlignment="1">
      <alignment vertical="center" wrapText="1"/>
    </xf>
    <xf numFmtId="0" fontId="0" fillId="0" borderId="0" xfId="0" applyAlignment="1">
      <alignment vertical="center" wrapText="1"/>
    </xf>
    <xf numFmtId="0" fontId="0" fillId="0" borderId="0" xfId="0" applyAlignment="1" applyProtection="1">
      <alignment horizontal="right" vertical="center"/>
      <protection locked="0"/>
    </xf>
    <xf numFmtId="0" fontId="0" fillId="15" borderId="1" xfId="0" applyFill="1" applyBorder="1" applyAlignment="1">
      <alignment vertical="center"/>
    </xf>
    <xf numFmtId="0" fontId="16" fillId="0" borderId="1" xfId="0" applyFont="1" applyBorder="1"/>
    <xf numFmtId="0" fontId="17" fillId="0" borderId="1" xfId="0" applyFont="1" applyBorder="1"/>
    <xf numFmtId="0" fontId="2" fillId="5" borderId="1" xfId="0" applyFont="1" applyFill="1" applyBorder="1"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15" borderId="1" xfId="0" applyNumberFormat="1" applyFill="1" applyBorder="1" applyAlignment="1">
      <alignment vertical="center"/>
    </xf>
    <xf numFmtId="165" fontId="0" fillId="4" borderId="1" xfId="0" applyNumberFormat="1" applyFill="1" applyBorder="1" applyAlignment="1">
      <alignment horizontal="left" vertical="center"/>
    </xf>
    <xf numFmtId="165" fontId="0" fillId="0" borderId="0" xfId="0" applyNumberFormat="1" applyAlignment="1">
      <alignment horizontal="left" vertical="center"/>
    </xf>
    <xf numFmtId="43" fontId="0" fillId="4" borderId="1" xfId="1" applyFont="1" applyFill="1" applyBorder="1" applyAlignment="1" applyProtection="1">
      <alignment horizontal="left" vertical="center"/>
    </xf>
    <xf numFmtId="10" fontId="0" fillId="0" borderId="0" xfId="3" applyNumberFormat="1" applyFont="1" applyAlignment="1" applyProtection="1">
      <alignment wrapText="1"/>
    </xf>
    <xf numFmtId="10" fontId="2" fillId="9" borderId="1" xfId="3" applyNumberFormat="1" applyFont="1" applyFill="1" applyBorder="1" applyAlignment="1" applyProtection="1">
      <alignment horizontal="center" wrapText="1"/>
    </xf>
    <xf numFmtId="10" fontId="0" fillId="0" borderId="0" xfId="3" applyNumberFormat="1" applyFont="1" applyProtection="1"/>
    <xf numFmtId="10" fontId="0" fillId="11" borderId="1" xfId="3" applyNumberFormat="1" applyFont="1" applyFill="1" applyBorder="1" applyAlignment="1" applyProtection="1">
      <alignment horizontal="center"/>
    </xf>
    <xf numFmtId="43" fontId="0" fillId="0" borderId="1" xfId="1" applyFont="1" applyBorder="1" applyProtection="1"/>
    <xf numFmtId="168" fontId="0" fillId="0" borderId="1" xfId="1" applyNumberFormat="1" applyFont="1" applyBorder="1" applyProtection="1"/>
    <xf numFmtId="44" fontId="0" fillId="0" borderId="1" xfId="2" applyFont="1" applyBorder="1" applyProtection="1"/>
    <xf numFmtId="44" fontId="0" fillId="14" borderId="1" xfId="2" applyFont="1" applyFill="1" applyBorder="1" applyProtection="1"/>
    <xf numFmtId="10" fontId="0" fillId="0" borderId="0" xfId="3" applyNumberFormat="1" applyFont="1" applyFill="1" applyBorder="1" applyProtection="1"/>
    <xf numFmtId="10" fontId="0" fillId="13" borderId="1" xfId="3" applyNumberFormat="1" applyFont="1" applyFill="1" applyBorder="1" applyAlignment="1" applyProtection="1">
      <alignment horizontal="center"/>
    </xf>
    <xf numFmtId="0" fontId="0" fillId="0" borderId="0" xfId="0" applyProtection="1">
      <protection locked="0"/>
    </xf>
    <xf numFmtId="3" fontId="0" fillId="0" borderId="0" xfId="0" applyNumberFormat="1" applyProtection="1">
      <protection locked="0"/>
    </xf>
    <xf numFmtId="0" fontId="0" fillId="0" borderId="0" xfId="0" applyProtection="1"/>
    <xf numFmtId="10" fontId="0" fillId="0" borderId="1" xfId="0" applyNumberFormat="1" applyBorder="1" applyAlignment="1" applyProtection="1">
      <alignment horizontal="center"/>
    </xf>
    <xf numFmtId="0" fontId="3" fillId="10" borderId="1" xfId="0" applyFont="1" applyFill="1" applyBorder="1" applyProtection="1"/>
    <xf numFmtId="10" fontId="0" fillId="0" borderId="1" xfId="0" applyNumberFormat="1" applyBorder="1" applyProtection="1"/>
    <xf numFmtId="0" fontId="0" fillId="0" borderId="1" xfId="0" applyBorder="1" applyProtection="1"/>
    <xf numFmtId="0" fontId="0" fillId="0" borderId="0" xfId="0" applyAlignment="1" applyProtection="1">
      <alignment wrapText="1"/>
      <protection locked="0"/>
    </xf>
    <xf numFmtId="10" fontId="0" fillId="0" borderId="0" xfId="3" applyNumberFormat="1" applyFont="1" applyProtection="1">
      <protection locked="0"/>
    </xf>
    <xf numFmtId="2" fontId="0" fillId="0" borderId="0" xfId="0" applyNumberFormat="1" applyProtection="1">
      <protection locked="0"/>
    </xf>
    <xf numFmtId="10" fontId="0" fillId="11" borderId="1" xfId="3" applyNumberFormat="1" applyFont="1" applyFill="1" applyBorder="1" applyProtection="1">
      <protection locked="0"/>
    </xf>
    <xf numFmtId="43" fontId="0" fillId="0" borderId="0" xfId="0" applyNumberFormat="1" applyProtection="1">
      <protection locked="0"/>
    </xf>
    <xf numFmtId="0" fontId="0" fillId="0" borderId="0" xfId="0" applyAlignment="1" applyProtection="1">
      <alignment wrapText="1"/>
    </xf>
    <xf numFmtId="2" fontId="0" fillId="0" borderId="0" xfId="0" applyNumberFormat="1" applyProtection="1"/>
    <xf numFmtId="0" fontId="2" fillId="9" borderId="8" xfId="0" applyFont="1" applyFill="1" applyBorder="1" applyAlignment="1" applyProtection="1">
      <alignment horizontal="left" wrapText="1"/>
    </xf>
    <xf numFmtId="0" fontId="2" fillId="9" borderId="1" xfId="0" applyFont="1" applyFill="1" applyBorder="1" applyAlignment="1" applyProtection="1">
      <alignment horizontal="center" wrapText="1"/>
    </xf>
    <xf numFmtId="0" fontId="2" fillId="9" borderId="2" xfId="0" applyFont="1" applyFill="1" applyBorder="1" applyAlignment="1" applyProtection="1">
      <alignment horizontal="center" wrapText="1"/>
    </xf>
    <xf numFmtId="0" fontId="2" fillId="9" borderId="6" xfId="0" applyFont="1" applyFill="1" applyBorder="1" applyAlignment="1" applyProtection="1">
      <alignment horizontal="center" wrapText="1"/>
    </xf>
    <xf numFmtId="0" fontId="2" fillId="9" borderId="4" xfId="0" applyFont="1" applyFill="1" applyBorder="1" applyAlignment="1" applyProtection="1">
      <alignment horizontal="center" wrapText="1"/>
    </xf>
    <xf numFmtId="0" fontId="0" fillId="11" borderId="1" xfId="0" applyFill="1" applyBorder="1" applyAlignment="1" applyProtection="1">
      <alignment wrapText="1"/>
    </xf>
    <xf numFmtId="0" fontId="0" fillId="13" borderId="1" xfId="0" applyFill="1" applyBorder="1" applyAlignment="1" applyProtection="1">
      <alignment horizontal="center"/>
    </xf>
    <xf numFmtId="3" fontId="0" fillId="6" borderId="1" xfId="0" applyNumberFormat="1" applyFill="1" applyBorder="1" applyAlignment="1" applyProtection="1">
      <alignment horizontal="center"/>
    </xf>
    <xf numFmtId="0" fontId="0" fillId="6" borderId="1" xfId="0" applyFill="1" applyBorder="1" applyAlignment="1" applyProtection="1">
      <alignment horizontal="center"/>
    </xf>
    <xf numFmtId="0" fontId="2" fillId="9" borderId="1" xfId="0" applyFont="1" applyFill="1" applyBorder="1" applyAlignment="1" applyProtection="1">
      <alignment wrapText="1"/>
    </xf>
    <xf numFmtId="0" fontId="11" fillId="0" borderId="1" xfId="0" applyFont="1" applyBorder="1" applyAlignment="1" applyProtection="1">
      <alignment wrapText="1"/>
    </xf>
    <xf numFmtId="3" fontId="6" fillId="0" borderId="1" xfId="0" applyNumberFormat="1" applyFont="1" applyBorder="1" applyProtection="1"/>
    <xf numFmtId="0" fontId="11" fillId="0" borderId="0" xfId="0" applyFont="1" applyAlignment="1" applyProtection="1">
      <alignment wrapText="1"/>
    </xf>
    <xf numFmtId="3" fontId="6" fillId="0" borderId="0" xfId="0" applyNumberFormat="1" applyFont="1" applyProtection="1"/>
    <xf numFmtId="0" fontId="0" fillId="8" borderId="1" xfId="0" applyFill="1" applyBorder="1" applyAlignment="1" applyProtection="1">
      <alignment horizontal="center"/>
    </xf>
    <xf numFmtId="0" fontId="0" fillId="0" borderId="1" xfId="0" applyBorder="1" applyProtection="1">
      <protection locked="0"/>
    </xf>
    <xf numFmtId="3" fontId="0" fillId="0" borderId="1" xfId="0" applyNumberFormat="1" applyBorder="1" applyAlignment="1" applyProtection="1">
      <alignment horizontal="center" vertical="center"/>
      <protection locked="0"/>
    </xf>
    <xf numFmtId="0" fontId="0" fillId="0" borderId="1" xfId="0" applyBorder="1" applyAlignment="1" applyProtection="1">
      <alignment wrapText="1"/>
      <protection locked="0"/>
    </xf>
    <xf numFmtId="10" fontId="0" fillId="0" borderId="1" xfId="0" applyNumberFormat="1" applyBorder="1" applyAlignment="1" applyProtection="1">
      <alignment horizontal="center" vertical="center"/>
      <protection locked="0"/>
    </xf>
    <xf numFmtId="10" fontId="0" fillId="0" borderId="0" xfId="0" applyNumberFormat="1" applyAlignment="1" applyProtection="1">
      <alignment horizontal="center"/>
    </xf>
    <xf numFmtId="10" fontId="0" fillId="0" borderId="0" xfId="0" applyNumberFormat="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0" fillId="0" borderId="7" xfId="0" applyBorder="1" applyAlignment="1">
      <alignment horizontal="left" vertical="center" wrapText="1"/>
    </xf>
    <xf numFmtId="0" fontId="3" fillId="0" borderId="1" xfId="0" applyFont="1" applyBorder="1" applyAlignment="1">
      <alignment horizontal="center"/>
    </xf>
    <xf numFmtId="0" fontId="2" fillId="16" borderId="5" xfId="0" applyFont="1" applyFill="1" applyBorder="1" applyAlignment="1" applyProtection="1">
      <alignment horizontal="center"/>
      <protection locked="0"/>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278424</xdr:colOff>
      <xdr:row>46</xdr:row>
      <xdr:rowOff>76201</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0" y="0"/>
          <a:ext cx="9711458" cy="8537029"/>
          <a:chOff x="131884" y="117230"/>
          <a:chExt cx="9709639" cy="8434755"/>
        </a:xfrm>
      </xdr:grpSpPr>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131884" y="117230"/>
            <a:ext cx="9709639" cy="8434755"/>
          </a:xfrm>
          <a:prstGeom prst="rect">
            <a:avLst/>
          </a:prstGeom>
          <a:solidFill>
            <a:schemeClr val="bg1">
              <a:lumMod val="95000"/>
            </a:schemeClr>
          </a:solidFill>
          <a:ln w="9525">
            <a:solidFill>
              <a:schemeClr val="accent1">
                <a:lumMod val="50000"/>
              </a:schemeClr>
            </a:solidFill>
            <a:miter lim="800000"/>
            <a:headEnd/>
            <a:tailEnd/>
          </a:ln>
        </xdr:spPr>
        <xdr:txBody>
          <a:bodyPr vertOverflow="clip" wrap="square" lIns="91440" tIns="45720" rIns="91440" bIns="45720" anchor="t" upright="1"/>
          <a:lstStyle/>
          <a:p>
            <a:r>
              <a:rPr lang="en-US" sz="1100" b="1">
                <a:effectLst/>
                <a:latin typeface="+mn-lt"/>
                <a:ea typeface="+mn-ea"/>
                <a:cs typeface="+mn-cs"/>
              </a:rPr>
              <a:t>Instructions: </a:t>
            </a:r>
            <a:endParaRPr lang="en-US" sz="1100">
              <a:effectLst/>
              <a:latin typeface="+mn-lt"/>
              <a:ea typeface="+mn-ea"/>
              <a:cs typeface="+mn-cs"/>
            </a:endParaRPr>
          </a:p>
          <a:p>
            <a:r>
              <a:rPr lang="en-US" sz="1100">
                <a:effectLst/>
                <a:latin typeface="+mn-lt"/>
                <a:ea typeface="+mn-ea"/>
                <a:cs typeface="+mn-cs"/>
              </a:rPr>
              <a:t>On the "Inputs &amp; Outputs" tab, fill in all "blue and green" shaded sections (Project Information, Proposed Improvement Information, and Daily Travel Demand). </a:t>
            </a:r>
          </a:p>
          <a:p>
            <a:endParaRPr lang="en-US" sz="1100">
              <a:effectLst/>
              <a:latin typeface="+mn-lt"/>
              <a:ea typeface="+mn-ea"/>
              <a:cs typeface="+mn-cs"/>
            </a:endParaRPr>
          </a:p>
          <a:p>
            <a:r>
              <a:rPr lang="en-US" sz="1100">
                <a:effectLst/>
                <a:latin typeface="+mn-lt"/>
                <a:ea typeface="+mn-ea"/>
                <a:cs typeface="+mn-cs"/>
              </a:rPr>
              <a:t>Project Information:</a:t>
            </a:r>
          </a:p>
          <a:p>
            <a:r>
              <a:rPr lang="en-US" sz="1100" i="1">
                <a:effectLst/>
                <a:latin typeface="+mn-lt"/>
                <a:ea typeface="+mn-ea"/>
                <a:cs typeface="+mn-cs"/>
              </a:rPr>
              <a:t>	Project Title: </a:t>
            </a:r>
            <a:r>
              <a:rPr lang="en-US" sz="1100">
                <a:effectLst/>
                <a:latin typeface="+mn-lt"/>
                <a:ea typeface="+mn-ea"/>
                <a:cs typeface="+mn-cs"/>
              </a:rPr>
              <a:t>Enter proposed project name/Title.</a:t>
            </a:r>
          </a:p>
          <a:p>
            <a:r>
              <a:rPr lang="en-US" sz="1100">
                <a:effectLst/>
                <a:latin typeface="+mn-lt"/>
                <a:ea typeface="+mn-ea"/>
                <a:cs typeface="+mn-cs"/>
              </a:rPr>
              <a:t>	</a:t>
            </a:r>
            <a:r>
              <a:rPr lang="en-US" sz="1100" i="1">
                <a:effectLst/>
                <a:latin typeface="+mn-lt"/>
                <a:ea typeface="+mn-ea"/>
                <a:cs typeface="+mn-cs"/>
              </a:rPr>
              <a:t>Application ID Number: </a:t>
            </a:r>
            <a:r>
              <a:rPr lang="en-US" sz="1100">
                <a:effectLst/>
                <a:latin typeface="+mn-lt"/>
                <a:ea typeface="+mn-ea"/>
                <a:cs typeface="+mn-cs"/>
              </a:rPr>
              <a:t>Enter online project ID number. </a:t>
            </a:r>
          </a:p>
          <a:p>
            <a:r>
              <a:rPr lang="en-US" sz="1100" i="1">
                <a:effectLst/>
                <a:latin typeface="+mn-lt"/>
                <a:ea typeface="+mn-ea"/>
                <a:cs typeface="+mn-cs"/>
              </a:rPr>
              <a:t>	County:</a:t>
            </a:r>
            <a:r>
              <a:rPr lang="en-US" sz="1100">
                <a:effectLst/>
                <a:latin typeface="+mn-lt"/>
                <a:ea typeface="+mn-ea"/>
                <a:cs typeface="+mn-cs"/>
              </a:rPr>
              <a:t> Select project county from the drop-down list.  If the proposed roadway project is in more than one county, then select the county that 	contains majority of the project area.</a:t>
            </a:r>
          </a:p>
          <a:p>
            <a:endParaRPr lang="en-US" sz="1100">
              <a:effectLst/>
              <a:latin typeface="+mn-lt"/>
              <a:ea typeface="+mn-ea"/>
              <a:cs typeface="+mn-cs"/>
            </a:endParaRPr>
          </a:p>
          <a:p>
            <a:r>
              <a:rPr lang="en-US" sz="1100">
                <a:effectLst/>
                <a:latin typeface="+mn-lt"/>
                <a:ea typeface="+mn-ea"/>
                <a:cs typeface="+mn-cs"/>
              </a:rPr>
              <a:t>Proposed Improvement Information:</a:t>
            </a:r>
          </a:p>
          <a:p>
            <a:r>
              <a:rPr lang="en-US" sz="1100" i="1">
                <a:effectLst/>
                <a:latin typeface="+mn-lt"/>
                <a:ea typeface="+mn-ea"/>
                <a:cs typeface="+mn-cs"/>
              </a:rPr>
              <a:t>	Year Open to Traffic? Must be &gt;=2025</a:t>
            </a:r>
            <a:r>
              <a:rPr lang="en-US" sz="1100">
                <a:effectLst/>
                <a:latin typeface="+mn-lt"/>
                <a:ea typeface="+mn-ea"/>
                <a:cs typeface="+mn-cs"/>
              </a:rPr>
              <a:t>: Select Open to Traffic from the drop-down list. </a:t>
            </a:r>
          </a:p>
          <a:p>
            <a:r>
              <a:rPr lang="en-US" sz="1100" i="1">
                <a:effectLst/>
                <a:latin typeface="+mn-lt"/>
                <a:ea typeface="+mn-ea"/>
                <a:cs typeface="+mn-cs"/>
              </a:rPr>
              <a:t>	Type of Improvement</a:t>
            </a:r>
            <a:r>
              <a:rPr lang="en-US" sz="1100">
                <a:effectLst/>
                <a:latin typeface="+mn-lt"/>
                <a:ea typeface="+mn-ea"/>
                <a:cs typeface="+mn-cs"/>
              </a:rPr>
              <a:t>: Select proposed improvement from the drop-down list. If more than one, improvements are proposed select the one with the 	longest service life. </a:t>
            </a:r>
          </a:p>
          <a:p>
            <a:r>
              <a:rPr lang="en-US" sz="1100" i="1">
                <a:effectLst/>
                <a:latin typeface="+mn-lt"/>
                <a:ea typeface="+mn-ea"/>
                <a:cs typeface="+mn-cs"/>
              </a:rPr>
              <a:t>	Average One-way Walking/Bicycling Commuter Trip Length (in Miles): </a:t>
            </a:r>
            <a:r>
              <a:rPr lang="en-US" sz="1100">
                <a:effectLst/>
                <a:latin typeface="+mn-lt"/>
                <a:ea typeface="+mn-ea"/>
                <a:cs typeface="+mn-cs"/>
              </a:rPr>
              <a:t>Enter average walking/bicycling commuter trip length in miles.</a:t>
            </a:r>
          </a:p>
          <a:p>
            <a:r>
              <a:rPr lang="en-US" sz="1100" i="1">
                <a:effectLst/>
                <a:latin typeface="+mn-lt"/>
                <a:ea typeface="+mn-ea"/>
                <a:cs typeface="+mn-cs"/>
              </a:rPr>
              <a:t>	Applicable Project Service Life (years):</a:t>
            </a:r>
            <a:r>
              <a:rPr lang="en-US" sz="1100">
                <a:effectLst/>
                <a:latin typeface="+mn-lt"/>
                <a:ea typeface="+mn-ea"/>
                <a:cs typeface="+mn-cs"/>
              </a:rPr>
              <a:t> Applicable project service life will be populated based in the type of improvement selected.</a:t>
            </a:r>
          </a:p>
          <a:p>
            <a:r>
              <a:rPr lang="en-US" sz="1100">
                <a:effectLst/>
                <a:latin typeface="+mn-lt"/>
                <a:ea typeface="+mn-ea"/>
                <a:cs typeface="+mn-cs"/>
              </a:rPr>
              <a:t>	 </a:t>
            </a:r>
          </a:p>
          <a:p>
            <a:r>
              <a:rPr lang="en-US" sz="1100">
                <a:effectLst/>
                <a:latin typeface="+mn-lt"/>
                <a:ea typeface="+mn-ea"/>
                <a:cs typeface="+mn-cs"/>
              </a:rPr>
              <a:t>Daily VMT Reductions:</a:t>
            </a:r>
          </a:p>
          <a:p>
            <a:r>
              <a:rPr lang="en-US" sz="1100" i="1">
                <a:effectLst/>
                <a:latin typeface="+mn-lt"/>
                <a:ea typeface="+mn-ea"/>
                <a:cs typeface="+mn-cs"/>
              </a:rPr>
              <a:t>	Total Daily VMT Reductions (H-GAC ACE):</a:t>
            </a:r>
            <a:r>
              <a:rPr lang="en-US" sz="1100" i="1" baseline="0">
                <a:effectLst/>
                <a:latin typeface="+mn-lt"/>
                <a:ea typeface="+mn-ea"/>
                <a:cs typeface="+mn-cs"/>
              </a:rPr>
              <a:t> </a:t>
            </a:r>
            <a:r>
              <a:rPr lang="en-US" sz="1100">
                <a:effectLst/>
                <a:latin typeface="+mn-lt"/>
                <a:ea typeface="+mn-ea"/>
                <a:cs typeface="+mn-cs"/>
              </a:rPr>
              <a:t>Enter the Total Daily VMT Reduction values.  Total Daily VMT reductions are available</a:t>
            </a:r>
            <a:r>
              <a:rPr lang="en-US" sz="1100" baseline="0">
                <a:effectLst/>
                <a:latin typeface="+mn-lt"/>
                <a:ea typeface="+mn-ea"/>
                <a:cs typeface="+mn-cs"/>
              </a:rPr>
              <a:t> at </a:t>
            </a:r>
            <a:r>
              <a:rPr lang="en-US" sz="1100">
                <a:effectLst/>
                <a:latin typeface="+mn-lt"/>
                <a:ea typeface="+mn-ea"/>
                <a:cs typeface="+mn-cs"/>
              </a:rPr>
              <a:t>the ped-bike 	commuter analysis data on Activity-Connectivity Explorer (ACE) advanced viewer interactive web application available online at </a:t>
            </a:r>
            <a:r>
              <a:rPr lang="en-US" sz="1100" u="sng">
                <a:effectLst/>
                <a:latin typeface="+mn-lt"/>
                <a:ea typeface="+mn-ea"/>
                <a:cs typeface="+mn-cs"/>
                <a:hlinkClick xmlns:r="http://schemas.openxmlformats.org/officeDocument/2006/relationships" r:id=""/>
              </a:rPr>
              <a:t>https://www.h-	gac.com/interactive-web-applications</a:t>
            </a:r>
            <a:r>
              <a:rPr lang="en-US" sz="1100">
                <a:effectLst/>
                <a:latin typeface="+mn-lt"/>
                <a:ea typeface="+mn-ea"/>
                <a:cs typeface="+mn-cs"/>
              </a:rPr>
              <a:t>.</a:t>
            </a:r>
          </a:p>
          <a:p>
            <a:endParaRPr lang="en-US" sz="1100">
              <a:effectLst/>
              <a:latin typeface="+mn-lt"/>
              <a:ea typeface="+mn-ea"/>
              <a:cs typeface="+mn-cs"/>
            </a:endParaRPr>
          </a:p>
          <a:p>
            <a:r>
              <a:rPr lang="en-US" sz="1100" i="1" baseline="0">
                <a:effectLst/>
                <a:latin typeface="+mn-lt"/>
                <a:ea typeface="+mn-ea"/>
                <a:cs typeface="+mn-cs"/>
              </a:rPr>
              <a:t>Ped-Bike Commuter Analysis Data: </a:t>
            </a:r>
            <a:endParaRPr lang="en-US">
              <a:effectLst/>
            </a:endParaRPr>
          </a:p>
          <a:p>
            <a:r>
              <a:rPr lang="en-US" sz="1100" i="1" baseline="0">
                <a:effectLst/>
                <a:latin typeface="+mn-lt"/>
                <a:ea typeface="+mn-ea"/>
                <a:cs typeface="+mn-cs"/>
              </a:rPr>
              <a:t>	</a:t>
            </a:r>
            <a:r>
              <a:rPr lang="en-US" sz="1100">
                <a:effectLst/>
                <a:latin typeface="+mn-lt"/>
                <a:ea typeface="+mn-ea"/>
                <a:cs typeface="+mn-cs"/>
              </a:rPr>
              <a:t>Open Activity-Connectivity Explorer (ACE) Advance viewer interactive web app on H-GAC website </a:t>
            </a:r>
            <a:r>
              <a:rPr lang="en-US" sz="1100" u="sng">
                <a:effectLst/>
                <a:latin typeface="+mn-lt"/>
                <a:ea typeface="+mn-ea"/>
                <a:cs typeface="+mn-cs"/>
              </a:rPr>
              <a:t>https://datalab.h-gac.com/ace/</a:t>
            </a:r>
            <a:r>
              <a:rPr lang="en-US" sz="1100">
                <a:effectLst/>
                <a:latin typeface="+mn-lt"/>
                <a:ea typeface="+mn-ea"/>
                <a:cs typeface="+mn-cs"/>
              </a:rPr>
              <a:t> </a:t>
            </a:r>
            <a:endParaRPr lang="en-US">
              <a:effectLst/>
            </a:endParaRPr>
          </a:p>
          <a:p>
            <a:r>
              <a:rPr lang="en-US" sz="1100">
                <a:effectLst/>
                <a:latin typeface="+mn-lt"/>
                <a:ea typeface="+mn-ea"/>
                <a:cs typeface="+mn-cs"/>
              </a:rPr>
              <a:t>	Click on location analysis widget  </a:t>
            </a:r>
            <a:endParaRPr lang="en-US">
              <a:effectLst/>
            </a:endParaRPr>
          </a:p>
          <a:p>
            <a:r>
              <a:rPr lang="en-US" sz="1100">
                <a:effectLst/>
                <a:latin typeface="+mn-lt"/>
                <a:ea typeface="+mn-ea"/>
                <a:cs typeface="+mn-cs"/>
              </a:rPr>
              <a:t>	Draw point or line  at project location on the map</a:t>
            </a:r>
            <a:endParaRPr lang="en-US">
              <a:effectLst/>
            </a:endParaRPr>
          </a:p>
          <a:p>
            <a:r>
              <a:rPr lang="en-US" sz="1100">
                <a:effectLst/>
                <a:latin typeface="+mn-lt"/>
                <a:ea typeface="+mn-ea"/>
                <a:cs typeface="+mn-cs"/>
              </a:rPr>
              <a:t>	Set the buffer distance as 0.25 miles</a:t>
            </a:r>
            <a:endParaRPr lang="en-US">
              <a:effectLst/>
            </a:endParaRPr>
          </a:p>
          <a:p>
            <a:r>
              <a:rPr lang="en-US" sz="1100">
                <a:effectLst/>
                <a:latin typeface="+mn-lt"/>
                <a:ea typeface="+mn-ea"/>
                <a:cs typeface="+mn-cs"/>
              </a:rPr>
              <a:t>	Click on Ped-Bike Commuter Analysis tab on the data table at the bottom on the webpage</a:t>
            </a:r>
            <a:endParaRPr lang="en-US">
              <a:effectLst/>
            </a:endParaRPr>
          </a:p>
          <a:p>
            <a:r>
              <a:rPr lang="en-US" sz="1100" baseline="0">
                <a:effectLst/>
                <a:latin typeface="+mn-lt"/>
                <a:ea typeface="+mn-ea"/>
                <a:cs typeface="+mn-cs"/>
              </a:rPr>
              <a:t>	</a:t>
            </a:r>
            <a:endParaRPr lang="en-US" sz="1100">
              <a:effectLst/>
              <a:latin typeface="+mn-lt"/>
              <a:ea typeface="+mn-ea"/>
              <a:cs typeface="+mn-cs"/>
            </a:endParaRPr>
          </a:p>
          <a:p>
            <a:r>
              <a:rPr lang="en-US" sz="1100">
                <a:effectLst/>
                <a:latin typeface="+mn-lt"/>
                <a:ea typeface="+mn-ea"/>
                <a:cs typeface="+mn-cs"/>
              </a:rPr>
              <a:t> </a:t>
            </a:r>
          </a:p>
          <a:p>
            <a:endParaRPr lang="en-US" sz="1100">
              <a:effectLst/>
              <a:latin typeface="+mn-lt"/>
              <a:ea typeface="+mn-ea"/>
              <a:cs typeface="+mn-cs"/>
            </a:endParaRPr>
          </a:p>
          <a:p>
            <a:endParaRPr lang="en-US" sz="1100">
              <a:effectLst/>
              <a:latin typeface="+mn-lt"/>
              <a:ea typeface="+mn-ea"/>
              <a:cs typeface="+mn-cs"/>
            </a:endParaRPr>
          </a:p>
          <a:p>
            <a:endParaRPr lang="en-US" sz="1100">
              <a:effectLst/>
              <a:latin typeface="+mn-lt"/>
              <a:ea typeface="+mn-ea"/>
              <a:cs typeface="+mn-cs"/>
            </a:endParaRPr>
          </a:p>
          <a:p>
            <a:r>
              <a:rPr lang="en-US" sz="1100">
                <a:effectLst/>
                <a:latin typeface="+mn-lt"/>
                <a:ea typeface="+mn-ea"/>
                <a:cs typeface="+mn-cs"/>
              </a:rPr>
              <a:t> Daily Travel Demand:</a:t>
            </a:r>
          </a:p>
          <a:p>
            <a:r>
              <a:rPr lang="en-US" sz="1100" i="1">
                <a:effectLst/>
                <a:latin typeface="+mn-lt"/>
                <a:ea typeface="+mn-ea"/>
                <a:cs typeface="+mn-cs"/>
              </a:rPr>
              <a:t>	2021 Average Traffic Volume (AADT): </a:t>
            </a:r>
            <a:r>
              <a:rPr lang="en-US" sz="1100">
                <a:effectLst/>
                <a:latin typeface="+mn-lt"/>
                <a:ea typeface="+mn-ea"/>
                <a:cs typeface="+mn-cs"/>
              </a:rPr>
              <a:t>Sponsors may enter the AADT from latest traffic counts available form TxDOT’s traffic count data, or 	sponsors may choose to collect the traffic counts and enter collected traffic count data</a:t>
            </a:r>
            <a:r>
              <a:rPr lang="en-US" sz="1100" i="1">
                <a:effectLst/>
                <a:latin typeface="+mn-lt"/>
                <a:ea typeface="+mn-ea"/>
                <a:cs typeface="+mn-cs"/>
              </a:rPr>
              <a:t>.</a:t>
            </a:r>
            <a:endParaRPr lang="en-US" sz="1100">
              <a:effectLst/>
              <a:latin typeface="+mn-lt"/>
              <a:ea typeface="+mn-ea"/>
              <a:cs typeface="+mn-cs"/>
            </a:endParaRPr>
          </a:p>
          <a:p>
            <a:r>
              <a:rPr lang="en-US" sz="1100" i="1">
                <a:effectLst/>
                <a:latin typeface="+mn-lt"/>
                <a:ea typeface="+mn-ea"/>
                <a:cs typeface="+mn-cs"/>
              </a:rPr>
              <a:t>	Estimated 2023 Daily Traffic Volume (both directions): </a:t>
            </a:r>
            <a:r>
              <a:rPr lang="en-US" sz="1100">
                <a:effectLst/>
                <a:latin typeface="+mn-lt"/>
                <a:ea typeface="+mn-ea"/>
                <a:cs typeface="+mn-cs"/>
              </a:rPr>
              <a:t>Enter estimated daily traffic volume data.  Regional travel demand model data  	provided by H-GAC upon sponsor’s request.</a:t>
            </a:r>
            <a:r>
              <a:rPr lang="en-US" sz="1100" i="1">
                <a:effectLst/>
                <a:latin typeface="+mn-lt"/>
                <a:ea typeface="+mn-ea"/>
                <a:cs typeface="+mn-cs"/>
              </a:rPr>
              <a:t> </a:t>
            </a:r>
            <a:endParaRPr lang="en-US" sz="1100">
              <a:effectLst/>
              <a:latin typeface="+mn-lt"/>
              <a:ea typeface="+mn-ea"/>
              <a:cs typeface="+mn-cs"/>
            </a:endParaRPr>
          </a:p>
          <a:p>
            <a:r>
              <a:rPr lang="en-US" sz="1100" i="1">
                <a:effectLst/>
                <a:latin typeface="+mn-lt"/>
                <a:ea typeface="+mn-ea"/>
                <a:cs typeface="+mn-cs"/>
              </a:rPr>
              <a:t>	Estimate 2030 Daily Traffic Volume (both directions): </a:t>
            </a:r>
            <a:r>
              <a:rPr lang="en-US" sz="1100">
                <a:effectLst/>
                <a:latin typeface="+mn-lt"/>
                <a:ea typeface="+mn-ea"/>
                <a:cs typeface="+mn-cs"/>
              </a:rPr>
              <a:t>Enter estimated daily traffic volume data.  Regional travel demand model data  	provided by H-GAC upon sponsor’s request.</a:t>
            </a:r>
            <a:r>
              <a:rPr lang="en-US" sz="1100" i="1">
                <a:effectLst/>
                <a:latin typeface="+mn-lt"/>
                <a:ea typeface="+mn-ea"/>
                <a:cs typeface="+mn-cs"/>
              </a:rPr>
              <a:t> </a:t>
            </a:r>
          </a:p>
          <a:p>
            <a:r>
              <a:rPr lang="en-US" sz="1100">
                <a:effectLst/>
                <a:latin typeface="+mn-lt"/>
                <a:ea typeface="+mn-ea"/>
                <a:cs typeface="+mn-cs"/>
              </a:rPr>
              <a:t> 	</a:t>
            </a:r>
            <a:r>
              <a:rPr lang="en-US" sz="1100" i="1">
                <a:effectLst/>
                <a:latin typeface="+mn-lt"/>
                <a:ea typeface="+mn-ea"/>
                <a:cs typeface="+mn-cs"/>
              </a:rPr>
              <a:t>Estimate 2045 Daily Traffic Volume (both directions): </a:t>
            </a:r>
            <a:r>
              <a:rPr lang="en-US" sz="1100">
                <a:effectLst/>
                <a:latin typeface="+mn-lt"/>
                <a:ea typeface="+mn-ea"/>
                <a:cs typeface="+mn-cs"/>
              </a:rPr>
              <a:t>Enter estimated daily traffic volume data.  Regional travel demand model data  	provided by H-GAC upon sponsor’s request.</a:t>
            </a:r>
            <a:r>
              <a:rPr lang="en-US" sz="1100" i="1">
                <a:effectLst/>
                <a:latin typeface="+mn-lt"/>
                <a:ea typeface="+mn-ea"/>
                <a:cs typeface="+mn-cs"/>
              </a:rPr>
              <a:t> </a:t>
            </a:r>
          </a:p>
          <a:p>
            <a:endParaRPr lang="en-US" sz="1100">
              <a:effectLst/>
              <a:latin typeface="+mn-lt"/>
              <a:ea typeface="+mn-ea"/>
              <a:cs typeface="+mn-cs"/>
            </a:endParaRPr>
          </a:p>
          <a:p>
            <a:r>
              <a:rPr lang="en-US" sz="1100">
                <a:effectLst/>
                <a:latin typeface="+mn-lt"/>
                <a:ea typeface="+mn-ea"/>
                <a:cs typeface="+mn-cs"/>
              </a:rPr>
              <a:t>Results will be populated in "red" shaded section ("Benefit Results").</a:t>
            </a:r>
          </a:p>
          <a:p>
            <a:pPr algn="l" rtl="0">
              <a:defRPr sz="1000"/>
            </a:pPr>
            <a:endParaRPr lang="en-US" sz="1100" b="0" i="0" u="none" strike="noStrike" baseline="0">
              <a:solidFill>
                <a:srgbClr val="000000"/>
              </a:solidFill>
              <a:latin typeface="Times New Roman"/>
              <a:cs typeface="Times New Roman"/>
            </a:endParaRPr>
          </a:p>
        </xdr:txBody>
      </xdr:sp>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015760" y="4432501"/>
            <a:ext cx="213947" cy="210496"/>
          </a:xfrm>
          <a:prstGeom prst="rect">
            <a:avLst/>
          </a:prstGeom>
        </xdr:spPr>
      </xdr:pic>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4029808" y="4506463"/>
            <a:ext cx="893897" cy="311861"/>
          </a:xfrm>
          <a:prstGeom prst="rect">
            <a:avLst/>
          </a:prstGeom>
        </xdr:spPr>
      </xdr:pic>
    </xdr:grpSp>
    <xdr:clientData/>
  </xdr:twoCellAnchor>
  <xdr:twoCellAnchor editAs="oneCell">
    <xdr:from>
      <xdr:col>0</xdr:col>
      <xdr:colOff>982717</xdr:colOff>
      <xdr:row>25</xdr:row>
      <xdr:rowOff>168165</xdr:rowOff>
    </xdr:from>
    <xdr:to>
      <xdr:col>2</xdr:col>
      <xdr:colOff>352095</xdr:colOff>
      <xdr:row>29</xdr:row>
      <xdr:rowOff>44809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3"/>
        <a:srcRect t="10725"/>
        <a:stretch/>
      </xdr:blipFill>
      <xdr:spPr>
        <a:xfrm>
          <a:off x="982717" y="4766441"/>
          <a:ext cx="3326523" cy="612368"/>
        </a:xfrm>
        <a:prstGeom prst="rect">
          <a:avLst/>
        </a:prstGeom>
      </xdr:spPr>
    </xdr:pic>
    <xdr:clientData/>
  </xdr:twoCellAnchor>
  <xdr:twoCellAnchor>
    <xdr:from>
      <xdr:col>0</xdr:col>
      <xdr:colOff>2743201</xdr:colOff>
      <xdr:row>26</xdr:row>
      <xdr:rowOff>78827</xdr:rowOff>
    </xdr:from>
    <xdr:to>
      <xdr:col>2</xdr:col>
      <xdr:colOff>252250</xdr:colOff>
      <xdr:row>29</xdr:row>
      <xdr:rowOff>27892</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2743201" y="4861034"/>
          <a:ext cx="1466194" cy="500858"/>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219076</xdr:colOff>
      <xdr:row>14</xdr:row>
      <xdr:rowOff>0</xdr:rowOff>
    </xdr:from>
    <xdr:to>
      <xdr:col>2</xdr:col>
      <xdr:colOff>1114425</xdr:colOff>
      <xdr:row>14</xdr:row>
      <xdr:rowOff>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2021-02/Benefit%20Cost%20Analysis%20Guidance%202021.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5" t="s">
        <v>0</v>
      </c>
      <c r="D3" s="5" t="s">
        <v>1</v>
      </c>
      <c r="E3" s="6" t="s">
        <v>2</v>
      </c>
      <c r="G3" s="12" t="s">
        <v>3</v>
      </c>
      <c r="H3" s="12"/>
      <c r="I3" s="12" t="s">
        <v>4</v>
      </c>
      <c r="J3" s="12" t="s">
        <v>5</v>
      </c>
    </row>
    <row r="4" spans="1:10" x14ac:dyDescent="0.3">
      <c r="A4" s="3" t="s">
        <v>6</v>
      </c>
      <c r="B4" s="4"/>
      <c r="D4" s="3" t="s">
        <v>7</v>
      </c>
      <c r="E4" s="4">
        <v>2015</v>
      </c>
      <c r="G4" s="10">
        <f>E4</f>
        <v>2015</v>
      </c>
      <c r="H4" s="10">
        <f>IF(G4&lt;2041,1,0)</f>
        <v>1</v>
      </c>
      <c r="I4" s="19">
        <f>IF($G4&lt;($G$4+$E$5),$E$17,0)*H4</f>
        <v>0</v>
      </c>
      <c r="J4" s="24" t="e">
        <f>I4*$B$18*$B$19/10^3</f>
        <v>#REF!</v>
      </c>
    </row>
    <row r="5" spans="1:10" x14ac:dyDescent="0.3">
      <c r="A5" s="3" t="s">
        <v>8</v>
      </c>
      <c r="B5" s="4"/>
      <c r="D5" s="3" t="s">
        <v>9</v>
      </c>
      <c r="E5" s="7">
        <v>10</v>
      </c>
      <c r="G5" s="11">
        <f t="shared" ref="G5:G29" si="0">G4+1</f>
        <v>2016</v>
      </c>
      <c r="H5" s="11">
        <f t="shared" ref="H5:H29" si="1">IF(G5&lt;2041,1,0)</f>
        <v>1</v>
      </c>
      <c r="I5" s="19">
        <f t="shared" ref="I5:I29" si="2">IF($G5&lt;($G$4+$E$5),$E$17,0)*H5</f>
        <v>0</v>
      </c>
      <c r="J5" s="31" t="e">
        <f t="shared" ref="J5:J24" si="3">I5*$B$18*$B$19/10^3</f>
        <v>#REF!</v>
      </c>
    </row>
    <row r="6" spans="1:10" x14ac:dyDescent="0.3">
      <c r="A6" s="3" t="s">
        <v>10</v>
      </c>
      <c r="B6" s="4">
        <v>1</v>
      </c>
      <c r="D6" s="151" t="s">
        <v>11</v>
      </c>
      <c r="E6" s="152"/>
      <c r="G6" s="10">
        <f t="shared" si="0"/>
        <v>2017</v>
      </c>
      <c r="H6" s="10">
        <f t="shared" si="1"/>
        <v>1</v>
      </c>
      <c r="I6" s="19">
        <f t="shared" si="2"/>
        <v>0</v>
      </c>
      <c r="J6" s="24" t="e">
        <f t="shared" si="3"/>
        <v>#REF!</v>
      </c>
    </row>
    <row r="7" spans="1:10" x14ac:dyDescent="0.3">
      <c r="A7" s="3" t="s">
        <v>12</v>
      </c>
      <c r="B7" s="20"/>
      <c r="D7" s="3" t="s">
        <v>13</v>
      </c>
      <c r="E7" s="7"/>
      <c r="G7" s="11">
        <f t="shared" si="0"/>
        <v>2018</v>
      </c>
      <c r="H7" s="11">
        <f t="shared" si="1"/>
        <v>1</v>
      </c>
      <c r="I7" s="19">
        <f t="shared" si="2"/>
        <v>0</v>
      </c>
      <c r="J7" s="31" t="e">
        <f t="shared" si="3"/>
        <v>#REF!</v>
      </c>
    </row>
    <row r="8" spans="1:10" x14ac:dyDescent="0.3">
      <c r="A8" s="3" t="s">
        <v>14</v>
      </c>
      <c r="B8" s="20"/>
      <c r="D8" s="3" t="s">
        <v>15</v>
      </c>
      <c r="E8" s="34">
        <v>1.1499999999999999</v>
      </c>
      <c r="G8" s="10">
        <f t="shared" si="0"/>
        <v>2019</v>
      </c>
      <c r="H8" s="10">
        <f t="shared" si="1"/>
        <v>1</v>
      </c>
      <c r="I8" s="19">
        <f t="shared" si="2"/>
        <v>0</v>
      </c>
      <c r="J8" s="24" t="e">
        <f t="shared" si="3"/>
        <v>#REF!</v>
      </c>
    </row>
    <row r="9" spans="1:10" x14ac:dyDescent="0.3">
      <c r="G9" s="11">
        <f t="shared" si="0"/>
        <v>2020</v>
      </c>
      <c r="H9" s="11">
        <f t="shared" si="1"/>
        <v>1</v>
      </c>
      <c r="I9" s="19">
        <f t="shared" si="2"/>
        <v>0</v>
      </c>
      <c r="J9" s="31" t="e">
        <f t="shared" si="3"/>
        <v>#REF!</v>
      </c>
    </row>
    <row r="10" spans="1:10" x14ac:dyDescent="0.3">
      <c r="A10" s="9" t="s">
        <v>16</v>
      </c>
      <c r="G10" s="10">
        <f t="shared" si="0"/>
        <v>2021</v>
      </c>
      <c r="H10" s="10">
        <f t="shared" si="1"/>
        <v>1</v>
      </c>
      <c r="I10" s="19">
        <f t="shared" si="2"/>
        <v>0</v>
      </c>
      <c r="J10" s="24" t="e">
        <f t="shared" si="3"/>
        <v>#REF!</v>
      </c>
    </row>
    <row r="11" spans="1:10" x14ac:dyDescent="0.3">
      <c r="A11" s="8" t="s">
        <v>17</v>
      </c>
      <c r="B11" s="32" t="e">
        <f>NPV($B$17,J4:J29)/(1+$B$17)^(E4-B16+1)</f>
        <v>#REF!</v>
      </c>
      <c r="G11" s="11">
        <f t="shared" si="0"/>
        <v>2022</v>
      </c>
      <c r="H11" s="11">
        <f t="shared" si="1"/>
        <v>1</v>
      </c>
      <c r="I11" s="19">
        <f t="shared" si="2"/>
        <v>0</v>
      </c>
      <c r="J11" s="31" t="e">
        <f t="shared" si="3"/>
        <v>#REF!</v>
      </c>
    </row>
    <row r="12" spans="1:10" x14ac:dyDescent="0.3">
      <c r="A12" s="8" t="s">
        <v>18</v>
      </c>
      <c r="B12" s="30" t="e">
        <f>B11/B7</f>
        <v>#REF!</v>
      </c>
      <c r="G12" s="10">
        <f t="shared" si="0"/>
        <v>2023</v>
      </c>
      <c r="H12" s="10">
        <f t="shared" si="1"/>
        <v>1</v>
      </c>
      <c r="I12" s="19">
        <f t="shared" si="2"/>
        <v>0</v>
      </c>
      <c r="J12" s="24" t="e">
        <f t="shared" si="3"/>
        <v>#REF!</v>
      </c>
    </row>
    <row r="13" spans="1:10" x14ac:dyDescent="0.3">
      <c r="G13" s="11">
        <f t="shared" si="0"/>
        <v>2024</v>
      </c>
      <c r="H13" s="11">
        <f t="shared" si="1"/>
        <v>1</v>
      </c>
      <c r="I13" s="19">
        <f t="shared" si="2"/>
        <v>0</v>
      </c>
      <c r="J13" s="31" t="e">
        <f t="shared" si="3"/>
        <v>#REF!</v>
      </c>
    </row>
    <row r="14" spans="1:10" x14ac:dyDescent="0.3">
      <c r="G14" s="10">
        <f>G13+1</f>
        <v>2025</v>
      </c>
      <c r="H14" s="10">
        <f t="shared" si="1"/>
        <v>1</v>
      </c>
      <c r="I14" s="19">
        <f t="shared" si="2"/>
        <v>0</v>
      </c>
      <c r="J14" s="24" t="e">
        <f t="shared" si="3"/>
        <v>#REF!</v>
      </c>
    </row>
    <row r="15" spans="1:10" x14ac:dyDescent="0.3">
      <c r="A15" s="13" t="s">
        <v>19</v>
      </c>
      <c r="G15" s="11">
        <f t="shared" si="0"/>
        <v>2026</v>
      </c>
      <c r="H15" s="11">
        <f t="shared" si="1"/>
        <v>1</v>
      </c>
      <c r="I15" s="19">
        <f t="shared" si="2"/>
        <v>0</v>
      </c>
      <c r="J15" s="31" t="e">
        <f t="shared" si="3"/>
        <v>#REF!</v>
      </c>
    </row>
    <row r="16" spans="1:10" x14ac:dyDescent="0.3">
      <c r="A16" s="14" t="s">
        <v>20</v>
      </c>
      <c r="B16" s="14" t="e">
        <f>'Assumed Values'!#REF!</f>
        <v>#REF!</v>
      </c>
      <c r="D16" s="13" t="s">
        <v>21</v>
      </c>
      <c r="E16" s="21" t="s">
        <v>2</v>
      </c>
      <c r="G16" s="10">
        <f t="shared" si="0"/>
        <v>2027</v>
      </c>
      <c r="H16" s="10">
        <f t="shared" si="1"/>
        <v>1</v>
      </c>
      <c r="I16" s="19">
        <f t="shared" si="2"/>
        <v>0</v>
      </c>
      <c r="J16" s="24" t="e">
        <f t="shared" si="3"/>
        <v>#REF!</v>
      </c>
    </row>
    <row r="17" spans="1:10" x14ac:dyDescent="0.3">
      <c r="A17" s="14" t="s">
        <v>22</v>
      </c>
      <c r="B17" s="15" t="e">
        <f>'Assumed Values'!#REF!</f>
        <v>#REF!</v>
      </c>
      <c r="D17" s="17" t="s">
        <v>23</v>
      </c>
      <c r="E17" s="18">
        <f>E7/E8</f>
        <v>0</v>
      </c>
      <c r="G17" s="11">
        <f t="shared" si="0"/>
        <v>2028</v>
      </c>
      <c r="H17" s="11">
        <f t="shared" si="1"/>
        <v>1</v>
      </c>
      <c r="I17" s="19">
        <f t="shared" si="2"/>
        <v>0</v>
      </c>
      <c r="J17" s="31" t="e">
        <f t="shared" si="3"/>
        <v>#REF!</v>
      </c>
    </row>
    <row r="18" spans="1:10" x14ac:dyDescent="0.3">
      <c r="A18" s="14" t="s">
        <v>24</v>
      </c>
      <c r="B18" s="14">
        <f>IF(B6=2,2.1, 1.1)</f>
        <v>1.1000000000000001</v>
      </c>
      <c r="G18" s="10">
        <f t="shared" si="0"/>
        <v>2029</v>
      </c>
      <c r="H18" s="10">
        <f t="shared" si="1"/>
        <v>1</v>
      </c>
      <c r="I18" s="19">
        <f t="shared" si="2"/>
        <v>0</v>
      </c>
      <c r="J18" s="24" t="e">
        <f t="shared" si="3"/>
        <v>#REF!</v>
      </c>
    </row>
    <row r="19" spans="1:10" x14ac:dyDescent="0.3">
      <c r="A19" s="14" t="s">
        <v>25</v>
      </c>
      <c r="B19" s="16" t="e">
        <f>'Assumed Values'!#REF!</f>
        <v>#REF!</v>
      </c>
      <c r="G19" s="11">
        <f t="shared" si="0"/>
        <v>2030</v>
      </c>
      <c r="H19" s="11">
        <f t="shared" si="1"/>
        <v>1</v>
      </c>
      <c r="I19" s="19">
        <f t="shared" si="2"/>
        <v>0</v>
      </c>
      <c r="J19" s="31" t="e">
        <f t="shared" si="3"/>
        <v>#REF!</v>
      </c>
    </row>
    <row r="20" spans="1:10" x14ac:dyDescent="0.3">
      <c r="A20" s="14" t="s">
        <v>26</v>
      </c>
      <c r="B20" s="14">
        <v>260</v>
      </c>
      <c r="G20" s="10">
        <f t="shared" si="0"/>
        <v>2031</v>
      </c>
      <c r="H20" s="10">
        <f t="shared" si="1"/>
        <v>1</v>
      </c>
      <c r="I20" s="19">
        <f t="shared" si="2"/>
        <v>0</v>
      </c>
      <c r="J20" s="24" t="e">
        <f t="shared" si="3"/>
        <v>#REF!</v>
      </c>
    </row>
    <row r="21" spans="1:10" x14ac:dyDescent="0.3">
      <c r="G21" s="11">
        <f t="shared" si="0"/>
        <v>2032</v>
      </c>
      <c r="H21" s="11">
        <f t="shared" si="1"/>
        <v>1</v>
      </c>
      <c r="I21" s="19">
        <f t="shared" si="2"/>
        <v>0</v>
      </c>
      <c r="J21" s="31" t="e">
        <f t="shared" si="3"/>
        <v>#REF!</v>
      </c>
    </row>
    <row r="22" spans="1:10" x14ac:dyDescent="0.3">
      <c r="G22" s="10">
        <f t="shared" si="0"/>
        <v>2033</v>
      </c>
      <c r="H22" s="10">
        <f t="shared" si="1"/>
        <v>1</v>
      </c>
      <c r="I22" s="19">
        <f t="shared" si="2"/>
        <v>0</v>
      </c>
      <c r="J22" s="24" t="e">
        <f t="shared" si="3"/>
        <v>#REF!</v>
      </c>
    </row>
    <row r="23" spans="1:10" x14ac:dyDescent="0.3">
      <c r="G23" s="11">
        <f t="shared" si="0"/>
        <v>2034</v>
      </c>
      <c r="H23" s="11">
        <f t="shared" si="1"/>
        <v>1</v>
      </c>
      <c r="I23" s="19">
        <f t="shared" si="2"/>
        <v>0</v>
      </c>
      <c r="J23" s="31" t="e">
        <f t="shared" si="3"/>
        <v>#REF!</v>
      </c>
    </row>
    <row r="24" spans="1:10" x14ac:dyDescent="0.3">
      <c r="G24" s="10">
        <f t="shared" si="0"/>
        <v>2035</v>
      </c>
      <c r="H24" s="10">
        <f t="shared" si="1"/>
        <v>1</v>
      </c>
      <c r="I24" s="19">
        <f t="shared" si="2"/>
        <v>0</v>
      </c>
      <c r="J24" s="24" t="e">
        <f t="shared" si="3"/>
        <v>#REF!</v>
      </c>
    </row>
    <row r="25" spans="1:10" x14ac:dyDescent="0.3">
      <c r="G25" s="11">
        <f t="shared" si="0"/>
        <v>2036</v>
      </c>
      <c r="H25" s="11">
        <f t="shared" si="1"/>
        <v>1</v>
      </c>
      <c r="I25" s="19">
        <f t="shared" si="2"/>
        <v>0</v>
      </c>
      <c r="J25" s="31" t="e">
        <f t="shared" ref="J25:J29" si="4">I25*$B$18*$B$19/10^3</f>
        <v>#REF!</v>
      </c>
    </row>
    <row r="26" spans="1:10" x14ac:dyDescent="0.3">
      <c r="G26" s="10">
        <f t="shared" si="0"/>
        <v>2037</v>
      </c>
      <c r="H26" s="10">
        <f t="shared" si="1"/>
        <v>1</v>
      </c>
      <c r="I26" s="19">
        <f t="shared" si="2"/>
        <v>0</v>
      </c>
      <c r="J26" s="24" t="e">
        <f t="shared" si="4"/>
        <v>#REF!</v>
      </c>
    </row>
    <row r="27" spans="1:10" x14ac:dyDescent="0.3">
      <c r="G27" s="11">
        <f t="shared" si="0"/>
        <v>2038</v>
      </c>
      <c r="H27" s="11">
        <f t="shared" si="1"/>
        <v>1</v>
      </c>
      <c r="I27" s="19">
        <f t="shared" si="2"/>
        <v>0</v>
      </c>
      <c r="J27" s="31" t="e">
        <f t="shared" si="4"/>
        <v>#REF!</v>
      </c>
    </row>
    <row r="28" spans="1:10" x14ac:dyDescent="0.3">
      <c r="G28" s="10">
        <f t="shared" si="0"/>
        <v>2039</v>
      </c>
      <c r="H28" s="10">
        <f t="shared" si="1"/>
        <v>1</v>
      </c>
      <c r="I28" s="19">
        <f t="shared" si="2"/>
        <v>0</v>
      </c>
      <c r="J28" s="24" t="e">
        <f t="shared" si="4"/>
        <v>#REF!</v>
      </c>
    </row>
    <row r="29" spans="1:10" x14ac:dyDescent="0.3">
      <c r="A29" s="22"/>
      <c r="G29" s="11">
        <f t="shared" si="0"/>
        <v>2040</v>
      </c>
      <c r="H29" s="11">
        <f t="shared" si="1"/>
        <v>1</v>
      </c>
      <c r="I29" s="19">
        <f t="shared" si="2"/>
        <v>0</v>
      </c>
      <c r="J29" s="31" t="e">
        <f t="shared" si="4"/>
        <v>#REF!</v>
      </c>
    </row>
    <row r="51" spans="1:1" x14ac:dyDescent="0.3">
      <c r="A51" t="s">
        <v>27</v>
      </c>
    </row>
    <row r="52" spans="1:1" x14ac:dyDescent="0.3">
      <c r="A52" t="s">
        <v>28</v>
      </c>
    </row>
    <row r="53" spans="1:1" x14ac:dyDescent="0.3">
      <c r="A53" t="s">
        <v>29</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2:D10"/>
  <sheetViews>
    <sheetView zoomScale="145" zoomScaleNormal="145" workbookViewId="0">
      <selection activeCell="C8" sqref="C8"/>
    </sheetView>
  </sheetViews>
  <sheetFormatPr defaultRowHeight="14.4" x14ac:dyDescent="0.3"/>
  <cols>
    <col min="3" max="3" width="34.6640625" bestFit="1" customWidth="1"/>
    <col min="4" max="4" width="18" bestFit="1" customWidth="1"/>
    <col min="5" max="6" width="12.88671875" customWidth="1"/>
  </cols>
  <sheetData>
    <row r="2" spans="3:4" ht="15" thickBot="1" x14ac:dyDescent="0.35"/>
    <row r="3" spans="3:4" x14ac:dyDescent="0.3">
      <c r="C3" s="38" t="s">
        <v>133</v>
      </c>
      <c r="D3" s="43" t="s">
        <v>134</v>
      </c>
    </row>
    <row r="4" spans="3:4" x14ac:dyDescent="0.3">
      <c r="C4" s="41" t="s">
        <v>57</v>
      </c>
      <c r="D4" s="39">
        <v>20</v>
      </c>
    </row>
    <row r="5" spans="3:4" x14ac:dyDescent="0.3">
      <c r="C5" s="41" t="s">
        <v>135</v>
      </c>
      <c r="D5" s="39">
        <v>10</v>
      </c>
    </row>
    <row r="6" spans="3:4" x14ac:dyDescent="0.3">
      <c r="C6" s="41" t="s">
        <v>136</v>
      </c>
      <c r="D6" s="39">
        <v>10</v>
      </c>
    </row>
    <row r="7" spans="3:4" x14ac:dyDescent="0.3">
      <c r="C7" s="41" t="s">
        <v>137</v>
      </c>
      <c r="D7" s="39">
        <v>20</v>
      </c>
    </row>
    <row r="8" spans="3:4" x14ac:dyDescent="0.3">
      <c r="C8" s="41" t="s">
        <v>138</v>
      </c>
      <c r="D8" s="39">
        <v>20</v>
      </c>
    </row>
    <row r="9" spans="3:4" x14ac:dyDescent="0.3">
      <c r="C9" s="41" t="s">
        <v>139</v>
      </c>
      <c r="D9" s="39">
        <v>20</v>
      </c>
    </row>
    <row r="10" spans="3:4" ht="15" thickBot="1" x14ac:dyDescent="0.35">
      <c r="C10" s="42" t="s">
        <v>140</v>
      </c>
      <c r="D10" s="40">
        <v>50</v>
      </c>
    </row>
  </sheetData>
  <sheetProtection algorithmName="SHA-512" hashValue="JoMU+Aovo4UCKZT++XNkAX3CBXFpAfDsg38c3CA7CwGjv28GWrrLMACCoUwhyuB6ip7P9phBvXQDHZjKkNQakw==" saltValue="lRjTvS+/ApGZTRDXC4dHFA==" spinCount="100000" sheet="1" objects="1" scenarios="1"/>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BF6FC-057B-44EB-B06E-5F106DDE79E6}">
  <sheetPr>
    <tabColor theme="1"/>
  </sheetPr>
  <dimension ref="A1:M16"/>
  <sheetViews>
    <sheetView workbookViewId="0">
      <selection activeCell="C5" sqref="C5"/>
    </sheetView>
  </sheetViews>
  <sheetFormatPr defaultRowHeight="14.4" x14ac:dyDescent="0.3"/>
  <cols>
    <col min="1" max="1" width="3.109375" style="116" customWidth="1"/>
    <col min="2" max="2" width="13.6640625" style="116" customWidth="1"/>
    <col min="3" max="3" width="12" style="116" bestFit="1" customWidth="1"/>
    <col min="4" max="4" width="11.33203125" style="116" bestFit="1" customWidth="1"/>
    <col min="5" max="16384" width="8.88671875" style="116"/>
  </cols>
  <sheetData>
    <row r="1" spans="1:13" x14ac:dyDescent="0.3">
      <c r="A1" s="118"/>
      <c r="B1" s="118"/>
      <c r="C1" s="118"/>
      <c r="D1" s="118"/>
    </row>
    <row r="2" spans="1:13" x14ac:dyDescent="0.3">
      <c r="A2" s="118"/>
      <c r="B2" s="118"/>
      <c r="C2" s="119" t="s">
        <v>141</v>
      </c>
      <c r="D2" s="119" t="s">
        <v>141</v>
      </c>
    </row>
    <row r="3" spans="1:13" x14ac:dyDescent="0.3">
      <c r="A3" s="118"/>
      <c r="B3" s="120" t="s">
        <v>142</v>
      </c>
      <c r="C3" s="119" t="s">
        <v>143</v>
      </c>
      <c r="D3" s="121" t="s">
        <v>144</v>
      </c>
      <c r="E3" s="117"/>
      <c r="M3" s="117"/>
    </row>
    <row r="4" spans="1:13" x14ac:dyDescent="0.3">
      <c r="A4" s="118"/>
      <c r="B4" s="122" t="s">
        <v>114</v>
      </c>
      <c r="C4" s="119">
        <v>1.6465250156540216E-2</v>
      </c>
      <c r="D4" s="121">
        <v>3.5990313013993261E-2</v>
      </c>
      <c r="E4" s="117"/>
    </row>
    <row r="5" spans="1:13" x14ac:dyDescent="0.3">
      <c r="A5" s="118"/>
      <c r="B5" s="122" t="s">
        <v>115</v>
      </c>
      <c r="C5" s="119">
        <v>1.5615221198574572E-2</v>
      </c>
      <c r="D5" s="121">
        <v>2.4287640268739003E-2</v>
      </c>
      <c r="E5" s="117"/>
    </row>
    <row r="6" spans="1:13" x14ac:dyDescent="0.3">
      <c r="A6" s="118"/>
      <c r="B6" s="122" t="s">
        <v>116</v>
      </c>
      <c r="C6" s="119">
        <v>3.195266160252231E-2</v>
      </c>
      <c r="D6" s="121">
        <v>2.6990658283985388E-2</v>
      </c>
      <c r="E6" s="117"/>
    </row>
    <row r="7" spans="1:13" x14ac:dyDescent="0.3">
      <c r="A7" s="118"/>
      <c r="B7" s="122" t="s">
        <v>117</v>
      </c>
      <c r="C7" s="119">
        <v>1.9699867662153519E-2</v>
      </c>
      <c r="D7" s="121">
        <v>1.3066379160471426E-2</v>
      </c>
      <c r="E7" s="117"/>
    </row>
    <row r="8" spans="1:13" x14ac:dyDescent="0.3">
      <c r="A8" s="118"/>
      <c r="B8" s="122" t="s">
        <v>53</v>
      </c>
      <c r="C8" s="119">
        <v>1.9512302850000194E-2</v>
      </c>
      <c r="D8" s="121">
        <v>1.2024674308902259E-2</v>
      </c>
      <c r="E8" s="117"/>
    </row>
    <row r="9" spans="1:13" x14ac:dyDescent="0.3">
      <c r="A9" s="118"/>
      <c r="B9" s="122" t="s">
        <v>118</v>
      </c>
      <c r="C9" s="119">
        <v>1.782356260884985E-2</v>
      </c>
      <c r="D9" s="121">
        <v>2.9745043736646361E-2</v>
      </c>
      <c r="E9" s="117"/>
    </row>
    <row r="10" spans="1:13" x14ac:dyDescent="0.3">
      <c r="A10" s="118"/>
      <c r="B10" s="122" t="s">
        <v>119</v>
      </c>
      <c r="C10" s="119">
        <v>2.508906394952868E-2</v>
      </c>
      <c r="D10" s="121">
        <v>2.4222517026481549E-2</v>
      </c>
      <c r="E10" s="117"/>
    </row>
    <row r="11" spans="1:13" x14ac:dyDescent="0.3">
      <c r="A11" s="118"/>
      <c r="B11" s="122" t="s">
        <v>120</v>
      </c>
      <c r="C11" s="119">
        <v>2.4045854892342022E-2</v>
      </c>
      <c r="D11" s="121">
        <v>4.1038431317052267E-2</v>
      </c>
      <c r="E11" s="117"/>
    </row>
    <row r="12" spans="1:13" x14ac:dyDescent="0.3">
      <c r="A12" s="118"/>
      <c r="B12" s="118"/>
      <c r="C12" s="149"/>
      <c r="D12" s="150"/>
      <c r="E12" s="117"/>
    </row>
    <row r="13" spans="1:13" x14ac:dyDescent="0.3">
      <c r="B13" s="157" t="s">
        <v>141</v>
      </c>
      <c r="C13" s="157"/>
    </row>
    <row r="14" spans="1:13" x14ac:dyDescent="0.3">
      <c r="B14" s="145" t="s">
        <v>146</v>
      </c>
      <c r="C14" s="146">
        <v>12000</v>
      </c>
    </row>
    <row r="15" spans="1:13" ht="28.8" x14ac:dyDescent="0.3">
      <c r="B15" s="147" t="s">
        <v>147</v>
      </c>
      <c r="C15" s="146">
        <v>13800</v>
      </c>
    </row>
    <row r="16" spans="1:13" x14ac:dyDescent="0.3">
      <c r="B16" s="145" t="s">
        <v>141</v>
      </c>
      <c r="C16" s="148">
        <f>(($C$15/$C$14)^(1/(Year_Open_to_Traffic?-2021)))-1</f>
        <v>3.5558076341622114E-2</v>
      </c>
    </row>
  </sheetData>
  <sheetProtection algorithmName="SHA-512" hashValue="61Gq4Xg/yZdSsFbqJGl1hGZVJJQwyh8XHX4lBJwiPmBTHm43Krc14AGk+Pz3McqeSalGFvREnA3fSLEg+LgOnA==" saltValue="Zd2CeRryNSoq6SCG7XvNeQ==" spinCount="100000" sheet="1" objects="1" scenarios="1"/>
  <mergeCells count="1">
    <mergeCell ref="B13:C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5" t="s">
        <v>0</v>
      </c>
      <c r="D3" s="5" t="s">
        <v>30</v>
      </c>
      <c r="E3" s="6" t="s">
        <v>2</v>
      </c>
      <c r="G3" s="12" t="s">
        <v>3</v>
      </c>
      <c r="H3" s="12" t="s">
        <v>31</v>
      </c>
      <c r="I3" s="12" t="s">
        <v>32</v>
      </c>
      <c r="J3" s="12" t="s">
        <v>33</v>
      </c>
      <c r="K3" s="12" t="s">
        <v>34</v>
      </c>
    </row>
    <row r="4" spans="1:11" x14ac:dyDescent="0.3">
      <c r="A4" s="3" t="s">
        <v>6</v>
      </c>
      <c r="B4" s="4"/>
      <c r="D4" s="3" t="s">
        <v>7</v>
      </c>
      <c r="E4" s="4">
        <v>2015</v>
      </c>
      <c r="G4" s="10">
        <f>E4</f>
        <v>2015</v>
      </c>
      <c r="H4" s="27">
        <f t="shared" ref="H4:H24" si="0">IF($G4&lt;($G$4+$E$5),$E$17,0)</f>
        <v>0</v>
      </c>
      <c r="I4" s="26" t="e">
        <f>H4*$B$20/10^3</f>
        <v>#REF!</v>
      </c>
      <c r="J4" s="27">
        <f t="shared" ref="J4:J24" si="1">IF($G4&lt;($G$4+$E$5),$E$18,0)</f>
        <v>0</v>
      </c>
      <c r="K4" s="26" t="e">
        <f>J4*$B$21/10^3</f>
        <v>#REF!</v>
      </c>
    </row>
    <row r="5" spans="1:11" x14ac:dyDescent="0.3">
      <c r="A5" s="3" t="s">
        <v>8</v>
      </c>
      <c r="B5" s="4"/>
      <c r="D5" s="3" t="s">
        <v>9</v>
      </c>
      <c r="E5" s="7">
        <v>10</v>
      </c>
      <c r="G5" s="11">
        <f t="shared" ref="G5:G29" si="2">G4+1</f>
        <v>2016</v>
      </c>
      <c r="H5" s="27">
        <f t="shared" si="0"/>
        <v>0</v>
      </c>
      <c r="I5" s="28" t="e">
        <f t="shared" ref="I5:I24" si="3">H5*$B$20/10^3</f>
        <v>#REF!</v>
      </c>
      <c r="J5" s="27">
        <f t="shared" si="1"/>
        <v>0</v>
      </c>
      <c r="K5" s="28" t="e">
        <f t="shared" ref="K5:K24" si="4">J5*$B$21/10^3</f>
        <v>#REF!</v>
      </c>
    </row>
    <row r="6" spans="1:11" x14ac:dyDescent="0.3">
      <c r="A6" s="3" t="s">
        <v>35</v>
      </c>
      <c r="B6" s="4">
        <v>2</v>
      </c>
      <c r="D6" s="151" t="s">
        <v>11</v>
      </c>
      <c r="E6" s="152"/>
      <c r="G6" s="10">
        <f t="shared" si="2"/>
        <v>2017</v>
      </c>
      <c r="H6" s="27">
        <f t="shared" si="0"/>
        <v>0</v>
      </c>
      <c r="I6" s="26" t="e">
        <f t="shared" si="3"/>
        <v>#REF!</v>
      </c>
      <c r="J6" s="27">
        <f t="shared" si="1"/>
        <v>0</v>
      </c>
      <c r="K6" s="26" t="e">
        <f t="shared" si="4"/>
        <v>#REF!</v>
      </c>
    </row>
    <row r="7" spans="1:11" x14ac:dyDescent="0.3">
      <c r="A7" s="3" t="s">
        <v>12</v>
      </c>
      <c r="B7" s="20"/>
      <c r="D7" s="3" t="s">
        <v>36</v>
      </c>
      <c r="E7" s="7"/>
      <c r="G7" s="11">
        <f t="shared" si="2"/>
        <v>2018</v>
      </c>
      <c r="H7" s="27">
        <f t="shared" si="0"/>
        <v>0</v>
      </c>
      <c r="I7" s="28" t="e">
        <f t="shared" si="3"/>
        <v>#REF!</v>
      </c>
      <c r="J7" s="27">
        <f t="shared" si="1"/>
        <v>0</v>
      </c>
      <c r="K7" s="28" t="e">
        <f t="shared" si="4"/>
        <v>#REF!</v>
      </c>
    </row>
    <row r="8" spans="1:11" x14ac:dyDescent="0.3">
      <c r="A8" s="3" t="s">
        <v>14</v>
      </c>
      <c r="B8" s="20"/>
      <c r="D8" s="151" t="s">
        <v>37</v>
      </c>
      <c r="E8" s="152"/>
      <c r="G8" s="10">
        <f t="shared" si="2"/>
        <v>2019</v>
      </c>
      <c r="H8" s="27">
        <f t="shared" si="0"/>
        <v>0</v>
      </c>
      <c r="I8" s="26" t="e">
        <f t="shared" si="3"/>
        <v>#REF!</v>
      </c>
      <c r="J8" s="27">
        <f t="shared" si="1"/>
        <v>0</v>
      </c>
      <c r="K8" s="26" t="e">
        <f t="shared" si="4"/>
        <v>#REF!</v>
      </c>
    </row>
    <row r="9" spans="1:11" x14ac:dyDescent="0.3">
      <c r="D9" s="3" t="s">
        <v>38</v>
      </c>
      <c r="E9" s="7"/>
      <c r="G9" s="11">
        <f t="shared" si="2"/>
        <v>2020</v>
      </c>
      <c r="H9" s="27">
        <f t="shared" si="0"/>
        <v>0</v>
      </c>
      <c r="I9" s="28" t="e">
        <f t="shared" si="3"/>
        <v>#REF!</v>
      </c>
      <c r="J9" s="27">
        <f t="shared" si="1"/>
        <v>0</v>
      </c>
      <c r="K9" s="28" t="e">
        <f t="shared" si="4"/>
        <v>#REF!</v>
      </c>
    </row>
    <row r="10" spans="1:11" x14ac:dyDescent="0.3">
      <c r="A10" s="9" t="s">
        <v>16</v>
      </c>
      <c r="D10" s="3" t="s">
        <v>39</v>
      </c>
      <c r="E10" s="7"/>
      <c r="G10" s="10">
        <f t="shared" si="2"/>
        <v>2021</v>
      </c>
      <c r="H10" s="27">
        <f t="shared" si="0"/>
        <v>0</v>
      </c>
      <c r="I10" s="26" t="e">
        <f t="shared" si="3"/>
        <v>#REF!</v>
      </c>
      <c r="J10" s="27">
        <f t="shared" si="1"/>
        <v>0</v>
      </c>
      <c r="K10" s="26" t="e">
        <f t="shared" si="4"/>
        <v>#REF!</v>
      </c>
    </row>
    <row r="11" spans="1:11" x14ac:dyDescent="0.3">
      <c r="A11" s="8" t="s">
        <v>40</v>
      </c>
      <c r="B11" s="29" t="e">
        <f>(NPV($B$17,K4:K24)+NPV($B$17,I4:I24))/(1+$B$17)^2</f>
        <v>#REF!</v>
      </c>
      <c r="G11" s="11">
        <f t="shared" si="2"/>
        <v>2022</v>
      </c>
      <c r="H11" s="27">
        <f t="shared" si="0"/>
        <v>0</v>
      </c>
      <c r="I11" s="28" t="e">
        <f t="shared" si="3"/>
        <v>#REF!</v>
      </c>
      <c r="J11" s="27">
        <f t="shared" si="1"/>
        <v>0</v>
      </c>
      <c r="K11" s="28" t="e">
        <f t="shared" si="4"/>
        <v>#REF!</v>
      </c>
    </row>
    <row r="12" spans="1:11" x14ac:dyDescent="0.3">
      <c r="A12" s="8" t="s">
        <v>18</v>
      </c>
      <c r="B12" s="30" t="e">
        <f>B11/B7</f>
        <v>#REF!</v>
      </c>
      <c r="G12" s="10">
        <f t="shared" si="2"/>
        <v>2023</v>
      </c>
      <c r="H12" s="27">
        <f t="shared" si="0"/>
        <v>0</v>
      </c>
      <c r="I12" s="26" t="e">
        <f t="shared" si="3"/>
        <v>#REF!</v>
      </c>
      <c r="J12" s="27">
        <f t="shared" si="1"/>
        <v>0</v>
      </c>
      <c r="K12" s="26" t="e">
        <f t="shared" si="4"/>
        <v>#REF!</v>
      </c>
    </row>
    <row r="13" spans="1:11" x14ac:dyDescent="0.3">
      <c r="A13" s="8" t="s">
        <v>41</v>
      </c>
      <c r="B13" s="29" t="e">
        <f>B7*(B17/(1-(1+B17)^(-E5))/(SUM(H4:H29)+SUM(J4:J29)))</f>
        <v>#DIV/0!</v>
      </c>
      <c r="G13" s="11">
        <f t="shared" si="2"/>
        <v>2024</v>
      </c>
      <c r="H13" s="27">
        <f t="shared" si="0"/>
        <v>0</v>
      </c>
      <c r="I13" s="28" t="e">
        <f t="shared" si="3"/>
        <v>#REF!</v>
      </c>
      <c r="J13" s="27">
        <f t="shared" si="1"/>
        <v>0</v>
      </c>
      <c r="K13" s="28" t="e">
        <f t="shared" si="4"/>
        <v>#REF!</v>
      </c>
    </row>
    <row r="14" spans="1:11" x14ac:dyDescent="0.3">
      <c r="G14" s="10">
        <f>G13+1</f>
        <v>2025</v>
      </c>
      <c r="H14" s="27">
        <f t="shared" si="0"/>
        <v>0</v>
      </c>
      <c r="I14" s="26" t="e">
        <f t="shared" si="3"/>
        <v>#REF!</v>
      </c>
      <c r="J14" s="27">
        <f t="shared" si="1"/>
        <v>0</v>
      </c>
      <c r="K14" s="26" t="e">
        <f t="shared" si="4"/>
        <v>#REF!</v>
      </c>
    </row>
    <row r="15" spans="1:11" x14ac:dyDescent="0.3">
      <c r="A15" s="13" t="s">
        <v>19</v>
      </c>
      <c r="G15" s="11">
        <f t="shared" si="2"/>
        <v>2026</v>
      </c>
      <c r="H15" s="27">
        <f t="shared" si="0"/>
        <v>0</v>
      </c>
      <c r="I15" s="28" t="e">
        <f t="shared" si="3"/>
        <v>#REF!</v>
      </c>
      <c r="J15" s="27">
        <f t="shared" si="1"/>
        <v>0</v>
      </c>
      <c r="K15" s="28" t="e">
        <f t="shared" si="4"/>
        <v>#REF!</v>
      </c>
    </row>
    <row r="16" spans="1:11" x14ac:dyDescent="0.3">
      <c r="A16" s="14" t="s">
        <v>20</v>
      </c>
      <c r="B16" s="14">
        <v>2015</v>
      </c>
      <c r="D16" s="13" t="s">
        <v>21</v>
      </c>
      <c r="E16" s="21" t="s">
        <v>2</v>
      </c>
      <c r="G16" s="10">
        <f t="shared" si="2"/>
        <v>2027</v>
      </c>
      <c r="H16" s="27">
        <f t="shared" si="0"/>
        <v>0</v>
      </c>
      <c r="I16" s="26" t="e">
        <f t="shared" si="3"/>
        <v>#REF!</v>
      </c>
      <c r="J16" s="27">
        <f t="shared" si="1"/>
        <v>0</v>
      </c>
      <c r="K16" s="26" t="e">
        <f t="shared" si="4"/>
        <v>#REF!</v>
      </c>
    </row>
    <row r="17" spans="1:11" x14ac:dyDescent="0.3">
      <c r="A17" s="14" t="s">
        <v>22</v>
      </c>
      <c r="B17" s="15">
        <v>7.0000000000000007E-2</v>
      </c>
      <c r="D17" s="17" t="s">
        <v>38</v>
      </c>
      <c r="E17" s="23">
        <f>IF(E9,E9,$E$7*B18*$B$22/10^6)</f>
        <v>0</v>
      </c>
      <c r="G17" s="11">
        <f t="shared" si="2"/>
        <v>2028</v>
      </c>
      <c r="H17" s="27">
        <f t="shared" si="0"/>
        <v>0</v>
      </c>
      <c r="I17" s="28" t="e">
        <f t="shared" si="3"/>
        <v>#REF!</v>
      </c>
      <c r="J17" s="27">
        <f t="shared" si="1"/>
        <v>0</v>
      </c>
      <c r="K17" s="28" t="e">
        <f t="shared" si="4"/>
        <v>#REF!</v>
      </c>
    </row>
    <row r="18" spans="1:11" x14ac:dyDescent="0.3">
      <c r="A18" s="14" t="s">
        <v>42</v>
      </c>
      <c r="B18" s="33">
        <f>IF($B$6=2,'Assumed Values'!C5,0)</f>
        <v>4.1639633476700001E-2</v>
      </c>
      <c r="D18" s="17" t="s">
        <v>39</v>
      </c>
      <c r="E18" s="23">
        <f>IF(E10,E10,$E$7*B19*$B$22/10^6)</f>
        <v>0</v>
      </c>
      <c r="G18" s="10">
        <f t="shared" si="2"/>
        <v>2029</v>
      </c>
      <c r="H18" s="27">
        <f t="shared" si="0"/>
        <v>0</v>
      </c>
      <c r="I18" s="26" t="e">
        <f t="shared" si="3"/>
        <v>#REF!</v>
      </c>
      <c r="J18" s="27">
        <f t="shared" si="1"/>
        <v>0</v>
      </c>
      <c r="K18" s="26" t="e">
        <f t="shared" si="4"/>
        <v>#REF!</v>
      </c>
    </row>
    <row r="19" spans="1:11" x14ac:dyDescent="0.3">
      <c r="A19" s="14" t="s">
        <v>43</v>
      </c>
      <c r="B19" s="33">
        <f>IF($B$6=2,'Assumed Values'!C6,0)</f>
        <v>4.0840815752700002E-2</v>
      </c>
      <c r="G19" s="11">
        <f t="shared" si="2"/>
        <v>2030</v>
      </c>
      <c r="H19" s="27">
        <f t="shared" si="0"/>
        <v>0</v>
      </c>
      <c r="I19" s="28" t="e">
        <f t="shared" si="3"/>
        <v>#REF!</v>
      </c>
      <c r="J19" s="27">
        <f t="shared" si="1"/>
        <v>0</v>
      </c>
      <c r="K19" s="28" t="e">
        <f t="shared" si="4"/>
        <v>#REF!</v>
      </c>
    </row>
    <row r="20" spans="1:11" x14ac:dyDescent="0.3">
      <c r="A20" s="14" t="s">
        <v>44</v>
      </c>
      <c r="B20" s="25" t="e">
        <f>'Assumed Values'!#REF!</f>
        <v>#REF!</v>
      </c>
      <c r="G20" s="10">
        <f t="shared" si="2"/>
        <v>2031</v>
      </c>
      <c r="H20" s="27">
        <f t="shared" si="0"/>
        <v>0</v>
      </c>
      <c r="I20" s="26" t="e">
        <f t="shared" si="3"/>
        <v>#REF!</v>
      </c>
      <c r="J20" s="27">
        <f t="shared" si="1"/>
        <v>0</v>
      </c>
      <c r="K20" s="26" t="e">
        <f t="shared" si="4"/>
        <v>#REF!</v>
      </c>
    </row>
    <row r="21" spans="1:11" x14ac:dyDescent="0.3">
      <c r="A21" s="14" t="s">
        <v>45</v>
      </c>
      <c r="B21" s="25" t="e">
        <f>'Assumed Values'!#REF!</f>
        <v>#REF!</v>
      </c>
      <c r="G21" s="11">
        <f t="shared" si="2"/>
        <v>2032</v>
      </c>
      <c r="H21" s="27">
        <f t="shared" si="0"/>
        <v>0</v>
      </c>
      <c r="I21" s="28" t="e">
        <f t="shared" si="3"/>
        <v>#REF!</v>
      </c>
      <c r="J21" s="27">
        <f t="shared" si="1"/>
        <v>0</v>
      </c>
      <c r="K21" s="28" t="e">
        <f t="shared" si="4"/>
        <v>#REF!</v>
      </c>
    </row>
    <row r="22" spans="1:11" x14ac:dyDescent="0.3">
      <c r="A22" s="14" t="s">
        <v>26</v>
      </c>
      <c r="B22" s="14">
        <v>260</v>
      </c>
      <c r="G22" s="10">
        <f t="shared" si="2"/>
        <v>2033</v>
      </c>
      <c r="H22" s="27">
        <f t="shared" si="0"/>
        <v>0</v>
      </c>
      <c r="I22" s="26" t="e">
        <f t="shared" si="3"/>
        <v>#REF!</v>
      </c>
      <c r="J22" s="27">
        <f t="shared" si="1"/>
        <v>0</v>
      </c>
      <c r="K22" s="26" t="e">
        <f t="shared" si="4"/>
        <v>#REF!</v>
      </c>
    </row>
    <row r="23" spans="1:11" x14ac:dyDescent="0.3">
      <c r="G23" s="11">
        <f t="shared" si="2"/>
        <v>2034</v>
      </c>
      <c r="H23" s="27">
        <f t="shared" si="0"/>
        <v>0</v>
      </c>
      <c r="I23" s="28" t="e">
        <f t="shared" si="3"/>
        <v>#REF!</v>
      </c>
      <c r="J23" s="27">
        <f t="shared" si="1"/>
        <v>0</v>
      </c>
      <c r="K23" s="28" t="e">
        <f t="shared" si="4"/>
        <v>#REF!</v>
      </c>
    </row>
    <row r="24" spans="1:11" x14ac:dyDescent="0.3">
      <c r="G24" s="10">
        <f t="shared" si="2"/>
        <v>2035</v>
      </c>
      <c r="H24" s="27">
        <f t="shared" si="0"/>
        <v>0</v>
      </c>
      <c r="I24" s="26" t="e">
        <f t="shared" si="3"/>
        <v>#REF!</v>
      </c>
      <c r="J24" s="27">
        <f t="shared" si="1"/>
        <v>0</v>
      </c>
      <c r="K24" s="26" t="e">
        <f t="shared" si="4"/>
        <v>#REF!</v>
      </c>
    </row>
    <row r="25" spans="1:11" x14ac:dyDescent="0.3">
      <c r="G25" s="11">
        <f t="shared" si="2"/>
        <v>2036</v>
      </c>
      <c r="H25" s="27">
        <f t="shared" ref="H25:H28" si="5">IF($G25&lt;($G$4+$E$5),$E$17,0)</f>
        <v>0</v>
      </c>
      <c r="I25" s="28" t="e">
        <f t="shared" ref="I25:I29" si="6">H25*$B$20/10^3</f>
        <v>#REF!</v>
      </c>
      <c r="J25" s="27">
        <f t="shared" ref="J25:J28" si="7">IF($G25&lt;($G$4+$E$5),$E$18,0)</f>
        <v>0</v>
      </c>
      <c r="K25" s="28" t="e">
        <f t="shared" ref="K25:K29" si="8">J25*$B$21/10^3</f>
        <v>#REF!</v>
      </c>
    </row>
    <row r="26" spans="1:11" x14ac:dyDescent="0.3">
      <c r="G26" s="10">
        <f t="shared" si="2"/>
        <v>2037</v>
      </c>
      <c r="H26" s="27">
        <f t="shared" si="5"/>
        <v>0</v>
      </c>
      <c r="I26" s="26" t="e">
        <f t="shared" si="6"/>
        <v>#REF!</v>
      </c>
      <c r="J26" s="27">
        <f t="shared" si="7"/>
        <v>0</v>
      </c>
      <c r="K26" s="26" t="e">
        <f t="shared" si="8"/>
        <v>#REF!</v>
      </c>
    </row>
    <row r="27" spans="1:11" x14ac:dyDescent="0.3">
      <c r="G27" s="11">
        <f t="shared" si="2"/>
        <v>2038</v>
      </c>
      <c r="H27" s="27">
        <f t="shared" si="5"/>
        <v>0</v>
      </c>
      <c r="I27" s="28" t="e">
        <f t="shared" si="6"/>
        <v>#REF!</v>
      </c>
      <c r="J27" s="27">
        <f t="shared" si="7"/>
        <v>0</v>
      </c>
      <c r="K27" s="28" t="e">
        <f t="shared" si="8"/>
        <v>#REF!</v>
      </c>
    </row>
    <row r="28" spans="1:11" x14ac:dyDescent="0.3">
      <c r="G28" s="10">
        <f t="shared" si="2"/>
        <v>2039</v>
      </c>
      <c r="H28" s="27">
        <f t="shared" si="5"/>
        <v>0</v>
      </c>
      <c r="I28" s="26" t="e">
        <f t="shared" si="6"/>
        <v>#REF!</v>
      </c>
      <c r="J28" s="27">
        <f t="shared" si="7"/>
        <v>0</v>
      </c>
      <c r="K28" s="26" t="e">
        <f t="shared" si="8"/>
        <v>#REF!</v>
      </c>
    </row>
    <row r="29" spans="1:11" x14ac:dyDescent="0.3">
      <c r="G29" s="11">
        <f t="shared" si="2"/>
        <v>2040</v>
      </c>
      <c r="H29" s="27">
        <f>IF($G29&lt;($G$4+$E$5),$E$17,0)</f>
        <v>0</v>
      </c>
      <c r="I29" s="28" t="e">
        <f t="shared" si="6"/>
        <v>#REF!</v>
      </c>
      <c r="J29" s="27">
        <f>IF($G29&lt;($G$4+$E$5),$E$18,0)</f>
        <v>0</v>
      </c>
      <c r="K29" s="28" t="e">
        <f t="shared" si="8"/>
        <v>#REF!</v>
      </c>
    </row>
    <row r="31" spans="1:11" x14ac:dyDescent="0.3">
      <c r="A31" s="22"/>
    </row>
    <row r="53" spans="1:1" x14ac:dyDescent="0.3">
      <c r="A53" t="s">
        <v>27</v>
      </c>
    </row>
    <row r="54" spans="1:1" x14ac:dyDescent="0.3">
      <c r="A54" t="s">
        <v>28</v>
      </c>
    </row>
    <row r="55" spans="1:1" x14ac:dyDescent="0.3">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87EB5-3EA5-451C-BE8D-5E5E47BA3B11}">
  <sheetPr>
    <tabColor theme="4" tint="-0.499984740745262"/>
    <pageSetUpPr fitToPage="1"/>
  </sheetPr>
  <dimension ref="A7"/>
  <sheetViews>
    <sheetView zoomScale="145" zoomScaleNormal="145" workbookViewId="0">
      <selection activeCell="Q37" sqref="Q37"/>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2"/>
    </row>
  </sheetData>
  <pageMargins left="0.25" right="0.25" top="0.75" bottom="0.75" header="0.3" footer="0.3"/>
  <pageSetup paperSize="1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2:M34"/>
  <sheetViews>
    <sheetView zoomScale="85" zoomScaleNormal="85" workbookViewId="0">
      <selection activeCell="I19" sqref="I19"/>
    </sheetView>
  </sheetViews>
  <sheetFormatPr defaultColWidth="9.109375" defaultRowHeight="14.4" x14ac:dyDescent="0.3"/>
  <cols>
    <col min="1" max="1" width="9.109375" style="63"/>
    <col min="2" max="2" width="38.6640625" style="63" customWidth="1"/>
    <col min="3" max="3" width="34.6640625" style="63" bestFit="1" customWidth="1"/>
    <col min="4" max="4" width="5.33203125" style="63" customWidth="1"/>
    <col min="5" max="5" width="5.88671875" style="63" customWidth="1"/>
    <col min="6" max="6" width="13.33203125" style="63" customWidth="1"/>
    <col min="7" max="7" width="4.5546875" style="63" customWidth="1"/>
    <col min="8" max="16384" width="9.109375" style="63"/>
  </cols>
  <sheetData>
    <row r="2" spans="2:6" ht="18" x14ac:dyDescent="0.3">
      <c r="B2" s="78" t="s">
        <v>46</v>
      </c>
      <c r="C2" s="79"/>
      <c r="D2" s="79"/>
      <c r="E2" s="79"/>
      <c r="F2" s="79"/>
    </row>
    <row r="4" spans="2:6" x14ac:dyDescent="0.3">
      <c r="B4" s="153" t="s">
        <v>0</v>
      </c>
      <c r="C4" s="154"/>
      <c r="E4" s="80"/>
      <c r="F4" s="81" t="s">
        <v>47</v>
      </c>
    </row>
    <row r="5" spans="2:6" x14ac:dyDescent="0.3">
      <c r="B5" s="82" t="s">
        <v>6</v>
      </c>
      <c r="C5" s="83"/>
      <c r="E5" s="84"/>
      <c r="F5" s="81" t="s">
        <v>48</v>
      </c>
    </row>
    <row r="6" spans="2:6" x14ac:dyDescent="0.3">
      <c r="B6" s="82" t="s">
        <v>49</v>
      </c>
      <c r="C6" s="83"/>
      <c r="E6" s="85"/>
      <c r="F6" s="81" t="s">
        <v>50</v>
      </c>
    </row>
    <row r="7" spans="2:6" x14ac:dyDescent="0.3">
      <c r="B7" s="82" t="s">
        <v>51</v>
      </c>
      <c r="C7" s="83"/>
    </row>
    <row r="8" spans="2:6" x14ac:dyDescent="0.3">
      <c r="B8" s="82" t="s">
        <v>52</v>
      </c>
      <c r="C8" s="83" t="s">
        <v>53</v>
      </c>
      <c r="F8" s="88"/>
    </row>
    <row r="9" spans="2:6" x14ac:dyDescent="0.3">
      <c r="C9" s="95"/>
      <c r="F9" s="88"/>
    </row>
    <row r="10" spans="2:6" x14ac:dyDescent="0.3">
      <c r="C10" s="81"/>
    </row>
    <row r="11" spans="2:6" x14ac:dyDescent="0.3">
      <c r="B11" s="153" t="s">
        <v>54</v>
      </c>
      <c r="C11" s="154"/>
      <c r="E11" s="86"/>
      <c r="F11" s="87"/>
    </row>
    <row r="12" spans="2:6" x14ac:dyDescent="0.3">
      <c r="B12" s="82" t="s">
        <v>55</v>
      </c>
      <c r="C12" s="80">
        <v>2025</v>
      </c>
      <c r="F12" s="88"/>
    </row>
    <row r="13" spans="2:6" x14ac:dyDescent="0.3">
      <c r="B13" s="82" t="s">
        <v>56</v>
      </c>
      <c r="C13" s="83" t="s">
        <v>57</v>
      </c>
    </row>
    <row r="14" spans="2:6" x14ac:dyDescent="0.3">
      <c r="B14" s="93" t="s">
        <v>58</v>
      </c>
      <c r="C14" s="83">
        <v>1.6</v>
      </c>
    </row>
    <row r="15" spans="2:6" x14ac:dyDescent="0.3">
      <c r="B15" s="96" t="s">
        <v>59</v>
      </c>
      <c r="C15" s="96">
        <f>'Assumed Values'!C8</f>
        <v>20</v>
      </c>
    </row>
    <row r="16" spans="2:6" x14ac:dyDescent="0.3">
      <c r="B16" s="94"/>
      <c r="C16" s="95"/>
    </row>
    <row r="17" spans="2:13" x14ac:dyDescent="0.3">
      <c r="B17" s="153" t="s">
        <v>60</v>
      </c>
      <c r="C17" s="154"/>
    </row>
    <row r="18" spans="2:13" x14ac:dyDescent="0.3">
      <c r="B18" s="93" t="s">
        <v>145</v>
      </c>
      <c r="C18" s="83">
        <v>655</v>
      </c>
    </row>
    <row r="19" spans="2:13" ht="43.2" x14ac:dyDescent="0.3">
      <c r="B19" s="89" t="s">
        <v>61</v>
      </c>
      <c r="C19" s="102">
        <f>VLOOKUP(Year_Open_to_Traffic?,Calculations!F4:I34,4)</f>
        <v>753.24999999999989</v>
      </c>
      <c r="F19" s="88"/>
    </row>
    <row r="20" spans="2:13" x14ac:dyDescent="0.3">
      <c r="C20" s="90"/>
      <c r="F20" s="88"/>
    </row>
    <row r="21" spans="2:13" x14ac:dyDescent="0.3">
      <c r="F21" s="88"/>
      <c r="M21" s="81"/>
    </row>
    <row r="22" spans="2:13" x14ac:dyDescent="0.3">
      <c r="C22" s="79"/>
      <c r="F22" s="88"/>
      <c r="M22" s="81"/>
    </row>
    <row r="23" spans="2:13" ht="18" x14ac:dyDescent="0.3">
      <c r="B23" s="78" t="s">
        <v>62</v>
      </c>
      <c r="F23" s="88"/>
      <c r="M23" s="81"/>
    </row>
    <row r="24" spans="2:13" ht="18" x14ac:dyDescent="0.3">
      <c r="B24" s="91"/>
      <c r="F24" s="88"/>
      <c r="M24" s="81"/>
    </row>
    <row r="25" spans="2:13" x14ac:dyDescent="0.3">
      <c r="B25" s="99" t="s">
        <v>63</v>
      </c>
      <c r="C25" s="100"/>
    </row>
    <row r="26" spans="2:13" x14ac:dyDescent="0.3">
      <c r="B26" s="92" t="s">
        <v>64</v>
      </c>
      <c r="C26" s="103">
        <f>Calculations!$M$35</f>
        <v>1782.4979244020572</v>
      </c>
    </row>
    <row r="27" spans="2:13" x14ac:dyDescent="0.3">
      <c r="B27" s="92" t="s">
        <v>65</v>
      </c>
      <c r="C27" s="103">
        <f>Calculations!$Q$35</f>
        <v>84474.927389261065</v>
      </c>
    </row>
    <row r="28" spans="2:13" x14ac:dyDescent="0.3">
      <c r="C28" s="104"/>
    </row>
    <row r="29" spans="2:13" x14ac:dyDescent="0.3">
      <c r="B29" s="99" t="s">
        <v>66</v>
      </c>
      <c r="C29" s="104"/>
    </row>
    <row r="30" spans="2:13" x14ac:dyDescent="0.3">
      <c r="B30" s="92" t="s">
        <v>67</v>
      </c>
      <c r="C30" s="103">
        <f>$C$27+$C$26</f>
        <v>86257.425313663116</v>
      </c>
    </row>
    <row r="31" spans="2:13" x14ac:dyDescent="0.3">
      <c r="C31" s="100"/>
      <c r="J31" s="101"/>
    </row>
    <row r="32" spans="2:13" x14ac:dyDescent="0.3">
      <c r="B32" s="99" t="s">
        <v>68</v>
      </c>
      <c r="C32" s="100"/>
    </row>
    <row r="33" spans="2:3" x14ac:dyDescent="0.3">
      <c r="B33" s="92" t="s">
        <v>69</v>
      </c>
      <c r="C33" s="105">
        <f>Calculations!$K$35</f>
        <v>0.2507712944135394</v>
      </c>
    </row>
    <row r="34" spans="2:3" x14ac:dyDescent="0.3">
      <c r="B34" s="92" t="s">
        <v>70</v>
      </c>
      <c r="C34" s="105">
        <f>Calculations!$O$35</f>
        <v>0.25567599656721302</v>
      </c>
    </row>
  </sheetData>
  <sheetProtection algorithmName="SHA-512" hashValue="B+qMUCkpIkHA8iA/Qs0TDzf/v31Lm35vsQhfJZyKXl5h7zTYY+PPrCJUeU6XgxFnrKEUn6nlDWr1lLWzGOUvOQ==" saltValue="sII/9/TJDtGYHsEWED40WQ==" spinCount="100000" sheet="1" objects="1" scenarios="1"/>
  <mergeCells count="3">
    <mergeCell ref="B4:C4"/>
    <mergeCell ref="B11:C11"/>
    <mergeCell ref="B17:C17"/>
  </mergeCells>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3">
        <x14:dataValidation type="list" operator="greaterThanOrEqual" allowBlank="1" showInputMessage="1" showErrorMessage="1" error="Year Must Be 2021 or Later" xr:uid="{00000000-0002-0000-0300-000001000000}">
          <x14:formula1>
            <xm:f>Calculations!$F$8:$F$15</xm:f>
          </x14:formula1>
          <xm:sqref>C12</xm:sqref>
        </x14:dataValidation>
        <x14:dataValidation type="list" allowBlank="1" showInputMessage="1" error="Project Must Be Located Within the " xr:uid="{00000000-0002-0000-0300-000000000000}">
          <x14:formula1>
            <xm:f>'Assumed Values'!$B$24:$B$31</xm:f>
          </x14:formula1>
          <xm:sqref>C8:C9</xm:sqref>
        </x14:dataValidation>
        <x14:dataValidation type="list" allowBlank="1" showInputMessage="1" showErrorMessage="1" xr:uid="{1BEBD6E0-1A1B-4B0E-9209-5BD67765C6D1}">
          <x14:formula1>
            <xm:f>'Service Life'!$C$4:$C$10</xm:f>
          </x14:formula1>
          <xm:sqref>C13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1:S37"/>
  <sheetViews>
    <sheetView tabSelected="1" zoomScaleNormal="100" workbookViewId="0">
      <selection activeCell="C7" sqref="C7"/>
    </sheetView>
  </sheetViews>
  <sheetFormatPr defaultRowHeight="14.4" x14ac:dyDescent="0.3"/>
  <cols>
    <col min="1" max="1" width="4.5546875" style="116" customWidth="1"/>
    <col min="2" max="2" width="32.88671875" style="123" customWidth="1"/>
    <col min="3" max="3" width="14" style="116" bestFit="1" customWidth="1"/>
    <col min="4" max="4" width="7.109375" style="116" customWidth="1"/>
    <col min="5" max="5" width="7.33203125" style="124" customWidth="1"/>
    <col min="6" max="6" width="7.44140625" style="125" customWidth="1"/>
    <col min="7" max="7" width="10.109375" style="125" customWidth="1"/>
    <col min="8" max="8" width="9" style="116" customWidth="1"/>
    <col min="9" max="9" width="13" style="116" customWidth="1"/>
    <col min="10" max="10" width="9.33203125" style="116" customWidth="1"/>
    <col min="11" max="11" width="10.5546875" style="116" customWidth="1"/>
    <col min="12" max="12" width="12.88671875" style="116" customWidth="1"/>
    <col min="13" max="13" width="10.33203125" style="116" customWidth="1"/>
    <col min="14" max="14" width="8.88671875" style="116" customWidth="1"/>
    <col min="15" max="15" width="10.88671875" style="116" customWidth="1"/>
    <col min="16" max="16" width="12.33203125" style="116" customWidth="1"/>
    <col min="17" max="17" width="11.33203125" style="116" customWidth="1"/>
    <col min="18" max="18" width="16.44140625" style="116" customWidth="1"/>
    <col min="19" max="19" width="14.109375" style="116" customWidth="1"/>
    <col min="20" max="20" width="12.6640625" style="116" customWidth="1"/>
    <col min="21" max="21" width="12" style="116" customWidth="1"/>
    <col min="22" max="23" width="11.6640625" style="116" customWidth="1"/>
    <col min="24" max="24" width="10.109375" style="116" customWidth="1"/>
    <col min="25" max="16384" width="8.88671875" style="116"/>
  </cols>
  <sheetData>
    <row r="1" spans="1:19" x14ac:dyDescent="0.3">
      <c r="A1" s="118"/>
      <c r="B1" s="128"/>
      <c r="C1" s="118"/>
      <c r="D1" s="118"/>
      <c r="E1" s="108"/>
      <c r="F1" s="118" t="s">
        <v>71</v>
      </c>
      <c r="G1" s="129"/>
      <c r="H1" s="118"/>
      <c r="I1" s="118"/>
      <c r="J1" s="118"/>
      <c r="K1" s="118"/>
      <c r="L1" s="118"/>
      <c r="M1" s="118"/>
      <c r="N1" s="118"/>
      <c r="O1" s="118"/>
      <c r="P1" s="118"/>
      <c r="Q1" s="118"/>
      <c r="R1" s="118"/>
    </row>
    <row r="2" spans="1:19" x14ac:dyDescent="0.3">
      <c r="A2" s="118"/>
      <c r="B2" s="128"/>
      <c r="C2" s="118"/>
      <c r="D2" s="118"/>
      <c r="E2" s="108"/>
      <c r="F2" s="129"/>
      <c r="G2" s="129"/>
      <c r="H2" s="118"/>
      <c r="I2" s="118"/>
      <c r="J2" s="118"/>
      <c r="K2" s="118"/>
      <c r="L2" s="118"/>
      <c r="M2" s="118"/>
      <c r="N2" s="118"/>
      <c r="O2" s="118"/>
      <c r="P2" s="118"/>
      <c r="Q2" s="118"/>
      <c r="R2" s="118"/>
    </row>
    <row r="3" spans="1:19" x14ac:dyDescent="0.3">
      <c r="A3" s="118"/>
      <c r="B3" s="128"/>
      <c r="C3" s="118"/>
      <c r="D3" s="118"/>
      <c r="E3" s="108"/>
      <c r="F3" s="118"/>
      <c r="G3" s="118"/>
      <c r="H3" s="118"/>
      <c r="I3" s="118"/>
      <c r="J3" s="118"/>
      <c r="K3" s="118"/>
      <c r="L3" s="118"/>
      <c r="M3" s="118"/>
      <c r="N3" s="118"/>
      <c r="O3" s="118"/>
      <c r="P3" s="118"/>
      <c r="Q3" s="108"/>
      <c r="R3" s="129"/>
    </row>
    <row r="4" spans="1:19" s="123" customFormat="1" ht="44.25" customHeight="1" x14ac:dyDescent="0.3">
      <c r="A4" s="128"/>
      <c r="B4" s="130" t="s">
        <v>72</v>
      </c>
      <c r="C4" s="128"/>
      <c r="D4" s="128"/>
      <c r="E4" s="106"/>
      <c r="F4" s="131" t="s">
        <v>3</v>
      </c>
      <c r="G4" s="107" t="s">
        <v>73</v>
      </c>
      <c r="H4" s="131" t="s">
        <v>74</v>
      </c>
      <c r="I4" s="131" t="s">
        <v>75</v>
      </c>
      <c r="J4" s="131" t="s">
        <v>76</v>
      </c>
      <c r="K4" s="131" t="s">
        <v>77</v>
      </c>
      <c r="L4" s="132" t="s">
        <v>78</v>
      </c>
      <c r="M4" s="133" t="s">
        <v>79</v>
      </c>
      <c r="N4" s="131" t="s">
        <v>80</v>
      </c>
      <c r="O4" s="131" t="s">
        <v>81</v>
      </c>
      <c r="P4" s="131" t="s">
        <v>82</v>
      </c>
      <c r="Q4" s="134" t="s">
        <v>83</v>
      </c>
      <c r="R4" s="128"/>
    </row>
    <row r="5" spans="1:19" x14ac:dyDescent="0.3">
      <c r="A5" s="118"/>
      <c r="B5" s="135" t="s">
        <v>84</v>
      </c>
      <c r="C5" s="126">
        <f>IF('Growth Rates'!$C$16&lt;&gt;0,'Growth Rates'!$C$16,VLOOKUP('Inputs &amp; Outputs'!$C$8,'Growth Rates'!$B$4:$D$11,2,FALSE))</f>
        <v>3.5558076341622114E-2</v>
      </c>
      <c r="D5" s="118"/>
      <c r="E5" s="108"/>
      <c r="F5" s="136">
        <v>2021</v>
      </c>
      <c r="G5" s="109">
        <f t="shared" ref="G5:G14" si="0">$C$5</f>
        <v>3.5558076341622114E-2</v>
      </c>
      <c r="H5" s="137">
        <f>IF(AND(F5&gt;=Year_Open_to_Traffic?,F5&lt;Year_Open_to_Traffic?+'Assumed Values'!C$8),1,0)</f>
        <v>0</v>
      </c>
      <c r="I5" s="110">
        <f>'Inputs &amp; Outputs'!C18</f>
        <v>655</v>
      </c>
      <c r="J5" s="110">
        <f>H5*(I5*'Assumed Values'!$C$6)</f>
        <v>0</v>
      </c>
      <c r="K5" s="111">
        <f>(J5*(1/907184))*260</f>
        <v>0</v>
      </c>
      <c r="L5" s="112">
        <f>K5*INDEX('Value of Emissions'!C$4:C$34,MATCH(F5,'Value of Emissions'!B$4:B$34,1))</f>
        <v>0</v>
      </c>
      <c r="M5" s="113">
        <f>L5/(1.07^(F5-$F$5))</f>
        <v>0</v>
      </c>
      <c r="N5" s="110">
        <f>H5*(I5*'Assumed Values'!$C$5)</f>
        <v>0</v>
      </c>
      <c r="O5" s="111">
        <f t="shared" ref="O5:O34" si="1">(N5*(1/907184.74))*260</f>
        <v>0</v>
      </c>
      <c r="P5" s="112">
        <f>K5*INDEX('Value of Emissions'!D$4:D$34,MATCH(F5,'Value of Emissions'!B$4:B$34,1))</f>
        <v>0</v>
      </c>
      <c r="Q5" s="113">
        <f>P5/(1.07^(F5-$F$5))</f>
        <v>0</v>
      </c>
      <c r="R5" s="118"/>
    </row>
    <row r="6" spans="1:19" x14ac:dyDescent="0.3">
      <c r="A6" s="118"/>
      <c r="B6" s="135" t="s">
        <v>85</v>
      </c>
      <c r="C6" s="126">
        <f>IF('Growth Rates'!$C$16&lt;&gt;0,'Growth Rates'!$C$16,VLOOKUP('Inputs &amp; Outputs'!$C$8,'Growth Rates'!$B$4:$D$11,3,FALSE))</f>
        <v>3.5558076341622114E-2</v>
      </c>
      <c r="D6" s="118"/>
      <c r="E6" s="108"/>
      <c r="F6" s="138">
        <f t="shared" ref="F6:F34" si="2">F5+1</f>
        <v>2022</v>
      </c>
      <c r="G6" s="109">
        <f>$C$5</f>
        <v>3.5558076341622114E-2</v>
      </c>
      <c r="H6" s="137">
        <f>IF(AND(F6&gt;=Year_Open_to_Traffic?,F6&lt;Year_Open_to_Traffic?+'Assumed Values'!C$8),1,0)</f>
        <v>0</v>
      </c>
      <c r="I6" s="110">
        <f>I5+(I5*G5)</f>
        <v>678.29054000376243</v>
      </c>
      <c r="J6" s="110">
        <f>H6*(I6*'Assumed Values'!$C$6)</f>
        <v>0</v>
      </c>
      <c r="K6" s="111">
        <f t="shared" ref="K6:K34" si="3">(J6*(1/907184))*260</f>
        <v>0</v>
      </c>
      <c r="L6" s="112">
        <f>K6*INDEX('Value of Emissions'!C$4:C$34,MATCH(F6,'Value of Emissions'!B$4:B$34,1))</f>
        <v>0</v>
      </c>
      <c r="M6" s="113">
        <f t="shared" ref="M6:M34" si="4">L6/(1.07^(F6-$F$5))</f>
        <v>0</v>
      </c>
      <c r="N6" s="110">
        <f>H6*(I6*'Assumed Values'!$C$5)</f>
        <v>0</v>
      </c>
      <c r="O6" s="111">
        <f t="shared" si="1"/>
        <v>0</v>
      </c>
      <c r="P6" s="112">
        <f>K6*INDEX('Value of Emissions'!D$4:D$34,MATCH(F6,'Value of Emissions'!B$4:B$34,1))</f>
        <v>0</v>
      </c>
      <c r="Q6" s="113">
        <f t="shared" ref="Q6:Q34" si="5">P6/(1.07^(F6-$F$5))</f>
        <v>0</v>
      </c>
      <c r="R6" s="118"/>
    </row>
    <row r="7" spans="1:19" x14ac:dyDescent="0.3">
      <c r="A7" s="118"/>
      <c r="B7" s="128"/>
      <c r="C7" s="114"/>
      <c r="D7" s="118"/>
      <c r="E7" s="108"/>
      <c r="F7" s="136">
        <f t="shared" si="2"/>
        <v>2023</v>
      </c>
      <c r="G7" s="109">
        <f t="shared" si="0"/>
        <v>3.5558076341622114E-2</v>
      </c>
      <c r="H7" s="137">
        <f>IF(AND(F7&gt;=Year_Open_to_Traffic?,F7&lt;Year_Open_to_Traffic?+'Assumed Values'!C$8),1,0)</f>
        <v>0</v>
      </c>
      <c r="I7" s="110">
        <f t="shared" ref="I7:I14" si="6">I6+(I6*G6)</f>
        <v>702.4092468070163</v>
      </c>
      <c r="J7" s="110">
        <f>H7*(I7*'Assumed Values'!$C$6)</f>
        <v>0</v>
      </c>
      <c r="K7" s="111">
        <f t="shared" si="3"/>
        <v>0</v>
      </c>
      <c r="L7" s="112">
        <f>K7*INDEX('Value of Emissions'!C$4:C$34,MATCH(F7,'Value of Emissions'!B$4:B$34,1))</f>
        <v>0</v>
      </c>
      <c r="M7" s="113">
        <f t="shared" si="4"/>
        <v>0</v>
      </c>
      <c r="N7" s="110">
        <f>H7*(I7*'Assumed Values'!$C$5)</f>
        <v>0</v>
      </c>
      <c r="O7" s="111">
        <f t="shared" si="1"/>
        <v>0</v>
      </c>
      <c r="P7" s="112">
        <f>K7*INDEX('Value of Emissions'!D$4:D$34,MATCH(F7,'Value of Emissions'!B$4:B$34,1))</f>
        <v>0</v>
      </c>
      <c r="Q7" s="113">
        <f t="shared" si="5"/>
        <v>0</v>
      </c>
      <c r="R7" s="118"/>
    </row>
    <row r="8" spans="1:19" x14ac:dyDescent="0.3">
      <c r="A8" s="118"/>
      <c r="B8" s="128"/>
      <c r="C8" s="129"/>
      <c r="D8" s="118"/>
      <c r="E8" s="108"/>
      <c r="F8" s="138">
        <f t="shared" si="2"/>
        <v>2024</v>
      </c>
      <c r="G8" s="109">
        <f t="shared" si="0"/>
        <v>3.5558076341622114E-2</v>
      </c>
      <c r="H8" s="137">
        <f>IF(AND(F8&gt;=Year_Open_to_Traffic?,F8&lt;Year_Open_to_Traffic?+'Assumed Values'!C$8),1,0)</f>
        <v>0</v>
      </c>
      <c r="I8" s="110">
        <f t="shared" si="6"/>
        <v>727.38556842804144</v>
      </c>
      <c r="J8" s="110">
        <f>H8*(I8*'Assumed Values'!$C$6)</f>
        <v>0</v>
      </c>
      <c r="K8" s="111">
        <f t="shared" si="3"/>
        <v>0</v>
      </c>
      <c r="L8" s="112">
        <f>K8*INDEX('Value of Emissions'!C$4:C$34,MATCH(F8,'Value of Emissions'!B$4:B$34,1))</f>
        <v>0</v>
      </c>
      <c r="M8" s="113">
        <f t="shared" si="4"/>
        <v>0</v>
      </c>
      <c r="N8" s="110">
        <f>H8*(I8*'Assumed Values'!$C$5)</f>
        <v>0</v>
      </c>
      <c r="O8" s="111">
        <f t="shared" si="1"/>
        <v>0</v>
      </c>
      <c r="P8" s="112">
        <f>K8*INDEX('Value of Emissions'!D$4:D$34,MATCH(F8,'Value of Emissions'!B$4:B$34,1))</f>
        <v>0</v>
      </c>
      <c r="Q8" s="113">
        <f t="shared" si="5"/>
        <v>0</v>
      </c>
      <c r="R8" s="118"/>
    </row>
    <row r="9" spans="1:19" x14ac:dyDescent="0.3">
      <c r="A9" s="118"/>
      <c r="B9" s="128"/>
      <c r="C9" s="129"/>
      <c r="D9" s="118"/>
      <c r="E9" s="108"/>
      <c r="F9" s="136">
        <f t="shared" si="2"/>
        <v>2025</v>
      </c>
      <c r="G9" s="109">
        <f t="shared" si="0"/>
        <v>3.5558076341622114E-2</v>
      </c>
      <c r="H9" s="137">
        <f>IF(AND(F9&gt;=Year_Open_to_Traffic?,F9&lt;Year_Open_to_Traffic?+'Assumed Values'!C$8),1,0)</f>
        <v>1</v>
      </c>
      <c r="I9" s="110">
        <f t="shared" si="6"/>
        <v>753.24999999999989</v>
      </c>
      <c r="J9" s="110">
        <f>H9*(I9*'Assumed Values'!$C$6)</f>
        <v>30.763344465721271</v>
      </c>
      <c r="K9" s="111">
        <f t="shared" si="3"/>
        <v>8.8168106592350949E-3</v>
      </c>
      <c r="L9" s="112">
        <f>K9*INDEX('Value of Emissions'!C$4:C$34,MATCH(F9,'Value of Emissions'!B$4:B$34,1))</f>
        <v>148.12241907514959</v>
      </c>
      <c r="M9" s="113">
        <f t="shared" si="4"/>
        <v>113.00188430932864</v>
      </c>
      <c r="N9" s="110">
        <f>H9*(I9*'Assumed Values'!$C$5)</f>
        <v>31.365053916324271</v>
      </c>
      <c r="O9" s="111">
        <f t="shared" si="1"/>
        <v>8.9892539619265532E-3</v>
      </c>
      <c r="P9" s="112">
        <f>K9*INDEX('Value of Emissions'!D$4:D$34,MATCH(F9,'Value of Emissions'!B$4:B$34,1))</f>
        <v>7023.4713711466766</v>
      </c>
      <c r="Q9" s="113">
        <f t="shared" si="5"/>
        <v>5358.1726810006667</v>
      </c>
      <c r="R9" s="118"/>
      <c r="S9" s="127"/>
    </row>
    <row r="10" spans="1:19" x14ac:dyDescent="0.3">
      <c r="A10" s="118"/>
      <c r="B10" s="139" t="s">
        <v>86</v>
      </c>
      <c r="C10" s="118"/>
      <c r="D10" s="118"/>
      <c r="E10" s="108"/>
      <c r="F10" s="138">
        <f t="shared" si="2"/>
        <v>2026</v>
      </c>
      <c r="G10" s="109">
        <f t="shared" si="0"/>
        <v>3.5558076341622114E-2</v>
      </c>
      <c r="H10" s="137">
        <f>IF(AND(F10&gt;=Year_Open_to_Traffic?,F10&lt;Year_Open_to_Traffic?+'Assumed Values'!C$8),1,0)</f>
        <v>1</v>
      </c>
      <c r="I10" s="110">
        <f t="shared" si="6"/>
        <v>780.03412100432672</v>
      </c>
      <c r="J10" s="110">
        <f>H10*(I10*'Assumed Values'!$C$6)</f>
        <v>31.857229816757005</v>
      </c>
      <c r="K10" s="111">
        <f t="shared" si="3"/>
        <v>9.1303194857458043E-3</v>
      </c>
      <c r="L10" s="112">
        <f>K10*INDEX('Value of Emissions'!C$4:C$34,MATCH(F10,'Value of Emissions'!B$4:B$34,1))</f>
        <v>155.21543125767866</v>
      </c>
      <c r="M10" s="113">
        <f t="shared" si="4"/>
        <v>110.66645732932227</v>
      </c>
      <c r="N10" s="110">
        <f>H10*(I10*'Assumed Values'!$C$5)</f>
        <v>32.480334897940025</v>
      </c>
      <c r="O10" s="111">
        <f t="shared" si="1"/>
        <v>9.308894540558969E-3</v>
      </c>
      <c r="P10" s="112">
        <f>K10*INDEX('Value of Emissions'!D$4:D$34,MATCH(F10,'Value of Emissions'!B$4:B$34,1))</f>
        <v>7372.7329847397368</v>
      </c>
      <c r="Q10" s="113">
        <f t="shared" si="5"/>
        <v>5256.656723142808</v>
      </c>
      <c r="R10" s="118"/>
      <c r="S10" s="127"/>
    </row>
    <row r="11" spans="1:19" ht="28.8" x14ac:dyDescent="0.3">
      <c r="A11" s="118"/>
      <c r="B11" s="140" t="s">
        <v>87</v>
      </c>
      <c r="C11" s="141">
        <f>'Inputs &amp; Outputs'!C19</f>
        <v>753.24999999999989</v>
      </c>
      <c r="D11" s="118"/>
      <c r="E11" s="108"/>
      <c r="F11" s="136">
        <f t="shared" si="2"/>
        <v>2027</v>
      </c>
      <c r="G11" s="109">
        <f t="shared" si="0"/>
        <v>3.5558076341622114E-2</v>
      </c>
      <c r="H11" s="137">
        <f>IF(AND(F11&gt;=Year_Open_to_Traffic?,F11&lt;Year_Open_to_Traffic?+'Assumed Values'!C$8),1,0)</f>
        <v>1</v>
      </c>
      <c r="I11" s="110">
        <f t="shared" si="6"/>
        <v>807.77063382806864</v>
      </c>
      <c r="J11" s="110">
        <f>H11*(I11*'Assumed Values'!$C$6)</f>
        <v>32.99001162661385</v>
      </c>
      <c r="K11" s="111">
        <f t="shared" si="3"/>
        <v>9.4549760830433521E-3</v>
      </c>
      <c r="L11" s="112">
        <f>K11*INDEX('Value of Emissions'!C$4:C$34,MATCH(F11,'Value of Emissions'!B$4:B$34,1))</f>
        <v>163.57108623664999</v>
      </c>
      <c r="M11" s="113">
        <f t="shared" si="4"/>
        <v>108.99432135501191</v>
      </c>
      <c r="N11" s="110">
        <f>H11*(I11*'Assumed Values'!$C$5)</f>
        <v>33.635273125842424</v>
      </c>
      <c r="O11" s="111">
        <f t="shared" si="1"/>
        <v>9.6399009232882721E-3</v>
      </c>
      <c r="P11" s="112">
        <f>K11*INDEX('Value of Emissions'!D$4:D$34,MATCH(F11,'Value of Emissions'!B$4:B$34,1))</f>
        <v>7739.8434215792877</v>
      </c>
      <c r="Q11" s="113">
        <f t="shared" si="5"/>
        <v>5157.384477526748</v>
      </c>
      <c r="R11" s="118"/>
      <c r="S11" s="127"/>
    </row>
    <row r="12" spans="1:19" x14ac:dyDescent="0.3">
      <c r="A12" s="118"/>
      <c r="B12" s="142"/>
      <c r="C12" s="143"/>
      <c r="D12" s="118"/>
      <c r="E12" s="108"/>
      <c r="F12" s="138">
        <f t="shared" si="2"/>
        <v>2028</v>
      </c>
      <c r="G12" s="109">
        <f t="shared" si="0"/>
        <v>3.5558076341622114E-2</v>
      </c>
      <c r="H12" s="137">
        <f>IF(AND(F12&gt;=Year_Open_to_Traffic?,F12&lt;Year_Open_to_Traffic?+'Assumed Values'!C$8),1,0)</f>
        <v>1</v>
      </c>
      <c r="I12" s="110">
        <f t="shared" si="6"/>
        <v>836.49340369224763</v>
      </c>
      <c r="J12" s="110">
        <f>H12*(I12*'Assumed Values'!$C$6)</f>
        <v>34.163072978543987</v>
      </c>
      <c r="K12" s="111">
        <f t="shared" si="3"/>
        <v>9.7911768444124189E-3</v>
      </c>
      <c r="L12" s="112">
        <f>K12*INDEX('Value of Emissions'!C$4:C$34,MATCH(F12,'Value of Emissions'!B$4:B$34,1))</f>
        <v>171.34559477721734</v>
      </c>
      <c r="M12" s="113">
        <f t="shared" si="4"/>
        <v>106.70542492057385</v>
      </c>
      <c r="N12" s="110">
        <f>H12*(I12*'Assumed Values'!$C$5)</f>
        <v>34.831278735422444</v>
      </c>
      <c r="O12" s="111">
        <f t="shared" si="1"/>
        <v>9.9826772562442313E-3</v>
      </c>
      <c r="P12" s="112">
        <f>K12*INDEX('Value of Emissions'!D$4:D$34,MATCH(F12,'Value of Emissions'!B$4:B$34,1))</f>
        <v>8124.7185454934252</v>
      </c>
      <c r="Q12" s="113">
        <f t="shared" si="5"/>
        <v>5059.6663770909809</v>
      </c>
      <c r="R12" s="118"/>
    </row>
    <row r="13" spans="1:19" x14ac:dyDescent="0.3">
      <c r="A13" s="118"/>
      <c r="B13" s="128"/>
      <c r="C13" s="118"/>
      <c r="D13" s="118"/>
      <c r="E13" s="108"/>
      <c r="F13" s="136">
        <f t="shared" si="2"/>
        <v>2029</v>
      </c>
      <c r="G13" s="109">
        <f t="shared" si="0"/>
        <v>3.5558076341622114E-2</v>
      </c>
      <c r="H13" s="137">
        <f>IF(AND(F13&gt;=Year_Open_to_Traffic?,F13&lt;Year_Open_to_Traffic?+'Assumed Values'!C$8),1,0)</f>
        <v>1</v>
      </c>
      <c r="I13" s="110">
        <f t="shared" si="6"/>
        <v>866.23749999999984</v>
      </c>
      <c r="J13" s="110">
        <f>H13*(I13*'Assumed Values'!$C$6)</f>
        <v>35.37784613557946</v>
      </c>
      <c r="K13" s="111">
        <f t="shared" si="3"/>
        <v>1.0139332258120359E-2</v>
      </c>
      <c r="L13" s="112">
        <f>K13*INDEX('Value of Emissions'!C$4:C$34,MATCH(F13,'Value of Emissions'!B$4:B$34,1))</f>
        <v>179.46618096873036</v>
      </c>
      <c r="M13" s="113">
        <f t="shared" si="4"/>
        <v>104.4509512853179</v>
      </c>
      <c r="N13" s="110">
        <f>H13*(I13*'Assumed Values'!$C$5)</f>
        <v>36.06981200377291</v>
      </c>
      <c r="O13" s="111">
        <f t="shared" si="1"/>
        <v>1.0337642056215537E-2</v>
      </c>
      <c r="P13" s="112">
        <f>K13*INDEX('Value of Emissions'!D$4:D$34,MATCH(F13,'Value of Emissions'!B$4:B$34,1))</f>
        <v>8529.2062955308465</v>
      </c>
      <c r="Q13" s="113">
        <f t="shared" si="5"/>
        <v>4964.0757187123963</v>
      </c>
      <c r="R13" s="118"/>
    </row>
    <row r="14" spans="1:19" x14ac:dyDescent="0.3">
      <c r="A14" s="118"/>
      <c r="B14" s="128"/>
      <c r="C14" s="118"/>
      <c r="D14" s="118"/>
      <c r="E14" s="108"/>
      <c r="F14" s="138">
        <f t="shared" si="2"/>
        <v>2030</v>
      </c>
      <c r="G14" s="109">
        <f t="shared" si="0"/>
        <v>3.5558076341622114E-2</v>
      </c>
      <c r="H14" s="137">
        <f>IF(AND(F14&gt;=Year_Open_to_Traffic?,F14&lt;Year_Open_to_Traffic?+'Assumed Values'!C$8),1,0)</f>
        <v>1</v>
      </c>
      <c r="I14" s="110">
        <f t="shared" si="6"/>
        <v>897.03923915497569</v>
      </c>
      <c r="J14" s="110">
        <f>H14*(I14*'Assumed Values'!$C$6)</f>
        <v>36.635814289270556</v>
      </c>
      <c r="K14" s="111">
        <f t="shared" si="3"/>
        <v>1.0499867408607675E-2</v>
      </c>
      <c r="L14" s="112">
        <f>K14*INDEX('Value of Emissions'!C$4:C$34,MATCH(F14,'Value of Emissions'!B$4:B$34,1))</f>
        <v>188.99761335493815</v>
      </c>
      <c r="M14" s="113">
        <f t="shared" si="4"/>
        <v>102.80217917162327</v>
      </c>
      <c r="N14" s="110">
        <f>H14*(I14*'Assumed Values'!$C$5)</f>
        <v>37.352385132631021</v>
      </c>
      <c r="O14" s="111">
        <f t="shared" si="1"/>
        <v>1.070522872164281E-2</v>
      </c>
      <c r="P14" s="112">
        <f>K14*INDEX('Value of Emissions'!D$4:D$34,MATCH(F14,'Value of Emissions'!B$4:B$34,1))</f>
        <v>8953.2369393197641</v>
      </c>
      <c r="Q14" s="113">
        <f t="shared" si="5"/>
        <v>4869.9676766468419</v>
      </c>
      <c r="R14" s="118"/>
    </row>
    <row r="15" spans="1:19" ht="28.8" x14ac:dyDescent="0.3">
      <c r="A15" s="118"/>
      <c r="B15" s="139" t="s">
        <v>88</v>
      </c>
      <c r="C15" s="122">
        <f>$C$11*'Assumed Values'!C$6</f>
        <v>30.763344465721271</v>
      </c>
      <c r="D15" s="118"/>
      <c r="E15" s="108"/>
      <c r="F15" s="136">
        <f t="shared" si="2"/>
        <v>2031</v>
      </c>
      <c r="G15" s="115">
        <f t="shared" ref="G15:G34" si="7">$C$6</f>
        <v>3.5558076341622114E-2</v>
      </c>
      <c r="H15" s="137">
        <f>IF(AND(F15&gt;=Year_Open_to_Traffic?,F15&lt;Year_Open_to_Traffic?+'Assumed Values'!C$8),1,0)</f>
        <v>1</v>
      </c>
      <c r="I15" s="110">
        <f>I14+(I14*G15)</f>
        <v>928.93622890227891</v>
      </c>
      <c r="J15" s="110">
        <f>H15*(I15*'Assumed Values'!$C$6)</f>
        <v>37.938513370605925</v>
      </c>
      <c r="K15" s="111">
        <f t="shared" si="3"/>
        <v>1.0873222495499855E-2</v>
      </c>
      <c r="L15" s="112">
        <f>K15*INDEX('Value of Emissions'!C$4:C$34,MATCH(F15,'Value of Emissions'!B$4:B$34,1))</f>
        <v>195.71800491899739</v>
      </c>
      <c r="M15" s="113">
        <f t="shared" si="4"/>
        <v>99.493109258591545</v>
      </c>
      <c r="N15" s="110">
        <f>H15*(I15*'Assumed Values'!$C$5)</f>
        <v>38.68056409471879</v>
      </c>
      <c r="O15" s="111">
        <f t="shared" si="1"/>
        <v>1.1085886061781512E-2</v>
      </c>
      <c r="P15" s="112">
        <f>K15*INDEX('Value of Emissions'!D$4:D$34,MATCH(F15,'Value of Emissions'!B$4:B$34,1))</f>
        <v>9271.5968219127262</v>
      </c>
      <c r="Q15" s="113">
        <f t="shared" si="5"/>
        <v>4713.2096813778335</v>
      </c>
      <c r="R15" s="118"/>
    </row>
    <row r="16" spans="1:19" x14ac:dyDescent="0.3">
      <c r="A16" s="118"/>
      <c r="B16" s="128"/>
      <c r="C16" s="118"/>
      <c r="D16" s="118"/>
      <c r="E16" s="108"/>
      <c r="F16" s="138">
        <f t="shared" si="2"/>
        <v>2032</v>
      </c>
      <c r="G16" s="115">
        <f t="shared" si="7"/>
        <v>3.5558076341622114E-2</v>
      </c>
      <c r="H16" s="137">
        <f>IF(AND(F16&gt;=Year_Open_to_Traffic?,F16&lt;Year_Open_to_Traffic?+'Assumed Values'!C$8),1,0)</f>
        <v>1</v>
      </c>
      <c r="I16" s="110">
        <f t="shared" ref="I16:I34" si="8">I15+(I15*G16)</f>
        <v>961.96741424608467</v>
      </c>
      <c r="J16" s="110">
        <f>H16*(I16*'Assumed Values'!$C$6)</f>
        <v>39.287533925325583</v>
      </c>
      <c r="K16" s="111">
        <f t="shared" si="3"/>
        <v>1.1259853371074281E-2</v>
      </c>
      <c r="L16" s="112">
        <f>K16*INDEX('Value of Emissions'!C$4:C$34,MATCH(F16,'Value of Emissions'!B$4:B$34,1))</f>
        <v>202.67736067933706</v>
      </c>
      <c r="M16" s="113">
        <f t="shared" si="4"/>
        <v>96.290554049601738</v>
      </c>
      <c r="N16" s="110">
        <f>H16*(I16*'Assumed Values'!$C$5)</f>
        <v>40.055970545735804</v>
      </c>
      <c r="O16" s="111">
        <f t="shared" si="1"/>
        <v>1.1480078844680863E-2</v>
      </c>
      <c r="P16" s="112">
        <f>K16*INDEX('Value of Emissions'!D$4:D$34,MATCH(F16,'Value of Emissions'!B$4:B$34,1))</f>
        <v>9601.27696951504</v>
      </c>
      <c r="Q16" s="113">
        <f t="shared" si="5"/>
        <v>4561.4975243386343</v>
      </c>
      <c r="R16" s="118"/>
    </row>
    <row r="17" spans="1:18" ht="28.8" x14ac:dyDescent="0.3">
      <c r="A17" s="118"/>
      <c r="B17" s="139" t="s">
        <v>89</v>
      </c>
      <c r="C17" s="122">
        <f>$C$11*'Assumed Values'!C$5</f>
        <v>31.365053916324271</v>
      </c>
      <c r="D17" s="118"/>
      <c r="E17" s="108"/>
      <c r="F17" s="136">
        <f t="shared" si="2"/>
        <v>2033</v>
      </c>
      <c r="G17" s="115">
        <f t="shared" si="7"/>
        <v>3.5558076341622114E-2</v>
      </c>
      <c r="H17" s="137">
        <f>IF(AND(F17&gt;=Year_Open_to_Traffic?,F17&lt;Year_Open_to_Traffic?+'Assumed Values'!C$8),1,0)</f>
        <v>1</v>
      </c>
      <c r="I17" s="110">
        <f t="shared" si="8"/>
        <v>996.1731249999998</v>
      </c>
      <c r="J17" s="110">
        <f>H17*(I17*'Assumed Values'!$C$6)</f>
        <v>40.68452305591638</v>
      </c>
      <c r="K17" s="111">
        <f t="shared" si="3"/>
        <v>1.1660232096838414E-2</v>
      </c>
      <c r="L17" s="112">
        <f>K17*INDEX('Value of Emissions'!C$4:C$34,MATCH(F17,'Value of Emissions'!B$4:B$34,1))</f>
        <v>209.88417774309144</v>
      </c>
      <c r="M17" s="113">
        <f t="shared" si="4"/>
        <v>93.19108497334075</v>
      </c>
      <c r="N17" s="110">
        <f>H17*(I17*'Assumed Values'!$C$5)</f>
        <v>41.480283804338846</v>
      </c>
      <c r="O17" s="111">
        <f t="shared" si="1"/>
        <v>1.1888288364647868E-2</v>
      </c>
      <c r="P17" s="112">
        <f>K17*INDEX('Value of Emissions'!D$4:D$34,MATCH(F17,'Value of Emissions'!B$4:B$34,1))</f>
        <v>9942.6799089741144</v>
      </c>
      <c r="Q17" s="113">
        <f t="shared" si="5"/>
        <v>4414.6687864870919</v>
      </c>
      <c r="R17" s="118"/>
    </row>
    <row r="18" spans="1:18" x14ac:dyDescent="0.3">
      <c r="A18" s="118"/>
      <c r="B18" s="128"/>
      <c r="C18" s="118"/>
      <c r="D18" s="118"/>
      <c r="E18" s="108"/>
      <c r="F18" s="138">
        <f t="shared" si="2"/>
        <v>2034</v>
      </c>
      <c r="G18" s="115">
        <f t="shared" si="7"/>
        <v>3.5558076341622114E-2</v>
      </c>
      <c r="H18" s="137">
        <f>IF(AND(F18&gt;=Year_Open_to_Traffic?,F18&lt;Year_Open_to_Traffic?+'Assumed Values'!C$8),1,0)</f>
        <v>1</v>
      </c>
      <c r="I18" s="110">
        <f t="shared" si="8"/>
        <v>1031.5951250282221</v>
      </c>
      <c r="J18" s="110">
        <f>H18*(I18*'Assumed Values'!$C$6)</f>
        <v>42.131186432661146</v>
      </c>
      <c r="K18" s="111">
        <f t="shared" si="3"/>
        <v>1.2074847519898827E-2</v>
      </c>
      <c r="L18" s="112">
        <f>K18*INDEX('Value of Emissions'!C$4:C$34,MATCH(F18,'Value of Emissions'!B$4:B$34,1))</f>
        <v>217.34725535817887</v>
      </c>
      <c r="M18" s="113">
        <f t="shared" si="4"/>
        <v>90.191383819795689</v>
      </c>
      <c r="N18" s="110">
        <f>H18*(I18*'Assumed Values'!$C$5)</f>
        <v>42.955242902525683</v>
      </c>
      <c r="O18" s="111">
        <f t="shared" si="1"/>
        <v>1.2311013029889234E-2</v>
      </c>
      <c r="P18" s="112">
        <f>K18*INDEX('Value of Emissions'!D$4:D$34,MATCH(F18,'Value of Emissions'!B$4:B$34,1))</f>
        <v>10296.22248021773</v>
      </c>
      <c r="Q18" s="113">
        <f t="shared" si="5"/>
        <v>4272.5662768410994</v>
      </c>
      <c r="R18" s="118"/>
    </row>
    <row r="19" spans="1:18" x14ac:dyDescent="0.3">
      <c r="A19" s="118"/>
      <c r="B19" s="128"/>
      <c r="C19" s="118"/>
      <c r="D19" s="118"/>
      <c r="E19" s="108"/>
      <c r="F19" s="136">
        <f t="shared" si="2"/>
        <v>2035</v>
      </c>
      <c r="G19" s="115">
        <f t="shared" si="7"/>
        <v>3.5558076341622114E-2</v>
      </c>
      <c r="H19" s="137">
        <f>IF(AND(F19&gt;=Year_Open_to_Traffic?,F19&lt;Year_Open_to_Traffic?+'Assumed Values'!C$8),1,0)</f>
        <v>1</v>
      </c>
      <c r="I19" s="110">
        <f t="shared" si="8"/>
        <v>1068.2766632376208</v>
      </c>
      <c r="J19" s="110">
        <f>H19*(I19*'Assumed Values'!$C$6)</f>
        <v>43.62929037619682</v>
      </c>
      <c r="K19" s="111">
        <f t="shared" si="3"/>
        <v>1.2504205869824835E-2</v>
      </c>
      <c r="L19" s="112">
        <f>K19*INDEX('Value of Emissions'!C$4:C$34,MATCH(F19,'Value of Emissions'!B$4:B$34,1))</f>
        <v>225.07570565684702</v>
      </c>
      <c r="M19" s="113">
        <f t="shared" si="4"/>
        <v>87.288239187865912</v>
      </c>
      <c r="N19" s="110">
        <f>H19*(I19*'Assumed Values'!$C$5)</f>
        <v>44.482648708926611</v>
      </c>
      <c r="O19" s="111">
        <f t="shared" si="1"/>
        <v>1.274876897104874E-2</v>
      </c>
      <c r="P19" s="112">
        <f>K19*INDEX('Value of Emissions'!D$4:D$34,MATCH(F19,'Value of Emissions'!B$4:B$34,1))</f>
        <v>10662.336345199636</v>
      </c>
      <c r="Q19" s="113">
        <f t="shared" si="5"/>
        <v>4135.0378641940706</v>
      </c>
      <c r="R19" s="118"/>
    </row>
    <row r="20" spans="1:18" x14ac:dyDescent="0.3">
      <c r="A20" s="118"/>
      <c r="B20" s="128"/>
      <c r="C20" s="118"/>
      <c r="D20" s="118"/>
      <c r="E20" s="108"/>
      <c r="F20" s="138">
        <f t="shared" si="2"/>
        <v>2036</v>
      </c>
      <c r="G20" s="115">
        <f t="shared" si="7"/>
        <v>3.5558076341622114E-2</v>
      </c>
      <c r="H20" s="137">
        <f>IF(AND(F20&gt;=Year_Open_to_Traffic?,F20&lt;Year_Open_to_Traffic?+'Assumed Values'!C$8),1,0)</f>
        <v>1</v>
      </c>
      <c r="I20" s="110">
        <f t="shared" si="8"/>
        <v>1106.2625263829975</v>
      </c>
      <c r="J20" s="110">
        <f>H20*(I20*'Assumed Values'!$C$6)</f>
        <v>45.180664014124424</v>
      </c>
      <c r="K20" s="111">
        <f t="shared" si="3"/>
        <v>1.2948831376735425E-2</v>
      </c>
      <c r="L20" s="112">
        <f>K20*INDEX('Value of Emissions'!C$4:C$34,MATCH(F20,'Value of Emissions'!B$4:B$34,1))</f>
        <v>233.07896478123766</v>
      </c>
      <c r="M20" s="113">
        <f t="shared" si="4"/>
        <v>84.478543047321324</v>
      </c>
      <c r="N20" s="110">
        <f>H20*(I20*'Assumed Values'!$C$5)</f>
        <v>46.06436612759618</v>
      </c>
      <c r="O20" s="111">
        <f t="shared" si="1"/>
        <v>1.3202090671382994E-2</v>
      </c>
      <c r="P20" s="112">
        <f>K20*INDEX('Value of Emissions'!D$4:D$34,MATCH(F20,'Value of Emissions'!B$4:B$34,1))</f>
        <v>11041.468514942297</v>
      </c>
      <c r="Q20" s="113">
        <f t="shared" si="5"/>
        <v>4001.9363142472716</v>
      </c>
      <c r="R20" s="118"/>
    </row>
    <row r="21" spans="1:18" x14ac:dyDescent="0.3">
      <c r="A21" s="118"/>
      <c r="B21" s="128"/>
      <c r="C21" s="118"/>
      <c r="D21" s="118"/>
      <c r="E21" s="108"/>
      <c r="F21" s="136">
        <f t="shared" si="2"/>
        <v>2037</v>
      </c>
      <c r="G21" s="115">
        <f t="shared" si="7"/>
        <v>3.5558076341622114E-2</v>
      </c>
      <c r="H21" s="137">
        <f>IF(AND(F21&gt;=Year_Open_to_Traffic?,F21&lt;Year_Open_to_Traffic?+'Assumed Values'!C$8),1,0)</f>
        <v>1</v>
      </c>
      <c r="I21" s="110">
        <f t="shared" si="8"/>
        <v>1145.5990937499998</v>
      </c>
      <c r="J21" s="110">
        <f>H21*(I21*'Assumed Values'!$C$6)</f>
        <v>46.787201514303838</v>
      </c>
      <c r="K21" s="111">
        <f t="shared" si="3"/>
        <v>1.3409266911364175E-2</v>
      </c>
      <c r="L21" s="112">
        <f>K21*INDEX('Value of Emissions'!C$4:C$34,MATCH(F21,'Value of Emissions'!B$4:B$34,1))</f>
        <v>241.36680440455515</v>
      </c>
      <c r="M21" s="113">
        <f t="shared" si="4"/>
        <v>81.759287411427096</v>
      </c>
      <c r="N21" s="110">
        <f>H21*(I21*'Assumed Values'!$C$5)</f>
        <v>47.702326374989674</v>
      </c>
      <c r="O21" s="111">
        <f t="shared" si="1"/>
        <v>1.3671531619345048E-2</v>
      </c>
      <c r="P21" s="112">
        <f>K21*INDEX('Value of Emissions'!D$4:D$34,MATCH(F21,'Value of Emissions'!B$4:B$34,1))</f>
        <v>11434.081895320232</v>
      </c>
      <c r="Q21" s="113">
        <f t="shared" si="5"/>
        <v>3873.1191319846603</v>
      </c>
      <c r="R21" s="118"/>
    </row>
    <row r="22" spans="1:18" x14ac:dyDescent="0.3">
      <c r="A22" s="118"/>
      <c r="B22" s="128"/>
      <c r="C22" s="118"/>
      <c r="D22" s="118"/>
      <c r="E22" s="108"/>
      <c r="F22" s="138">
        <f t="shared" si="2"/>
        <v>2038</v>
      </c>
      <c r="G22" s="115">
        <f t="shared" si="7"/>
        <v>3.5558076341622114E-2</v>
      </c>
      <c r="H22" s="137">
        <f>IF(AND(F22&gt;=Year_Open_to_Traffic?,F22&lt;Year_Open_to_Traffic?+'Assumed Values'!C$8),1,0)</f>
        <v>1</v>
      </c>
      <c r="I22" s="110">
        <f t="shared" si="8"/>
        <v>1186.3343937824554</v>
      </c>
      <c r="J22" s="110">
        <f>H22*(I22*'Assumed Values'!$C$6)</f>
        <v>48.450864397560316</v>
      </c>
      <c r="K22" s="111">
        <f t="shared" si="3"/>
        <v>1.3886074647883651E-2</v>
      </c>
      <c r="L22" s="112">
        <f>K22*INDEX('Value of Emissions'!C$4:C$34,MATCH(F22,'Value of Emissions'!B$4:B$34,1))</f>
        <v>249.94934366190571</v>
      </c>
      <c r="M22" s="113">
        <f t="shared" si="4"/>
        <v>79.127561116672197</v>
      </c>
      <c r="N22" s="110">
        <f>H22*(I22*'Assumed Values'!$C$5)</f>
        <v>49.398529337904534</v>
      </c>
      <c r="O22" s="111">
        <f t="shared" si="1"/>
        <v>1.4157664984372622E-2</v>
      </c>
      <c r="P22" s="112">
        <f>K22*INDEX('Value of Emissions'!D$4:D$34,MATCH(F22,'Value of Emissions'!B$4:B$34,1))</f>
        <v>11840.655852250389</v>
      </c>
      <c r="Q22" s="113">
        <f t="shared" si="5"/>
        <v>3748.4484091214658</v>
      </c>
      <c r="R22" s="118"/>
    </row>
    <row r="23" spans="1:18" x14ac:dyDescent="0.3">
      <c r="A23" s="118"/>
      <c r="B23" s="128"/>
      <c r="C23" s="118"/>
      <c r="D23" s="118"/>
      <c r="E23" s="108"/>
      <c r="F23" s="136">
        <f t="shared" si="2"/>
        <v>2039</v>
      </c>
      <c r="G23" s="115">
        <f t="shared" si="7"/>
        <v>3.5558076341622114E-2</v>
      </c>
      <c r="H23" s="137">
        <f>IF(AND(F23&gt;=Year_Open_to_Traffic?,F23&lt;Year_Open_to_Traffic?+'Assumed Values'!C$8),1,0)</f>
        <v>1</v>
      </c>
      <c r="I23" s="110">
        <f t="shared" si="8"/>
        <v>1228.5181627232639</v>
      </c>
      <c r="J23" s="110">
        <f>H23*(I23*'Assumed Values'!$C$6)</f>
        <v>50.173683932626339</v>
      </c>
      <c r="K23" s="111">
        <f t="shared" si="3"/>
        <v>1.4379836750298559E-2</v>
      </c>
      <c r="L23" s="112">
        <f>K23*INDEX('Value of Emissions'!C$4:C$34,MATCH(F23,'Value of Emissions'!B$4:B$34,1))</f>
        <v>258.83706150537409</v>
      </c>
      <c r="M23" s="113">
        <f t="shared" si="4"/>
        <v>76.580546706154379</v>
      </c>
      <c r="N23" s="110">
        <f>H23*(I23*'Assumed Values'!$C$5)</f>
        <v>51.155046015265597</v>
      </c>
      <c r="O23" s="111">
        <f t="shared" si="1"/>
        <v>1.466108431670605E-2</v>
      </c>
      <c r="P23" s="112">
        <f>K23*INDEX('Value of Emissions'!D$4:D$34,MATCH(F23,'Value of Emissions'!B$4:B$34,1))</f>
        <v>12261.686796979582</v>
      </c>
      <c r="Q23" s="113">
        <f t="shared" si="5"/>
        <v>3627.7906764632135</v>
      </c>
      <c r="R23" s="118"/>
    </row>
    <row r="24" spans="1:18" x14ac:dyDescent="0.3">
      <c r="A24" s="118"/>
      <c r="B24" s="128"/>
      <c r="C24" s="118"/>
      <c r="D24" s="118"/>
      <c r="E24" s="108"/>
      <c r="F24" s="138">
        <f t="shared" si="2"/>
        <v>2040</v>
      </c>
      <c r="G24" s="115">
        <f t="shared" si="7"/>
        <v>3.5558076341622114E-2</v>
      </c>
      <c r="H24" s="137">
        <f>IF(AND(F24&gt;=Year_Open_to_Traffic?,F24&lt;Year_Open_to_Traffic?+'Assumed Values'!C$8),1,0)</f>
        <v>1</v>
      </c>
      <c r="I24" s="110">
        <f t="shared" si="8"/>
        <v>1272.201905340447</v>
      </c>
      <c r="J24" s="110">
        <f>H24*(I24*'Assumed Values'!$C$6)</f>
        <v>51.957763616243085</v>
      </c>
      <c r="K24" s="111">
        <f t="shared" si="3"/>
        <v>1.4891156083245738E-2</v>
      </c>
      <c r="L24" s="112">
        <f>K24*INDEX('Value of Emissions'!C$4:C$34,MATCH(F24,'Value of Emissions'!B$4:B$34,1))</f>
        <v>268.0408094984233</v>
      </c>
      <c r="M24" s="113">
        <f t="shared" si="4"/>
        <v>74.115517413285019</v>
      </c>
      <c r="N24" s="110">
        <f>H24*(I24*'Assumed Values'!$C$5)</f>
        <v>52.974021046735601</v>
      </c>
      <c r="O24" s="111">
        <f t="shared" si="1"/>
        <v>1.5182404272090442E-2</v>
      </c>
      <c r="P24" s="112">
        <f>K24*INDEX('Value of Emissions'!D$4:D$34,MATCH(F24,'Value of Emissions'!B$4:B$34,1))</f>
        <v>12697.688792183641</v>
      </c>
      <c r="Q24" s="113">
        <f t="shared" si="5"/>
        <v>3511.0167610171184</v>
      </c>
      <c r="R24" s="118"/>
    </row>
    <row r="25" spans="1:18" x14ac:dyDescent="0.3">
      <c r="A25" s="118"/>
      <c r="B25" s="128"/>
      <c r="C25" s="118"/>
      <c r="D25" s="118"/>
      <c r="E25" s="108"/>
      <c r="F25" s="136">
        <f t="shared" si="2"/>
        <v>2041</v>
      </c>
      <c r="G25" s="115">
        <f t="shared" si="7"/>
        <v>3.5558076341622114E-2</v>
      </c>
      <c r="H25" s="137">
        <f>IF(AND(F25&gt;=Year_Open_to_Traffic?,F25&lt;Year_Open_to_Traffic?+'Assumed Values'!C$8),1,0)</f>
        <v>1</v>
      </c>
      <c r="I25" s="110">
        <f t="shared" si="8"/>
        <v>1317.4389578124997</v>
      </c>
      <c r="J25" s="110">
        <f>H25*(I25*'Assumed Values'!$C$6)</f>
        <v>53.805281741449413</v>
      </c>
      <c r="K25" s="111">
        <f t="shared" si="3"/>
        <v>1.54206569480688E-2</v>
      </c>
      <c r="L25" s="112">
        <f>K25*INDEX('Value of Emissions'!C$4:C$34,MATCH(F25,'Value of Emissions'!B$4:B$34,1))</f>
        <v>277.57182506523839</v>
      </c>
      <c r="M25" s="113">
        <f t="shared" si="4"/>
        <v>71.729834242584502</v>
      </c>
      <c r="N25" s="110">
        <f>H25*(I25*'Assumed Values'!$C$5)</f>
        <v>54.85767533123812</v>
      </c>
      <c r="O25" s="111">
        <f t="shared" si="1"/>
        <v>1.5722261362246803E-2</v>
      </c>
      <c r="P25" s="112">
        <f>K25*INDEX('Value of Emissions'!D$4:D$34,MATCH(F25,'Value of Emissions'!B$4:B$34,1))</f>
        <v>13149.194179618265</v>
      </c>
      <c r="Q25" s="113">
        <f t="shared" si="5"/>
        <v>3398.0016477028785</v>
      </c>
      <c r="R25" s="118"/>
    </row>
    <row r="26" spans="1:18" x14ac:dyDescent="0.3">
      <c r="A26" s="118"/>
      <c r="B26" s="128"/>
      <c r="C26" s="118"/>
      <c r="D26" s="118"/>
      <c r="E26" s="108"/>
      <c r="F26" s="138">
        <f t="shared" si="2"/>
        <v>2042</v>
      </c>
      <c r="G26" s="115">
        <f t="shared" si="7"/>
        <v>3.5558076341622114E-2</v>
      </c>
      <c r="H26" s="137">
        <f>IF(AND(F26&gt;=Year_Open_to_Traffic?,F26&lt;Year_Open_to_Traffic?+'Assumed Values'!C$8),1,0)</f>
        <v>1</v>
      </c>
      <c r="I26" s="110">
        <f t="shared" si="8"/>
        <v>1364.2845528498235</v>
      </c>
      <c r="J26" s="110">
        <f>H26*(I26*'Assumed Values'!$C$6)</f>
        <v>55.718494057194349</v>
      </c>
      <c r="K26" s="111">
        <f t="shared" si="3"/>
        <v>1.5968985845066196E-2</v>
      </c>
      <c r="L26" s="112">
        <f>K26*INDEX('Value of Emissions'!C$4:C$34,MATCH(F26,'Value of Emissions'!B$4:B$34,1))</f>
        <v>287.44174521119152</v>
      </c>
      <c r="M26" s="113">
        <f t="shared" si="4"/>
        <v>69.4209431444432</v>
      </c>
      <c r="N26" s="110">
        <f>H26*(I26*'Assumed Values'!$C$5)</f>
        <v>56.808308738590206</v>
      </c>
      <c r="O26" s="111">
        <f t="shared" si="1"/>
        <v>1.6281314732028509E-2</v>
      </c>
      <c r="P26" s="112">
        <f>K26*INDEX('Value of Emissions'!D$4:D$34,MATCH(F26,'Value of Emissions'!B$4:B$34,1))</f>
        <v>13616.754230087945</v>
      </c>
      <c r="Q26" s="113">
        <f t="shared" si="5"/>
        <v>3288.6243455148178</v>
      </c>
      <c r="R26" s="118"/>
    </row>
    <row r="27" spans="1:18" x14ac:dyDescent="0.3">
      <c r="A27" s="118"/>
      <c r="B27" s="128"/>
      <c r="C27" s="118"/>
      <c r="D27" s="118"/>
      <c r="E27" s="108"/>
      <c r="F27" s="136">
        <f t="shared" si="2"/>
        <v>2043</v>
      </c>
      <c r="G27" s="115">
        <f t="shared" si="7"/>
        <v>3.5558076341622114E-2</v>
      </c>
      <c r="H27" s="137">
        <f>IF(AND(F27&gt;=Year_Open_to_Traffic?,F27&lt;Year_Open_to_Traffic?+'Assumed Values'!C$8),1,0)</f>
        <v>1</v>
      </c>
      <c r="I27" s="110">
        <f t="shared" si="8"/>
        <v>1412.7958871317533</v>
      </c>
      <c r="J27" s="110">
        <f>H27*(I27*'Assumed Values'!$C$6)</f>
        <v>57.699736522520283</v>
      </c>
      <c r="K27" s="111">
        <f t="shared" si="3"/>
        <v>1.6536812262843339E-2</v>
      </c>
      <c r="L27" s="112">
        <f>K27*INDEX('Value of Emissions'!C$4:C$34,MATCH(F27,'Value of Emissions'!B$4:B$34,1))</f>
        <v>297.66262073118008</v>
      </c>
      <c r="M27" s="113">
        <f t="shared" si="4"/>
        <v>67.186372280823093</v>
      </c>
      <c r="N27" s="110">
        <f>H27*(I27*'Assumed Values'!$C$5)</f>
        <v>58.828302917555426</v>
      </c>
      <c r="O27" s="111">
        <f t="shared" si="1"/>
        <v>1.6860246964211956E-2</v>
      </c>
      <c r="P27" s="112">
        <f>K27*INDEX('Value of Emissions'!D$4:D$34,MATCH(F27,'Value of Emissions'!B$4:B$34,1))</f>
        <v>14100.939816526516</v>
      </c>
      <c r="Q27" s="113">
        <f t="shared" si="5"/>
        <v>3182.7677579921028</v>
      </c>
      <c r="R27" s="118"/>
    </row>
    <row r="28" spans="1:18" x14ac:dyDescent="0.3">
      <c r="A28" s="118"/>
      <c r="B28" s="128"/>
      <c r="C28" s="118"/>
      <c r="D28" s="118"/>
      <c r="E28" s="108"/>
      <c r="F28" s="136">
        <f t="shared" si="2"/>
        <v>2044</v>
      </c>
      <c r="G28" s="115">
        <f t="shared" si="7"/>
        <v>3.5558076341622114E-2</v>
      </c>
      <c r="H28" s="137">
        <f>IF(AND(F28&gt;=Year_Open_to_Traffic?,F28&lt;Year_Open_to_Traffic?+'Assumed Values'!C$8),1,0)</f>
        <v>1</v>
      </c>
      <c r="I28" s="110">
        <f t="shared" si="8"/>
        <v>1463.032191141514</v>
      </c>
      <c r="J28" s="110">
        <f>H28*(I28*'Assumed Values'!$C$6)</f>
        <v>59.751428158679545</v>
      </c>
      <c r="K28" s="111">
        <f t="shared" si="3"/>
        <v>1.7124829495732598E-2</v>
      </c>
      <c r="L28" s="112">
        <f>K28*INDEX('Value of Emissions'!C$4:C$34,MATCH(F28,'Value of Emissions'!B$4:B$34,1))</f>
        <v>308.24693092318677</v>
      </c>
      <c r="M28" s="113">
        <f t="shared" si="4"/>
        <v>65.02372937897313</v>
      </c>
      <c r="N28" s="110">
        <f>H28*(I28*'Assumed Values'!$C$5)</f>
        <v>60.920124203745942</v>
      </c>
      <c r="O28" s="111">
        <f t="shared" si="1"/>
        <v>1.7459764912904008E-2</v>
      </c>
      <c r="P28" s="112">
        <f>K28*INDEX('Value of Emissions'!D$4:D$34,MATCH(F28,'Value of Emissions'!B$4:B$34,1))</f>
        <v>14602.342111011187</v>
      </c>
      <c r="Q28" s="113">
        <f t="shared" si="5"/>
        <v>3080.3185578583552</v>
      </c>
      <c r="R28" s="118"/>
    </row>
    <row r="29" spans="1:18" x14ac:dyDescent="0.3">
      <c r="A29" s="118"/>
      <c r="B29" s="128"/>
      <c r="C29" s="118"/>
      <c r="D29" s="118"/>
      <c r="E29" s="108"/>
      <c r="F29" s="136">
        <f t="shared" si="2"/>
        <v>2045</v>
      </c>
      <c r="G29" s="115">
        <f t="shared" si="7"/>
        <v>3.5558076341622114E-2</v>
      </c>
      <c r="H29" s="137">
        <f>IF(AND(F29&gt;=Year_Open_to_Traffic?,F29&lt;Year_Open_to_Traffic?+'Assumed Values'!C$8),1,0)</f>
        <v>0</v>
      </c>
      <c r="I29" s="110">
        <f t="shared" si="8"/>
        <v>1515.0548014843746</v>
      </c>
      <c r="J29" s="110">
        <f>H29*(I29*'Assumed Values'!$C$6)</f>
        <v>0</v>
      </c>
      <c r="K29" s="111">
        <f t="shared" si="3"/>
        <v>0</v>
      </c>
      <c r="L29" s="112">
        <f>K29*INDEX('Value of Emissions'!C$4:C$34,MATCH(F29,'Value of Emissions'!B$4:B$34,1))</f>
        <v>0</v>
      </c>
      <c r="M29" s="113">
        <f t="shared" si="4"/>
        <v>0</v>
      </c>
      <c r="N29" s="110">
        <f>H29*(I29*'Assumed Values'!$C$5)</f>
        <v>0</v>
      </c>
      <c r="O29" s="111">
        <f t="shared" si="1"/>
        <v>0</v>
      </c>
      <c r="P29" s="112">
        <f>K29*INDEX('Value of Emissions'!D$4:D$34,MATCH(F29,'Value of Emissions'!B$4:B$34,1))</f>
        <v>0</v>
      </c>
      <c r="Q29" s="113">
        <f t="shared" si="5"/>
        <v>0</v>
      </c>
      <c r="R29" s="118"/>
    </row>
    <row r="30" spans="1:18" x14ac:dyDescent="0.3">
      <c r="A30" s="118"/>
      <c r="B30" s="128"/>
      <c r="C30" s="118"/>
      <c r="D30" s="118"/>
      <c r="E30" s="108"/>
      <c r="F30" s="136">
        <f t="shared" si="2"/>
        <v>2046</v>
      </c>
      <c r="G30" s="115">
        <f t="shared" si="7"/>
        <v>3.5558076341622114E-2</v>
      </c>
      <c r="H30" s="137">
        <f>IF(AND(F30&gt;=Year_Open_to_Traffic?,F30&lt;Year_Open_to_Traffic?+'Assumed Values'!C$8),1,0)</f>
        <v>0</v>
      </c>
      <c r="I30" s="110">
        <f t="shared" si="8"/>
        <v>1568.927235777297</v>
      </c>
      <c r="J30" s="110">
        <f>H30*(I30*'Assumed Values'!$C$6)</f>
        <v>0</v>
      </c>
      <c r="K30" s="111">
        <f t="shared" si="3"/>
        <v>0</v>
      </c>
      <c r="L30" s="112">
        <f>K30*INDEX('Value of Emissions'!C$4:C$34,MATCH(F30,'Value of Emissions'!B$4:B$34,1))</f>
        <v>0</v>
      </c>
      <c r="M30" s="113">
        <f t="shared" si="4"/>
        <v>0</v>
      </c>
      <c r="N30" s="110">
        <f>H30*(I30*'Assumed Values'!$C$5)</f>
        <v>0</v>
      </c>
      <c r="O30" s="111">
        <f t="shared" si="1"/>
        <v>0</v>
      </c>
      <c r="P30" s="112">
        <f>K30*INDEX('Value of Emissions'!D$4:D$34,MATCH(F30,'Value of Emissions'!B$4:B$34,1))</f>
        <v>0</v>
      </c>
      <c r="Q30" s="113">
        <f t="shared" si="5"/>
        <v>0</v>
      </c>
      <c r="R30" s="118"/>
    </row>
    <row r="31" spans="1:18" x14ac:dyDescent="0.3">
      <c r="A31" s="118"/>
      <c r="B31" s="128"/>
      <c r="C31" s="118"/>
      <c r="D31" s="118"/>
      <c r="E31" s="108"/>
      <c r="F31" s="136">
        <f t="shared" si="2"/>
        <v>2047</v>
      </c>
      <c r="G31" s="115">
        <f t="shared" si="7"/>
        <v>3.5558076341622114E-2</v>
      </c>
      <c r="H31" s="137">
        <f>IF(AND(F31&gt;=Year_Open_to_Traffic?,F31&lt;Year_Open_to_Traffic?+'Assumed Values'!C$8),1,0)</f>
        <v>0</v>
      </c>
      <c r="I31" s="110">
        <f t="shared" si="8"/>
        <v>1624.7152702015162</v>
      </c>
      <c r="J31" s="110">
        <f>H31*(I31*'Assumed Values'!$C$6)</f>
        <v>0</v>
      </c>
      <c r="K31" s="111">
        <f t="shared" si="3"/>
        <v>0</v>
      </c>
      <c r="L31" s="112">
        <f>K31*INDEX('Value of Emissions'!C$4:C$34,MATCH(F31,'Value of Emissions'!B$4:B$34,1))</f>
        <v>0</v>
      </c>
      <c r="M31" s="113">
        <f t="shared" si="4"/>
        <v>0</v>
      </c>
      <c r="N31" s="110">
        <f>H31*(I31*'Assumed Values'!$C$5)</f>
        <v>0</v>
      </c>
      <c r="O31" s="111">
        <f t="shared" si="1"/>
        <v>0</v>
      </c>
      <c r="P31" s="112">
        <f>K31*INDEX('Value of Emissions'!D$4:D$34,MATCH(F31,'Value of Emissions'!B$4:B$34,1))</f>
        <v>0</v>
      </c>
      <c r="Q31" s="113">
        <f t="shared" si="5"/>
        <v>0</v>
      </c>
      <c r="R31" s="118"/>
    </row>
    <row r="32" spans="1:18" x14ac:dyDescent="0.3">
      <c r="A32" s="118"/>
      <c r="B32" s="128"/>
      <c r="C32" s="118"/>
      <c r="D32" s="118"/>
      <c r="E32" s="108"/>
      <c r="F32" s="136">
        <f t="shared" si="2"/>
        <v>2048</v>
      </c>
      <c r="G32" s="115">
        <f t="shared" si="7"/>
        <v>3.5558076341622114E-2</v>
      </c>
      <c r="H32" s="137">
        <f>IF(AND(F32&gt;=Year_Open_to_Traffic?,F32&lt;Year_Open_to_Traffic?+'Assumed Values'!C$8),1,0)</f>
        <v>0</v>
      </c>
      <c r="I32" s="110">
        <f t="shared" si="8"/>
        <v>1682.487019812741</v>
      </c>
      <c r="J32" s="110">
        <f>H32*(I32*'Assumed Values'!$C$6)</f>
        <v>0</v>
      </c>
      <c r="K32" s="111">
        <f t="shared" si="3"/>
        <v>0</v>
      </c>
      <c r="L32" s="112">
        <f>K32*INDEX('Value of Emissions'!C$4:C$34,MATCH(F32,'Value of Emissions'!B$4:B$34,1))</f>
        <v>0</v>
      </c>
      <c r="M32" s="113">
        <f t="shared" si="4"/>
        <v>0</v>
      </c>
      <c r="N32" s="110">
        <f>H32*(I32*'Assumed Values'!$C$5)</f>
        <v>0</v>
      </c>
      <c r="O32" s="111">
        <f t="shared" si="1"/>
        <v>0</v>
      </c>
      <c r="P32" s="112">
        <f>K32*INDEX('Value of Emissions'!D$4:D$34,MATCH(F32,'Value of Emissions'!B$4:B$34,1))</f>
        <v>0</v>
      </c>
      <c r="Q32" s="113">
        <f t="shared" si="5"/>
        <v>0</v>
      </c>
      <c r="R32" s="118"/>
    </row>
    <row r="33" spans="1:18" x14ac:dyDescent="0.3">
      <c r="A33" s="118"/>
      <c r="B33" s="128"/>
      <c r="C33" s="118"/>
      <c r="D33" s="118"/>
      <c r="E33" s="108"/>
      <c r="F33" s="136">
        <f t="shared" si="2"/>
        <v>2049</v>
      </c>
      <c r="G33" s="115">
        <f t="shared" si="7"/>
        <v>3.5558076341622114E-2</v>
      </c>
      <c r="H33" s="137">
        <f>IF(AND(F33&gt;=Year_Open_to_Traffic?,F33&lt;Year_Open_to_Traffic?+'Assumed Values'!C$8),1,0)</f>
        <v>0</v>
      </c>
      <c r="I33" s="110">
        <f t="shared" si="8"/>
        <v>1742.3130217070307</v>
      </c>
      <c r="J33" s="110">
        <f>H33*(I33*'Assumed Values'!$C$6)</f>
        <v>0</v>
      </c>
      <c r="K33" s="111">
        <f t="shared" si="3"/>
        <v>0</v>
      </c>
      <c r="L33" s="112">
        <f>K33*INDEX('Value of Emissions'!C$4:C$34,MATCH(F33,'Value of Emissions'!B$4:B$34,1))</f>
        <v>0</v>
      </c>
      <c r="M33" s="113">
        <f t="shared" si="4"/>
        <v>0</v>
      </c>
      <c r="N33" s="110">
        <f>H33*(I33*'Assumed Values'!$C$5)</f>
        <v>0</v>
      </c>
      <c r="O33" s="111">
        <f t="shared" si="1"/>
        <v>0</v>
      </c>
      <c r="P33" s="112">
        <f>K33*INDEX('Value of Emissions'!D$4:D$34,MATCH(F33,'Value of Emissions'!B$4:B$34,1))</f>
        <v>0</v>
      </c>
      <c r="Q33" s="113">
        <f t="shared" si="5"/>
        <v>0</v>
      </c>
      <c r="R33" s="118"/>
    </row>
    <row r="34" spans="1:18" x14ac:dyDescent="0.3">
      <c r="A34" s="118"/>
      <c r="B34" s="128"/>
      <c r="C34" s="118"/>
      <c r="D34" s="118"/>
      <c r="E34" s="108"/>
      <c r="F34" s="136">
        <f t="shared" si="2"/>
        <v>2050</v>
      </c>
      <c r="G34" s="115">
        <f t="shared" si="7"/>
        <v>3.5558076341622114E-2</v>
      </c>
      <c r="H34" s="137">
        <f>IF(AND(F34&gt;=Year_Open_to_Traffic?,F34&lt;Year_Open_to_Traffic?+'Assumed Values'!C$8),1,0)</f>
        <v>0</v>
      </c>
      <c r="I34" s="110">
        <f t="shared" si="8"/>
        <v>1804.2663211438917</v>
      </c>
      <c r="J34" s="110">
        <f>H34*(I34*'Assumed Values'!$C$6)</f>
        <v>0</v>
      </c>
      <c r="K34" s="111">
        <f t="shared" si="3"/>
        <v>0</v>
      </c>
      <c r="L34" s="112">
        <f>K34*INDEX('Value of Emissions'!C$4:C$34,MATCH(F34,'Value of Emissions'!B$4:B$34,1))</f>
        <v>0</v>
      </c>
      <c r="M34" s="113">
        <f t="shared" si="4"/>
        <v>0</v>
      </c>
      <c r="N34" s="110">
        <f>H34*(I34*'Assumed Values'!$C$5)</f>
        <v>0</v>
      </c>
      <c r="O34" s="111">
        <f t="shared" si="1"/>
        <v>0</v>
      </c>
      <c r="P34" s="112">
        <f>K34*INDEX('Value of Emissions'!D$4:D$34,MATCH(F34,'Value of Emissions'!B$4:B$34,1))</f>
        <v>0</v>
      </c>
      <c r="Q34" s="113">
        <f t="shared" si="5"/>
        <v>0</v>
      </c>
      <c r="R34" s="118"/>
    </row>
    <row r="35" spans="1:18" x14ac:dyDescent="0.3">
      <c r="A35" s="118"/>
      <c r="B35" s="128"/>
      <c r="C35" s="118"/>
      <c r="D35" s="118"/>
      <c r="E35" s="108"/>
      <c r="F35" s="144" t="s">
        <v>90</v>
      </c>
      <c r="G35" s="144"/>
      <c r="H35" s="110"/>
      <c r="I35" s="122"/>
      <c r="J35" s="110"/>
      <c r="K35" s="111">
        <f>SUM(K5:K34)</f>
        <v>0.2507712944135394</v>
      </c>
      <c r="L35" s="112">
        <f>SUM(L5:L34)</f>
        <v>4479.6169358091083</v>
      </c>
      <c r="M35" s="113">
        <f>SUM(M5:M34)</f>
        <v>1782.4979244020572</v>
      </c>
      <c r="N35" s="110"/>
      <c r="O35" s="111">
        <f>SUM(O5:O34)</f>
        <v>0.25567599656721302</v>
      </c>
      <c r="P35" s="111">
        <f>SUM(P5:P34)</f>
        <v>212262.13427254904</v>
      </c>
      <c r="Q35" s="113">
        <f>SUM(Q5:Q34)</f>
        <v>84474.927389261065</v>
      </c>
      <c r="R35" s="118"/>
    </row>
    <row r="36" spans="1:18" x14ac:dyDescent="0.3">
      <c r="A36" s="118"/>
      <c r="B36" s="128"/>
      <c r="C36" s="118"/>
      <c r="D36" s="118"/>
      <c r="E36" s="108"/>
      <c r="F36" s="129"/>
      <c r="G36" s="129"/>
      <c r="H36" s="118"/>
      <c r="I36" s="118"/>
      <c r="J36" s="118"/>
      <c r="K36" s="118"/>
      <c r="L36" s="118"/>
      <c r="M36" s="118"/>
      <c r="N36" s="118"/>
      <c r="O36" s="118"/>
      <c r="P36" s="118"/>
      <c r="Q36" s="118"/>
      <c r="R36" s="118"/>
    </row>
    <row r="37" spans="1:18" x14ac:dyDescent="0.3">
      <c r="A37" s="118"/>
      <c r="B37" s="128"/>
      <c r="C37" s="118"/>
      <c r="D37" s="118"/>
      <c r="E37" s="108"/>
      <c r="F37" s="129"/>
      <c r="G37" s="129"/>
      <c r="H37" s="118"/>
      <c r="I37" s="118"/>
      <c r="J37" s="118"/>
      <c r="K37" s="118"/>
      <c r="L37" s="118"/>
      <c r="M37" s="118"/>
      <c r="N37" s="118"/>
      <c r="O37" s="118"/>
      <c r="P37" s="118"/>
      <c r="Q37" s="118"/>
      <c r="R37" s="118"/>
    </row>
  </sheetData>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G31"/>
  <sheetViews>
    <sheetView topLeftCell="A18" zoomScale="130" zoomScaleNormal="130" workbookViewId="0">
      <selection activeCell="D14" sqref="D14"/>
    </sheetView>
  </sheetViews>
  <sheetFormatPr defaultColWidth="9.109375" defaultRowHeight="14.4" x14ac:dyDescent="0.3"/>
  <cols>
    <col min="1" max="1" width="3.44140625" style="63" customWidth="1"/>
    <col min="2" max="2" width="46.6640625" style="63" customWidth="1"/>
    <col min="3" max="4" width="20.33203125" style="63" customWidth="1"/>
    <col min="5" max="6" width="9.109375" style="63"/>
    <col min="7" max="7" width="16.6640625" style="63" customWidth="1"/>
    <col min="8" max="8" width="16" style="63" bestFit="1" customWidth="1"/>
    <col min="9" max="16384" width="9.109375" style="63"/>
  </cols>
  <sheetData>
    <row r="2" spans="2:4" x14ac:dyDescent="0.3">
      <c r="B2" s="64" t="s">
        <v>91</v>
      </c>
    </row>
    <row r="4" spans="2:4" x14ac:dyDescent="0.3">
      <c r="B4" s="64" t="s">
        <v>92</v>
      </c>
    </row>
    <row r="5" spans="2:4" x14ac:dyDescent="0.3">
      <c r="B5" s="65" t="s">
        <v>93</v>
      </c>
      <c r="C5" s="66">
        <f>INDEX('Emission Factors - VOC'!C4:J19,MATCH(C9,'Emission Factors - VOC'!B4:B19,1),MATCH('Inputs &amp; Outputs'!C8,'Emission Factors - VOC'!C3:J3,0))</f>
        <v>4.1639633476700001E-2</v>
      </c>
      <c r="D5" s="155" t="s">
        <v>94</v>
      </c>
    </row>
    <row r="6" spans="2:4" x14ac:dyDescent="0.3">
      <c r="B6" s="65" t="s">
        <v>95</v>
      </c>
      <c r="C6" s="66">
        <f>INDEX('Emission Factors - NOx'!C4:J19,MATCH(C9,'Emission Factors - NOx'!B4:B19,1),MATCH('Inputs &amp; Outputs'!C8,'Emission Factors - NOx'!C3:J3,0))</f>
        <v>4.0840815752700002E-2</v>
      </c>
      <c r="D6" s="155"/>
    </row>
    <row r="7" spans="2:4" x14ac:dyDescent="0.3">
      <c r="B7" s="65" t="s">
        <v>96</v>
      </c>
      <c r="C7" s="67" t="str">
        <f>'Inputs &amp; Outputs'!C13</f>
        <v>Install New Sidewalks</v>
      </c>
    </row>
    <row r="8" spans="2:4" x14ac:dyDescent="0.3">
      <c r="B8" s="65" t="s">
        <v>97</v>
      </c>
      <c r="C8" s="65">
        <f>INDEX('Service Life'!D4:D10,MATCH(C7,'Service Life'!C4:C10,0))</f>
        <v>20</v>
      </c>
      <c r="D8" s="63" t="s">
        <v>98</v>
      </c>
    </row>
    <row r="9" spans="2:4" x14ac:dyDescent="0.3">
      <c r="B9" s="65" t="s">
        <v>99</v>
      </c>
      <c r="C9" s="65">
        <v>25</v>
      </c>
      <c r="D9" s="63" t="s">
        <v>100</v>
      </c>
    </row>
    <row r="10" spans="2:4" x14ac:dyDescent="0.3">
      <c r="C10" s="68"/>
    </row>
    <row r="11" spans="2:4" x14ac:dyDescent="0.3">
      <c r="B11" s="69" t="s">
        <v>19</v>
      </c>
    </row>
    <row r="12" spans="2:4" x14ac:dyDescent="0.3">
      <c r="B12" s="70" t="s">
        <v>101</v>
      </c>
      <c r="C12" s="70">
        <v>1.39</v>
      </c>
    </row>
    <row r="13" spans="2:4" x14ac:dyDescent="0.3">
      <c r="B13" s="70" t="s">
        <v>102</v>
      </c>
      <c r="C13" s="70">
        <v>365</v>
      </c>
    </row>
    <row r="16" spans="2:4" ht="15" thickBot="1" x14ac:dyDescent="0.35">
      <c r="B16" s="64" t="s">
        <v>103</v>
      </c>
    </row>
    <row r="17" spans="2:7" x14ac:dyDescent="0.3">
      <c r="B17" s="46" t="s">
        <v>104</v>
      </c>
      <c r="C17" s="47" t="s">
        <v>105</v>
      </c>
      <c r="D17" s="71" t="s">
        <v>106</v>
      </c>
      <c r="E17" s="47" t="s">
        <v>107</v>
      </c>
      <c r="F17" s="47" t="s">
        <v>108</v>
      </c>
      <c r="G17" s="48" t="s">
        <v>109</v>
      </c>
    </row>
    <row r="18" spans="2:7" x14ac:dyDescent="0.3">
      <c r="B18" s="49">
        <v>1</v>
      </c>
      <c r="C18" s="45">
        <v>0.57399999999999995</v>
      </c>
      <c r="D18" s="72">
        <f>E18+F18</f>
        <v>0.42500000000000004</v>
      </c>
      <c r="E18" s="45">
        <v>0.39600000000000002</v>
      </c>
      <c r="F18" s="45">
        <v>2.9000000000000001E-2</v>
      </c>
      <c r="G18" s="50" t="s">
        <v>110</v>
      </c>
    </row>
    <row r="19" spans="2:7" ht="15" thickBot="1" x14ac:dyDescent="0.35">
      <c r="B19" s="53">
        <v>5</v>
      </c>
      <c r="C19" s="51">
        <v>0.81299999999999994</v>
      </c>
      <c r="D19" s="73">
        <f>E19+F19</f>
        <v>0.187</v>
      </c>
      <c r="E19" s="51">
        <v>0.02</v>
      </c>
      <c r="F19" s="51">
        <v>0.16700000000000001</v>
      </c>
      <c r="G19" s="52" t="s">
        <v>111</v>
      </c>
    </row>
    <row r="20" spans="2:7" x14ac:dyDescent="0.3">
      <c r="B20" s="44" t="s">
        <v>112</v>
      </c>
      <c r="C20" s="74"/>
      <c r="D20" s="74"/>
      <c r="E20" s="74"/>
      <c r="F20" s="74"/>
      <c r="G20" s="74"/>
    </row>
    <row r="22" spans="2:7" ht="15" thickBot="1" x14ac:dyDescent="0.35">
      <c r="B22" s="64" t="s">
        <v>113</v>
      </c>
    </row>
    <row r="23" spans="2:7" x14ac:dyDescent="0.3">
      <c r="B23" s="75"/>
    </row>
    <row r="24" spans="2:7" x14ac:dyDescent="0.3">
      <c r="B24" s="76" t="s">
        <v>114</v>
      </c>
    </row>
    <row r="25" spans="2:7" x14ac:dyDescent="0.3">
      <c r="B25" s="76" t="s">
        <v>115</v>
      </c>
    </row>
    <row r="26" spans="2:7" x14ac:dyDescent="0.3">
      <c r="B26" s="76" t="s">
        <v>116</v>
      </c>
    </row>
    <row r="27" spans="2:7" x14ac:dyDescent="0.3">
      <c r="B27" s="76" t="s">
        <v>117</v>
      </c>
    </row>
    <row r="28" spans="2:7" x14ac:dyDescent="0.3">
      <c r="B28" s="76" t="s">
        <v>53</v>
      </c>
    </row>
    <row r="29" spans="2:7" x14ac:dyDescent="0.3">
      <c r="B29" s="76" t="s">
        <v>118</v>
      </c>
    </row>
    <row r="30" spans="2:7" x14ac:dyDescent="0.3">
      <c r="B30" s="76" t="s">
        <v>119</v>
      </c>
    </row>
    <row r="31" spans="2:7" ht="15" thickBot="1" x14ac:dyDescent="0.35">
      <c r="B31" s="77" t="s">
        <v>120</v>
      </c>
    </row>
  </sheetData>
  <sheetProtection algorithmName="SHA-512" hashValue="9lqbyobwC8XsfxkcoChgkWEtESIf0Mz6ra8E/BcN5DQ7ohyVExkJIM9De2oGDy5k10wMwUywDBFYmoJ1ltxGLg==" saltValue="O4KVUcZG+K2F4wvAKErD0w==" spinCount="100000" sheet="1" objects="1" scenarios="1"/>
  <mergeCells count="1">
    <mergeCell ref="D5:D6"/>
  </mergeCells>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F36"/>
  <sheetViews>
    <sheetView workbookViewId="0">
      <selection activeCell="F5" sqref="F5"/>
    </sheetView>
  </sheetViews>
  <sheetFormatPr defaultRowHeight="14.4" x14ac:dyDescent="0.3"/>
  <cols>
    <col min="1" max="1" width="2.88671875" customWidth="1"/>
    <col min="2" max="6" width="15.6640625" customWidth="1"/>
  </cols>
  <sheetData>
    <row r="1" spans="2:6" x14ac:dyDescent="0.3">
      <c r="B1" s="2" t="s">
        <v>121</v>
      </c>
    </row>
    <row r="2" spans="2:6" ht="15" thickBot="1" x14ac:dyDescent="0.35">
      <c r="B2" s="2"/>
    </row>
    <row r="3" spans="2:6" x14ac:dyDescent="0.3">
      <c r="B3" s="54" t="s">
        <v>3</v>
      </c>
      <c r="C3" s="55" t="s">
        <v>122</v>
      </c>
      <c r="D3" s="55" t="s">
        <v>123</v>
      </c>
      <c r="E3" s="55" t="s">
        <v>124</v>
      </c>
      <c r="F3" s="56" t="s">
        <v>125</v>
      </c>
    </row>
    <row r="4" spans="2:6" x14ac:dyDescent="0.3">
      <c r="B4" s="57">
        <v>2020</v>
      </c>
      <c r="C4" s="58">
        <v>15700</v>
      </c>
      <c r="D4" s="58">
        <v>729300</v>
      </c>
      <c r="E4" s="58">
        <v>40400</v>
      </c>
      <c r="F4" s="59">
        <v>50</v>
      </c>
    </row>
    <row r="5" spans="2:6" x14ac:dyDescent="0.3">
      <c r="B5" s="57">
        <v>2021</v>
      </c>
      <c r="C5" s="58">
        <v>15900</v>
      </c>
      <c r="D5" s="58">
        <v>742300</v>
      </c>
      <c r="E5" s="58">
        <v>41300</v>
      </c>
      <c r="F5" s="59">
        <v>52</v>
      </c>
    </row>
    <row r="6" spans="2:6" x14ac:dyDescent="0.3">
      <c r="B6" s="57">
        <v>2022</v>
      </c>
      <c r="C6" s="58">
        <v>16100</v>
      </c>
      <c r="D6" s="58">
        <v>755500</v>
      </c>
      <c r="E6" s="58">
        <v>42100</v>
      </c>
      <c r="F6" s="59">
        <v>53</v>
      </c>
    </row>
    <row r="7" spans="2:6" x14ac:dyDescent="0.3">
      <c r="B7" s="57">
        <v>2023</v>
      </c>
      <c r="C7" s="58">
        <v>16400</v>
      </c>
      <c r="D7" s="58">
        <v>769000</v>
      </c>
      <c r="E7" s="58">
        <v>43000</v>
      </c>
      <c r="F7" s="59">
        <v>54</v>
      </c>
    </row>
    <row r="8" spans="2:6" x14ac:dyDescent="0.3">
      <c r="B8" s="57">
        <v>2024</v>
      </c>
      <c r="C8" s="58">
        <v>16600</v>
      </c>
      <c r="D8" s="58">
        <v>782700</v>
      </c>
      <c r="E8" s="58">
        <v>43900</v>
      </c>
      <c r="F8" s="59">
        <v>55</v>
      </c>
    </row>
    <row r="9" spans="2:6" x14ac:dyDescent="0.3">
      <c r="B9" s="57">
        <v>2025</v>
      </c>
      <c r="C9" s="58">
        <v>16800</v>
      </c>
      <c r="D9" s="58">
        <v>796600</v>
      </c>
      <c r="E9" s="58">
        <v>44900</v>
      </c>
      <c r="F9" s="59">
        <v>56</v>
      </c>
    </row>
    <row r="10" spans="2:6" x14ac:dyDescent="0.3">
      <c r="B10" s="57">
        <v>2026</v>
      </c>
      <c r="C10" s="58">
        <v>17000</v>
      </c>
      <c r="D10" s="58">
        <v>807500</v>
      </c>
      <c r="E10" s="58">
        <v>45500</v>
      </c>
      <c r="F10" s="59">
        <v>57</v>
      </c>
    </row>
    <row r="11" spans="2:6" x14ac:dyDescent="0.3">
      <c r="B11" s="57">
        <v>2027</v>
      </c>
      <c r="C11" s="58">
        <v>17300</v>
      </c>
      <c r="D11" s="58">
        <v>818600</v>
      </c>
      <c r="E11" s="58">
        <v>46200</v>
      </c>
      <c r="F11" s="59">
        <v>58</v>
      </c>
    </row>
    <row r="12" spans="2:6" x14ac:dyDescent="0.3">
      <c r="B12" s="57">
        <v>2028</v>
      </c>
      <c r="C12" s="58">
        <v>17500</v>
      </c>
      <c r="D12" s="58">
        <v>829800</v>
      </c>
      <c r="E12" s="58">
        <v>46900</v>
      </c>
      <c r="F12" s="59">
        <v>59</v>
      </c>
    </row>
    <row r="13" spans="2:6" x14ac:dyDescent="0.3">
      <c r="B13" s="57">
        <v>2029</v>
      </c>
      <c r="C13" s="58">
        <v>17700</v>
      </c>
      <c r="D13" s="58">
        <v>841200</v>
      </c>
      <c r="E13" s="58">
        <v>47600</v>
      </c>
      <c r="F13" s="59">
        <v>60</v>
      </c>
    </row>
    <row r="14" spans="2:6" x14ac:dyDescent="0.3">
      <c r="B14" s="57">
        <v>2030</v>
      </c>
      <c r="C14" s="58">
        <v>18000</v>
      </c>
      <c r="D14" s="58">
        <v>852700</v>
      </c>
      <c r="E14" s="58">
        <v>48200</v>
      </c>
      <c r="F14" s="59">
        <v>61</v>
      </c>
    </row>
    <row r="15" spans="2:6" x14ac:dyDescent="0.3">
      <c r="B15" s="57">
        <v>2031</v>
      </c>
      <c r="C15" s="58">
        <v>18000</v>
      </c>
      <c r="D15" s="58">
        <v>852700</v>
      </c>
      <c r="E15" s="58">
        <v>48200</v>
      </c>
      <c r="F15" s="59">
        <v>62</v>
      </c>
    </row>
    <row r="16" spans="2:6" x14ac:dyDescent="0.3">
      <c r="B16" s="57">
        <v>2032</v>
      </c>
      <c r="C16" s="58">
        <v>18000</v>
      </c>
      <c r="D16" s="58">
        <v>852700</v>
      </c>
      <c r="E16" s="58">
        <v>48200</v>
      </c>
      <c r="F16" s="59">
        <v>63</v>
      </c>
    </row>
    <row r="17" spans="2:6" x14ac:dyDescent="0.3">
      <c r="B17" s="57">
        <v>2033</v>
      </c>
      <c r="C17" s="58">
        <v>18000</v>
      </c>
      <c r="D17" s="58">
        <v>852700</v>
      </c>
      <c r="E17" s="58">
        <v>48200</v>
      </c>
      <c r="F17" s="59">
        <v>64</v>
      </c>
    </row>
    <row r="18" spans="2:6" x14ac:dyDescent="0.3">
      <c r="B18" s="57">
        <v>2034</v>
      </c>
      <c r="C18" s="58">
        <v>18000</v>
      </c>
      <c r="D18" s="58">
        <v>852700</v>
      </c>
      <c r="E18" s="58">
        <v>48200</v>
      </c>
      <c r="F18" s="59">
        <v>66</v>
      </c>
    </row>
    <row r="19" spans="2:6" x14ac:dyDescent="0.3">
      <c r="B19" s="57">
        <v>2035</v>
      </c>
      <c r="C19" s="58">
        <v>18000</v>
      </c>
      <c r="D19" s="58">
        <v>852700</v>
      </c>
      <c r="E19" s="58">
        <v>48200</v>
      </c>
      <c r="F19" s="59">
        <v>67</v>
      </c>
    </row>
    <row r="20" spans="2:6" x14ac:dyDescent="0.3">
      <c r="B20" s="57">
        <v>2036</v>
      </c>
      <c r="C20" s="58">
        <v>18000</v>
      </c>
      <c r="D20" s="58">
        <v>852700</v>
      </c>
      <c r="E20" s="58">
        <v>48200</v>
      </c>
      <c r="F20" s="59">
        <v>68</v>
      </c>
    </row>
    <row r="21" spans="2:6" x14ac:dyDescent="0.3">
      <c r="B21" s="57">
        <v>2037</v>
      </c>
      <c r="C21" s="58">
        <v>18000</v>
      </c>
      <c r="D21" s="58">
        <v>852700</v>
      </c>
      <c r="E21" s="58">
        <v>48200</v>
      </c>
      <c r="F21" s="59">
        <v>69</v>
      </c>
    </row>
    <row r="22" spans="2:6" x14ac:dyDescent="0.3">
      <c r="B22" s="57">
        <v>2038</v>
      </c>
      <c r="C22" s="58">
        <v>18000</v>
      </c>
      <c r="D22" s="58">
        <v>852700</v>
      </c>
      <c r="E22" s="58">
        <v>48200</v>
      </c>
      <c r="F22" s="59">
        <v>70</v>
      </c>
    </row>
    <row r="23" spans="2:6" x14ac:dyDescent="0.3">
      <c r="B23" s="57">
        <v>2039</v>
      </c>
      <c r="C23" s="58">
        <v>18000</v>
      </c>
      <c r="D23" s="58">
        <v>852700</v>
      </c>
      <c r="E23" s="58">
        <v>48200</v>
      </c>
      <c r="F23" s="59">
        <v>71</v>
      </c>
    </row>
    <row r="24" spans="2:6" x14ac:dyDescent="0.3">
      <c r="B24" s="57">
        <v>2040</v>
      </c>
      <c r="C24" s="58">
        <v>18000</v>
      </c>
      <c r="D24" s="58">
        <v>852700</v>
      </c>
      <c r="E24" s="58">
        <v>48200</v>
      </c>
      <c r="F24" s="59">
        <v>72</v>
      </c>
    </row>
    <row r="25" spans="2:6" x14ac:dyDescent="0.3">
      <c r="B25" s="57">
        <v>2041</v>
      </c>
      <c r="C25" s="58">
        <v>18000</v>
      </c>
      <c r="D25" s="58">
        <v>852700</v>
      </c>
      <c r="E25" s="58">
        <v>48200</v>
      </c>
      <c r="F25" s="59">
        <v>73</v>
      </c>
    </row>
    <row r="26" spans="2:6" x14ac:dyDescent="0.3">
      <c r="B26" s="57">
        <v>2042</v>
      </c>
      <c r="C26" s="58">
        <v>18000</v>
      </c>
      <c r="D26" s="58">
        <v>852700</v>
      </c>
      <c r="E26" s="58">
        <v>48200</v>
      </c>
      <c r="F26" s="59">
        <v>75</v>
      </c>
    </row>
    <row r="27" spans="2:6" x14ac:dyDescent="0.3">
      <c r="B27" s="57">
        <v>2043</v>
      </c>
      <c r="C27" s="58">
        <v>18000</v>
      </c>
      <c r="D27" s="58">
        <v>852700</v>
      </c>
      <c r="E27" s="58">
        <v>48200</v>
      </c>
      <c r="F27" s="59">
        <v>76</v>
      </c>
    </row>
    <row r="28" spans="2:6" x14ac:dyDescent="0.3">
      <c r="B28" s="57">
        <v>2044</v>
      </c>
      <c r="C28" s="58">
        <v>18000</v>
      </c>
      <c r="D28" s="58">
        <v>852700</v>
      </c>
      <c r="E28" s="58">
        <v>48200</v>
      </c>
      <c r="F28" s="59">
        <v>77</v>
      </c>
    </row>
    <row r="29" spans="2:6" x14ac:dyDescent="0.3">
      <c r="B29" s="57">
        <v>2045</v>
      </c>
      <c r="C29" s="58">
        <v>18000</v>
      </c>
      <c r="D29" s="58">
        <v>852700</v>
      </c>
      <c r="E29" s="58">
        <v>48200</v>
      </c>
      <c r="F29" s="59">
        <v>78</v>
      </c>
    </row>
    <row r="30" spans="2:6" x14ac:dyDescent="0.3">
      <c r="B30" s="57">
        <v>2046</v>
      </c>
      <c r="C30" s="58">
        <v>18000</v>
      </c>
      <c r="D30" s="58">
        <v>852700</v>
      </c>
      <c r="E30" s="58">
        <v>48200</v>
      </c>
      <c r="F30" s="59">
        <v>79</v>
      </c>
    </row>
    <row r="31" spans="2:6" x14ac:dyDescent="0.3">
      <c r="B31" s="57">
        <v>2047</v>
      </c>
      <c r="C31" s="58">
        <v>18000</v>
      </c>
      <c r="D31" s="58">
        <v>852700</v>
      </c>
      <c r="E31" s="58">
        <v>48200</v>
      </c>
      <c r="F31" s="59">
        <v>80</v>
      </c>
    </row>
    <row r="32" spans="2:6" x14ac:dyDescent="0.3">
      <c r="B32" s="57">
        <v>2048</v>
      </c>
      <c r="C32" s="58">
        <v>18000</v>
      </c>
      <c r="D32" s="58">
        <v>852700</v>
      </c>
      <c r="E32" s="58">
        <v>48200</v>
      </c>
      <c r="F32" s="59">
        <v>81</v>
      </c>
    </row>
    <row r="33" spans="2:6" x14ac:dyDescent="0.3">
      <c r="B33" s="57">
        <v>2049</v>
      </c>
      <c r="C33" s="58">
        <v>18000</v>
      </c>
      <c r="D33" s="58">
        <v>852700</v>
      </c>
      <c r="E33" s="58">
        <v>48200</v>
      </c>
      <c r="F33" s="59">
        <v>83</v>
      </c>
    </row>
    <row r="34" spans="2:6" ht="15" thickBot="1" x14ac:dyDescent="0.35">
      <c r="B34" s="60">
        <v>2050</v>
      </c>
      <c r="C34" s="61">
        <v>18000</v>
      </c>
      <c r="D34" s="61">
        <v>852700</v>
      </c>
      <c r="E34" s="61">
        <v>48200</v>
      </c>
      <c r="F34" s="62">
        <v>84</v>
      </c>
    </row>
    <row r="36" spans="2:6" x14ac:dyDescent="0.3">
      <c r="B36" s="37" t="s">
        <v>126</v>
      </c>
    </row>
  </sheetData>
  <sheetProtection algorithmName="SHA-512" hashValue="6Iwh2SVNnXeB5BE9T4dEtFsKHQlw1tcdKHMLV/ldx5MIQyfZAN+p+al33X9PAfikZf8Pd2aw9STnYA/5Eb8aVw==" saltValue="np0lFLx+vlKq0yf2QWqVkw==" spinCount="100000" sheet="1"/>
  <hyperlinks>
    <hyperlink ref="B36" r:id="rId1" location="page=35" xr:uid="{20910D13-129A-421D-983A-49311583680A}"/>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2:L19"/>
  <sheetViews>
    <sheetView zoomScaleNormal="100" workbookViewId="0">
      <selection activeCell="A3" sqref="A3:J20"/>
    </sheetView>
  </sheetViews>
  <sheetFormatPr defaultRowHeight="14.4" x14ac:dyDescent="0.3"/>
  <cols>
    <col min="1" max="1" width="13.44140625" bestFit="1" customWidth="1"/>
    <col min="3" max="8" width="12" style="35" bestFit="1" customWidth="1"/>
    <col min="9" max="9" width="12.109375" style="35" bestFit="1" customWidth="1"/>
    <col min="10" max="10" width="12" style="35" bestFit="1" customWidth="1"/>
    <col min="11" max="11" width="12.109375" bestFit="1" customWidth="1"/>
    <col min="12" max="12" width="30" customWidth="1"/>
  </cols>
  <sheetData>
    <row r="2" spans="1:12" x14ac:dyDescent="0.3">
      <c r="A2" s="156" t="s">
        <v>127</v>
      </c>
      <c r="B2" s="156"/>
      <c r="C2" s="156"/>
      <c r="D2" s="156"/>
      <c r="E2" s="156"/>
      <c r="F2" s="156"/>
      <c r="G2" s="156"/>
      <c r="H2" s="156"/>
      <c r="I2" s="156"/>
      <c r="J2" s="156"/>
    </row>
    <row r="3" spans="1:12" x14ac:dyDescent="0.3">
      <c r="A3" s="97" t="s">
        <v>128</v>
      </c>
      <c r="B3" s="97" t="s">
        <v>129</v>
      </c>
      <c r="C3" s="97" t="s">
        <v>114</v>
      </c>
      <c r="D3" s="97" t="s">
        <v>115</v>
      </c>
      <c r="E3" s="97" t="s">
        <v>116</v>
      </c>
      <c r="F3" s="97" t="s">
        <v>117</v>
      </c>
      <c r="G3" s="97" t="s">
        <v>53</v>
      </c>
      <c r="H3" s="97" t="s">
        <v>118</v>
      </c>
      <c r="I3" s="97" t="s">
        <v>119</v>
      </c>
      <c r="J3" s="97" t="s">
        <v>120</v>
      </c>
    </row>
    <row r="4" spans="1:12" x14ac:dyDescent="0.3">
      <c r="A4" s="98" t="s">
        <v>130</v>
      </c>
      <c r="B4" s="98">
        <v>0</v>
      </c>
      <c r="C4" s="36">
        <v>7.9709209501700004E-2</v>
      </c>
      <c r="D4" s="36">
        <v>7.8904114663600006E-2</v>
      </c>
      <c r="E4" s="36">
        <v>6.92955628037E-2</v>
      </c>
      <c r="F4" s="36">
        <v>8.5180975496799996E-2</v>
      </c>
      <c r="G4" s="36">
        <v>8.0917797982700004E-2</v>
      </c>
      <c r="H4" s="36">
        <v>0.1015956774354</v>
      </c>
      <c r="I4" s="36">
        <v>7.6598614454299996E-2</v>
      </c>
      <c r="J4" s="36">
        <v>0.1183910742402</v>
      </c>
      <c r="L4" t="s">
        <v>131</v>
      </c>
    </row>
    <row r="5" spans="1:12" x14ac:dyDescent="0.3">
      <c r="A5" s="98" t="s">
        <v>130</v>
      </c>
      <c r="B5" s="98">
        <v>2.5</v>
      </c>
      <c r="C5" s="36">
        <v>5.7910330593599998E-2</v>
      </c>
      <c r="D5" s="36">
        <v>5.8362636715199999E-2</v>
      </c>
      <c r="E5" s="36">
        <v>5.03999106586E-2</v>
      </c>
      <c r="F5" s="36">
        <v>6.1958283186000003E-2</v>
      </c>
      <c r="G5" s="36">
        <v>5.9329502284499999E-2</v>
      </c>
      <c r="H5" s="36">
        <v>7.4966326355900004E-2</v>
      </c>
      <c r="I5" s="36">
        <v>5.5853683501500002E-2</v>
      </c>
      <c r="J5" s="36">
        <v>8.5614524781699994E-2</v>
      </c>
    </row>
    <row r="6" spans="1:12" x14ac:dyDescent="0.3">
      <c r="A6" s="98" t="s">
        <v>130</v>
      </c>
      <c r="B6" s="98">
        <v>7.5</v>
      </c>
      <c r="C6" s="36">
        <v>4.7010879963599997E-2</v>
      </c>
      <c r="D6" s="36">
        <v>4.80918735266E-2</v>
      </c>
      <c r="E6" s="36">
        <v>4.09520417452E-2</v>
      </c>
      <c r="F6" s="36">
        <v>5.0346929579999998E-2</v>
      </c>
      <c r="G6" s="36">
        <v>4.8628326505399999E-2</v>
      </c>
      <c r="H6" s="36">
        <v>6.1651676893200003E-2</v>
      </c>
      <c r="I6" s="36">
        <v>4.5481212437199998E-2</v>
      </c>
      <c r="J6" s="36">
        <v>6.9226212799500003E-2</v>
      </c>
    </row>
    <row r="7" spans="1:12" x14ac:dyDescent="0.3">
      <c r="A7" s="98" t="s">
        <v>130</v>
      </c>
      <c r="B7" s="98">
        <v>12.5</v>
      </c>
      <c r="C7" s="36">
        <v>4.3386276811399997E-2</v>
      </c>
      <c r="D7" s="36">
        <v>4.4668301940000002E-2</v>
      </c>
      <c r="E7" s="36">
        <v>3.7818614393499997E-2</v>
      </c>
      <c r="F7" s="36">
        <v>4.6490438282499998E-2</v>
      </c>
      <c r="G7" s="36">
        <v>4.4996704906200002E-2</v>
      </c>
      <c r="H7" s="36">
        <v>5.7243946939700002E-2</v>
      </c>
      <c r="I7" s="36">
        <v>4.2194124311200003E-2</v>
      </c>
      <c r="J7" s="36">
        <v>6.3799820840400007E-2</v>
      </c>
    </row>
    <row r="8" spans="1:12" x14ac:dyDescent="0.3">
      <c r="A8" s="98" t="s">
        <v>130</v>
      </c>
      <c r="B8" s="98">
        <v>17.5</v>
      </c>
      <c r="C8" s="36">
        <v>4.1231390088800002E-2</v>
      </c>
      <c r="D8" s="36">
        <v>4.26243059337E-2</v>
      </c>
      <c r="E8" s="36">
        <v>3.5951599478699997E-2</v>
      </c>
      <c r="F8" s="36">
        <v>4.4190917164100001E-2</v>
      </c>
      <c r="G8" s="36">
        <v>4.2852584272599997E-2</v>
      </c>
      <c r="H8" s="36">
        <v>5.4562348872400003E-2</v>
      </c>
      <c r="I8" s="36">
        <v>4.0065769106099998E-2</v>
      </c>
      <c r="J8" s="36">
        <v>6.05730563402E-2</v>
      </c>
    </row>
    <row r="9" spans="1:12" x14ac:dyDescent="0.3">
      <c r="A9" s="98" t="s">
        <v>130</v>
      </c>
      <c r="B9" s="98">
        <v>22.5</v>
      </c>
      <c r="C9" s="36">
        <v>3.9257124066400001E-2</v>
      </c>
      <c r="D9" s="36">
        <v>4.0652059018600001E-2</v>
      </c>
      <c r="E9" s="36">
        <v>3.4244447946500001E-2</v>
      </c>
      <c r="F9" s="36">
        <v>4.2083520442199998E-2</v>
      </c>
      <c r="G9" s="36">
        <v>4.0840815752700002E-2</v>
      </c>
      <c r="H9" s="36">
        <v>5.2029088139500003E-2</v>
      </c>
      <c r="I9" s="36">
        <v>3.81413288414E-2</v>
      </c>
      <c r="J9" s="36">
        <v>5.7648696005300003E-2</v>
      </c>
    </row>
    <row r="10" spans="1:12" x14ac:dyDescent="0.3">
      <c r="A10" s="98" t="s">
        <v>130</v>
      </c>
      <c r="B10" s="98">
        <v>27.5</v>
      </c>
      <c r="C10" s="36">
        <v>3.5227932035900002E-2</v>
      </c>
      <c r="D10" s="36">
        <v>3.6515135317999999E-2</v>
      </c>
      <c r="E10" s="36">
        <v>3.07166818529E-2</v>
      </c>
      <c r="F10" s="36">
        <v>3.7752732634499998E-2</v>
      </c>
      <c r="G10" s="36">
        <v>3.66222187877E-2</v>
      </c>
      <c r="H10" s="36">
        <v>4.6724498271899999E-2</v>
      </c>
      <c r="I10" s="36">
        <v>3.4187663346500002E-2</v>
      </c>
      <c r="J10" s="36">
        <v>5.1712572574599998E-2</v>
      </c>
    </row>
    <row r="11" spans="1:12" x14ac:dyDescent="0.3">
      <c r="A11" s="98" t="s">
        <v>130</v>
      </c>
      <c r="B11" s="98">
        <v>32.5</v>
      </c>
      <c r="C11" s="36">
        <v>3.36339212954E-2</v>
      </c>
      <c r="D11" s="36">
        <v>3.4911878406999997E-2</v>
      </c>
      <c r="E11" s="36">
        <v>2.93653514236E-2</v>
      </c>
      <c r="F11" s="36">
        <v>3.60104031861E-2</v>
      </c>
      <c r="G11" s="36">
        <v>3.4991860389700001E-2</v>
      </c>
      <c r="H11" s="36">
        <v>4.4688086956699999E-2</v>
      </c>
      <c r="I11" s="36">
        <v>3.2622620463399997E-2</v>
      </c>
      <c r="J11" s="36">
        <v>4.9370080232599999E-2</v>
      </c>
    </row>
    <row r="12" spans="1:12" x14ac:dyDescent="0.3">
      <c r="A12" s="98" t="s">
        <v>130</v>
      </c>
      <c r="B12" s="98">
        <v>37.5</v>
      </c>
      <c r="C12" s="36">
        <v>3.27882580459E-2</v>
      </c>
      <c r="D12" s="36">
        <v>3.4374210983499999E-2</v>
      </c>
      <c r="E12" s="36">
        <v>2.8639543801500002E-2</v>
      </c>
      <c r="F12" s="36">
        <v>3.5045284777899997E-2</v>
      </c>
      <c r="G12" s="36">
        <v>3.41720841825E-2</v>
      </c>
      <c r="H12" s="36">
        <v>4.39856164157E-2</v>
      </c>
      <c r="I12" s="36">
        <v>3.1794819980900002E-2</v>
      </c>
      <c r="J12" s="36">
        <v>4.8103537410499997E-2</v>
      </c>
    </row>
    <row r="13" spans="1:12" x14ac:dyDescent="0.3">
      <c r="A13" s="98" t="s">
        <v>130</v>
      </c>
      <c r="B13" s="98">
        <v>42.5</v>
      </c>
      <c r="C13" s="36">
        <v>3.2569069415300002E-2</v>
      </c>
      <c r="D13" s="36">
        <v>3.3696841448499999E-2</v>
      </c>
      <c r="E13" s="36">
        <v>2.8494181111500001E-2</v>
      </c>
      <c r="F13" s="36">
        <v>3.4877907484799998E-2</v>
      </c>
      <c r="G13" s="36">
        <v>3.3852331340300003E-2</v>
      </c>
      <c r="H13" s="36">
        <v>4.3236359953900003E-2</v>
      </c>
      <c r="I13" s="36">
        <v>3.15391048789E-2</v>
      </c>
      <c r="J13" s="36">
        <v>4.7752235084799997E-2</v>
      </c>
    </row>
    <row r="14" spans="1:12" x14ac:dyDescent="0.3">
      <c r="A14" s="98" t="s">
        <v>130</v>
      </c>
      <c r="B14" s="98">
        <v>47.5</v>
      </c>
      <c r="C14" s="36">
        <v>3.3075693994800003E-2</v>
      </c>
      <c r="D14" s="36">
        <v>3.44197936356E-2</v>
      </c>
      <c r="E14" s="36">
        <v>2.8920862823699999E-2</v>
      </c>
      <c r="F14" s="36">
        <v>3.5316374152900003E-2</v>
      </c>
      <c r="G14" s="36">
        <v>3.4387338906500003E-2</v>
      </c>
      <c r="H14" s="36">
        <v>4.4108875095799999E-2</v>
      </c>
      <c r="I14" s="36">
        <v>3.1966596841799998E-2</v>
      </c>
      <c r="J14" s="36">
        <v>4.8545762896499998E-2</v>
      </c>
    </row>
    <row r="15" spans="1:12" x14ac:dyDescent="0.3">
      <c r="A15" s="98" t="s">
        <v>130</v>
      </c>
      <c r="B15" s="98">
        <v>52.5</v>
      </c>
      <c r="C15" s="36">
        <v>3.3750448375900001E-2</v>
      </c>
      <c r="D15" s="36">
        <v>3.5110909491799999E-2</v>
      </c>
      <c r="E15" s="36">
        <v>2.9547912999999999E-2</v>
      </c>
      <c r="F15" s="36">
        <v>3.6022249609200002E-2</v>
      </c>
      <c r="G15" s="36">
        <v>3.5480238497299997E-2</v>
      </c>
      <c r="H15" s="36">
        <v>4.5018933713400003E-2</v>
      </c>
      <c r="I15" s="36">
        <v>3.26566807926E-2</v>
      </c>
      <c r="J15" s="36">
        <v>4.9504462629600003E-2</v>
      </c>
    </row>
    <row r="16" spans="1:12" x14ac:dyDescent="0.3">
      <c r="A16" s="98" t="s">
        <v>130</v>
      </c>
      <c r="B16" s="98">
        <v>57.5</v>
      </c>
      <c r="C16" s="36">
        <v>3.4581881016499998E-2</v>
      </c>
      <c r="D16" s="36">
        <v>3.5991001874199999E-2</v>
      </c>
      <c r="E16" s="36">
        <v>3.0277365818600001E-2</v>
      </c>
      <c r="F16" s="36">
        <v>3.6884400993599999E-2</v>
      </c>
      <c r="G16" s="36">
        <v>3.5643253475399997E-2</v>
      </c>
      <c r="H16" s="36">
        <v>4.6157341450500003E-2</v>
      </c>
      <c r="I16" s="36">
        <v>3.3448658883599998E-2</v>
      </c>
      <c r="J16" s="36">
        <v>5.0720669329199997E-2</v>
      </c>
    </row>
    <row r="17" spans="1:10" x14ac:dyDescent="0.3">
      <c r="A17" s="98" t="s">
        <v>130</v>
      </c>
      <c r="B17" s="98">
        <v>62.5</v>
      </c>
      <c r="C17" s="36">
        <v>3.5903498530400001E-2</v>
      </c>
      <c r="D17" s="36">
        <v>3.73747684062E-2</v>
      </c>
      <c r="E17" s="36">
        <v>3.1440760940300003E-2</v>
      </c>
      <c r="F17" s="36">
        <v>3.8293443620199999E-2</v>
      </c>
      <c r="G17" s="36">
        <v>3.7387639284100001E-2</v>
      </c>
      <c r="H17" s="36">
        <v>4.7937151044600002E-2</v>
      </c>
      <c r="I17" s="36">
        <v>3.47202531993E-2</v>
      </c>
      <c r="J17" s="36">
        <v>5.2657235413799998E-2</v>
      </c>
    </row>
    <row r="18" spans="1:10" x14ac:dyDescent="0.3">
      <c r="A18" s="98" t="s">
        <v>130</v>
      </c>
      <c r="B18" s="98">
        <v>67.5</v>
      </c>
      <c r="C18" s="36">
        <v>3.8603831082600001E-2</v>
      </c>
      <c r="D18" s="36">
        <v>4.0181506425100003E-2</v>
      </c>
      <c r="E18" s="36">
        <v>3.38131785393E-2</v>
      </c>
      <c r="F18" s="36">
        <v>4.1169561445699998E-2</v>
      </c>
      <c r="G18" s="36">
        <v>4.0241330861999998E-2</v>
      </c>
      <c r="H18" s="36">
        <v>5.1533348858399997E-2</v>
      </c>
      <c r="I18" s="36">
        <v>3.72925810516E-2</v>
      </c>
      <c r="J18" s="36">
        <v>5.66187351942E-2</v>
      </c>
    </row>
    <row r="19" spans="1:10" x14ac:dyDescent="0.3">
      <c r="A19" s="98" t="s">
        <v>130</v>
      </c>
      <c r="B19" s="98">
        <v>72.5</v>
      </c>
      <c r="C19" s="36">
        <v>4.2469523847100003E-2</v>
      </c>
      <c r="D19" s="36">
        <v>4.4206574559199997E-2</v>
      </c>
      <c r="E19" s="36">
        <v>3.7201248109299999E-2</v>
      </c>
      <c r="F19" s="36">
        <v>4.5288600027599997E-2</v>
      </c>
      <c r="G19" s="36">
        <v>4.4272050261500002E-2</v>
      </c>
      <c r="H19" s="36">
        <v>5.66987879574E-2</v>
      </c>
      <c r="I19" s="36">
        <v>4.1071366518699998E-2</v>
      </c>
      <c r="J19" s="36">
        <v>6.2287978828000003E-2</v>
      </c>
    </row>
  </sheetData>
  <sheetProtection algorithmName="SHA-512" hashValue="FMsuF0LTZ1EAkgnZdMnpZeKvF0Rr06EtcjTIUH882f5EJm87M9ymPaqaYZ1udouo/Tzk6Y2abH8JlPSyp7tPHA==" saltValue="69AFhqpYzKqhGv1VIyF0pg==" spinCount="100000" sheet="1"/>
  <mergeCells count="1">
    <mergeCell ref="A2:J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2:L21"/>
  <sheetViews>
    <sheetView workbookViewId="0">
      <selection activeCell="H21" sqref="H21"/>
    </sheetView>
  </sheetViews>
  <sheetFormatPr defaultRowHeight="14.4" x14ac:dyDescent="0.3"/>
  <cols>
    <col min="1" max="1" width="14.44140625" bestFit="1" customWidth="1"/>
    <col min="3" max="9" width="12.109375" style="35" bestFit="1" customWidth="1"/>
    <col min="10" max="10" width="10.5546875" style="35" bestFit="1" customWidth="1"/>
  </cols>
  <sheetData>
    <row r="2" spans="1:12" s="1" customFormat="1" x14ac:dyDescent="0.3">
      <c r="A2" s="156" t="s">
        <v>127</v>
      </c>
      <c r="B2" s="156"/>
      <c r="C2" s="156"/>
      <c r="D2" s="156"/>
      <c r="E2" s="156"/>
      <c r="F2" s="156"/>
      <c r="G2" s="156"/>
      <c r="H2" s="156"/>
      <c r="I2" s="156"/>
      <c r="J2" s="156"/>
    </row>
    <row r="3" spans="1:12" x14ac:dyDescent="0.3">
      <c r="A3" s="97" t="s">
        <v>128</v>
      </c>
      <c r="B3" s="97" t="s">
        <v>129</v>
      </c>
      <c r="C3" s="97" t="s">
        <v>114</v>
      </c>
      <c r="D3" s="97" t="s">
        <v>115</v>
      </c>
      <c r="E3" s="97" t="s">
        <v>116</v>
      </c>
      <c r="F3" s="97" t="s">
        <v>117</v>
      </c>
      <c r="G3" s="97" t="s">
        <v>53</v>
      </c>
      <c r="H3" s="97" t="s">
        <v>118</v>
      </c>
      <c r="I3" s="97" t="s">
        <v>119</v>
      </c>
      <c r="J3" s="97" t="s">
        <v>120</v>
      </c>
    </row>
    <row r="4" spans="1:12" x14ac:dyDescent="0.3">
      <c r="A4" s="98" t="s">
        <v>130</v>
      </c>
      <c r="B4" s="98">
        <v>0</v>
      </c>
      <c r="C4" s="36">
        <v>0.26454669237139999</v>
      </c>
      <c r="D4" s="36">
        <v>0.2628540694714</v>
      </c>
      <c r="E4" s="36">
        <v>0.2352129518986</v>
      </c>
      <c r="F4" s="36">
        <v>0.27376970648769999</v>
      </c>
      <c r="G4" s="36">
        <v>0.27405953407290001</v>
      </c>
      <c r="H4" s="36">
        <v>0.34403336048130001</v>
      </c>
      <c r="I4" s="36">
        <v>0.24846418201920001</v>
      </c>
      <c r="J4" s="36">
        <v>0.36253210902209998</v>
      </c>
      <c r="L4" t="s">
        <v>132</v>
      </c>
    </row>
    <row r="5" spans="1:12" x14ac:dyDescent="0.3">
      <c r="A5" s="98" t="s">
        <v>130</v>
      </c>
      <c r="B5" s="98">
        <v>2.5</v>
      </c>
      <c r="C5" s="36">
        <v>0.140928208828</v>
      </c>
      <c r="D5" s="36">
        <v>0.14101886749270001</v>
      </c>
      <c r="E5" s="36">
        <v>0.1255835592747</v>
      </c>
      <c r="F5" s="36">
        <v>0.14596997201440001</v>
      </c>
      <c r="G5" s="36">
        <v>0.1457014679909</v>
      </c>
      <c r="H5" s="36">
        <v>0.1833496242762</v>
      </c>
      <c r="I5" s="36">
        <v>0.1326121836901</v>
      </c>
      <c r="J5" s="36">
        <v>0.19349585473540001</v>
      </c>
    </row>
    <row r="6" spans="1:12" x14ac:dyDescent="0.3">
      <c r="A6" s="98" t="s">
        <v>130</v>
      </c>
      <c r="B6" s="98">
        <v>7.5</v>
      </c>
      <c r="C6" s="36">
        <v>7.9118959605700007E-2</v>
      </c>
      <c r="D6" s="36">
        <v>8.01013186574E-2</v>
      </c>
      <c r="E6" s="36">
        <v>7.0768743753400004E-2</v>
      </c>
      <c r="F6" s="36">
        <v>8.2070156931900007E-2</v>
      </c>
      <c r="G6" s="36">
        <v>8.1566013395799997E-2</v>
      </c>
      <c r="H6" s="36">
        <v>0.1030077189207</v>
      </c>
      <c r="I6" s="36">
        <v>7.4686095118499995E-2</v>
      </c>
      <c r="J6" s="36">
        <v>0.1089776977897</v>
      </c>
    </row>
    <row r="7" spans="1:12" x14ac:dyDescent="0.3">
      <c r="A7" s="98" t="s">
        <v>130</v>
      </c>
      <c r="B7" s="98">
        <v>12.5</v>
      </c>
      <c r="C7" s="36">
        <v>5.8524783700700002E-2</v>
      </c>
      <c r="D7" s="36">
        <v>5.9795513749099999E-2</v>
      </c>
      <c r="E7" s="36">
        <v>5.25135248899E-2</v>
      </c>
      <c r="F7" s="36">
        <v>6.0775283724100002E-2</v>
      </c>
      <c r="G7" s="36">
        <v>6.0148984193799999E-2</v>
      </c>
      <c r="H7" s="36">
        <v>7.6237604022E-2</v>
      </c>
      <c r="I7" s="36">
        <v>5.5462375283199999E-2</v>
      </c>
      <c r="J7" s="36">
        <v>8.0834597349199996E-2</v>
      </c>
    </row>
    <row r="8" spans="1:12" x14ac:dyDescent="0.3">
      <c r="A8" s="98" t="s">
        <v>130</v>
      </c>
      <c r="B8" s="98">
        <v>17.5</v>
      </c>
      <c r="C8" s="36">
        <v>4.7837331891100003E-2</v>
      </c>
      <c r="D8" s="36">
        <v>4.9216337502000003E-2</v>
      </c>
      <c r="E8" s="36">
        <v>4.3023489415599997E-2</v>
      </c>
      <c r="F8" s="36">
        <v>4.9721322953699999E-2</v>
      </c>
      <c r="G8" s="36">
        <v>4.9068570137E-2</v>
      </c>
      <c r="H8" s="36">
        <v>6.2340460717699997E-2</v>
      </c>
      <c r="I8" s="36">
        <v>4.5393414795400003E-2</v>
      </c>
      <c r="J8" s="36">
        <v>6.6197916865299994E-2</v>
      </c>
    </row>
    <row r="9" spans="1:12" x14ac:dyDescent="0.3">
      <c r="A9" s="98" t="s">
        <v>130</v>
      </c>
      <c r="B9" s="98">
        <v>22.5</v>
      </c>
      <c r="C9" s="36">
        <v>4.0647964924600002E-2</v>
      </c>
      <c r="D9" s="36">
        <v>4.20035682619E-2</v>
      </c>
      <c r="E9" s="36">
        <v>3.6619473248699998E-2</v>
      </c>
      <c r="F9" s="36">
        <v>4.2277928441799999E-2</v>
      </c>
      <c r="G9" s="36">
        <v>4.1639633476700001E-2</v>
      </c>
      <c r="H9" s="36">
        <v>5.2986633032599997E-2</v>
      </c>
      <c r="I9" s="36">
        <v>3.86106520891E-2</v>
      </c>
      <c r="J9" s="36">
        <v>5.63218891621E-2</v>
      </c>
    </row>
    <row r="10" spans="1:12" x14ac:dyDescent="0.3">
      <c r="A10" s="98" t="s">
        <v>130</v>
      </c>
      <c r="B10" s="98">
        <v>27.5</v>
      </c>
      <c r="C10" s="36">
        <v>3.49511094391E-2</v>
      </c>
      <c r="D10" s="36">
        <v>3.6181893199699999E-2</v>
      </c>
      <c r="E10" s="36">
        <v>3.1491242349100002E-2</v>
      </c>
      <c r="F10" s="36">
        <v>3.6357082426500001E-2</v>
      </c>
      <c r="G10" s="36">
        <v>3.5755876451700003E-2</v>
      </c>
      <c r="H10" s="36">
        <v>4.5546170324100001E-2</v>
      </c>
      <c r="I10" s="36">
        <v>3.3199630677700001E-2</v>
      </c>
      <c r="J10" s="36">
        <v>4.8457857221400003E-2</v>
      </c>
    </row>
    <row r="11" spans="1:12" x14ac:dyDescent="0.3">
      <c r="A11" s="98" t="s">
        <v>130</v>
      </c>
      <c r="B11" s="98">
        <v>32.5</v>
      </c>
      <c r="C11" s="36">
        <v>3.0229112133399998E-2</v>
      </c>
      <c r="D11" s="36">
        <v>3.1322646886100002E-2</v>
      </c>
      <c r="E11" s="36">
        <v>2.7265880256900001E-2</v>
      </c>
      <c r="F11" s="36">
        <v>3.1430236995199999E-2</v>
      </c>
      <c r="G11" s="36">
        <v>3.09244357049E-2</v>
      </c>
      <c r="H11" s="36">
        <v>3.9413675665899997E-2</v>
      </c>
      <c r="I11" s="36">
        <v>2.8709702193700001E-2</v>
      </c>
      <c r="J11" s="36">
        <v>4.1921745985699997E-2</v>
      </c>
    </row>
    <row r="12" spans="1:12" x14ac:dyDescent="0.3">
      <c r="A12" s="98" t="s">
        <v>130</v>
      </c>
      <c r="B12" s="98">
        <v>37.5</v>
      </c>
      <c r="C12" s="36">
        <v>2.6570098474599999E-2</v>
      </c>
      <c r="D12" s="36">
        <v>2.7620913460899999E-2</v>
      </c>
      <c r="E12" s="36">
        <v>2.39727422595E-2</v>
      </c>
      <c r="F12" s="36">
        <v>2.75881271809E-2</v>
      </c>
      <c r="G12" s="36">
        <v>2.7186522260300001E-2</v>
      </c>
      <c r="H12" s="36">
        <v>3.4794658422499999E-2</v>
      </c>
      <c r="I12" s="36">
        <v>2.5222141295699999E-2</v>
      </c>
      <c r="J12" s="36">
        <v>3.6833021789799997E-2</v>
      </c>
    </row>
    <row r="13" spans="1:12" x14ac:dyDescent="0.3">
      <c r="A13" s="98" t="s">
        <v>130</v>
      </c>
      <c r="B13" s="98">
        <v>42.5</v>
      </c>
      <c r="C13" s="36">
        <v>2.3890471085899999E-2</v>
      </c>
      <c r="D13" s="36">
        <v>2.47377473861E-2</v>
      </c>
      <c r="E13" s="36">
        <v>2.1591242402799998E-2</v>
      </c>
      <c r="F13" s="36">
        <v>2.4831216782299999E-2</v>
      </c>
      <c r="G13" s="36">
        <v>2.4407086893900001E-2</v>
      </c>
      <c r="H13" s="36">
        <v>3.11215482652E-2</v>
      </c>
      <c r="I13" s="36">
        <v>2.2656131535800001E-2</v>
      </c>
      <c r="J13" s="36">
        <v>3.31035032868E-2</v>
      </c>
    </row>
    <row r="14" spans="1:12" x14ac:dyDescent="0.3">
      <c r="A14" s="98" t="s">
        <v>130</v>
      </c>
      <c r="B14" s="98">
        <v>47.5</v>
      </c>
      <c r="C14" s="36">
        <v>2.19882205129E-2</v>
      </c>
      <c r="D14" s="36">
        <v>2.2867945954200001E-2</v>
      </c>
      <c r="E14" s="36">
        <v>1.9873572513499999E-2</v>
      </c>
      <c r="F14" s="36">
        <v>2.2811427712399999E-2</v>
      </c>
      <c r="G14" s="36">
        <v>2.2472376003900001E-2</v>
      </c>
      <c r="H14" s="36">
        <v>2.87346448749E-2</v>
      </c>
      <c r="I14" s="36">
        <v>2.0847629755699999E-2</v>
      </c>
      <c r="J14" s="36">
        <v>3.05069871247E-2</v>
      </c>
    </row>
    <row r="15" spans="1:12" x14ac:dyDescent="0.3">
      <c r="A15" s="98" t="s">
        <v>130</v>
      </c>
      <c r="B15" s="98">
        <v>52.5</v>
      </c>
      <c r="C15" s="36">
        <v>2.05172784626E-2</v>
      </c>
      <c r="D15" s="36">
        <v>2.1379128098500001E-2</v>
      </c>
      <c r="E15" s="36">
        <v>1.85787025839E-2</v>
      </c>
      <c r="F15" s="36">
        <v>2.1274313330700002E-2</v>
      </c>
      <c r="G15" s="36">
        <v>2.1036826074099998E-2</v>
      </c>
      <c r="H15" s="36">
        <v>2.6829566806600001E-2</v>
      </c>
      <c r="I15" s="36">
        <v>1.94634981453E-2</v>
      </c>
      <c r="J15" s="36">
        <v>2.8461825102600001E-2</v>
      </c>
    </row>
    <row r="16" spans="1:12" x14ac:dyDescent="0.3">
      <c r="A16" s="98" t="s">
        <v>130</v>
      </c>
      <c r="B16" s="98">
        <v>57.5</v>
      </c>
      <c r="C16" s="36">
        <v>1.9364289939399999E-2</v>
      </c>
      <c r="D16" s="36">
        <v>2.0223269239099999E-2</v>
      </c>
      <c r="E16" s="36">
        <v>1.7550710588699999E-2</v>
      </c>
      <c r="F16" s="36">
        <v>2.0065777003799998E-2</v>
      </c>
      <c r="G16" s="36">
        <v>1.97173710912E-2</v>
      </c>
      <c r="H16" s="36">
        <v>2.5342658162100001E-2</v>
      </c>
      <c r="I16" s="36">
        <v>1.83687862009E-2</v>
      </c>
      <c r="J16" s="36">
        <v>2.6871265843500001E-2</v>
      </c>
    </row>
    <row r="17" spans="1:10" x14ac:dyDescent="0.3">
      <c r="A17" s="98" t="s">
        <v>130</v>
      </c>
      <c r="B17" s="98">
        <v>62.5</v>
      </c>
      <c r="C17" s="36">
        <v>1.86398886144E-2</v>
      </c>
      <c r="D17" s="36">
        <v>1.9525045529000001E-2</v>
      </c>
      <c r="E17" s="36">
        <v>1.6919765621400001E-2</v>
      </c>
      <c r="F17" s="36">
        <v>1.9305741414400002E-2</v>
      </c>
      <c r="G17" s="36">
        <v>1.9030768424300001E-2</v>
      </c>
      <c r="H17" s="36">
        <v>2.44179181755E-2</v>
      </c>
      <c r="I17" s="36">
        <v>1.76826026291E-2</v>
      </c>
      <c r="J17" s="36">
        <v>2.5879047810999999E-2</v>
      </c>
    </row>
    <row r="18" spans="1:10" x14ac:dyDescent="0.3">
      <c r="A18" s="98" t="s">
        <v>130</v>
      </c>
      <c r="B18" s="98">
        <v>67.5</v>
      </c>
      <c r="C18" s="36">
        <v>1.8655950203499999E-2</v>
      </c>
      <c r="D18" s="36">
        <v>1.9636310636999998E-2</v>
      </c>
      <c r="E18" s="36">
        <v>1.6977949068000001E-2</v>
      </c>
      <c r="F18" s="36">
        <v>1.9307848066099999E-2</v>
      </c>
      <c r="G18" s="36">
        <v>1.9033189863E-2</v>
      </c>
      <c r="H18" s="36">
        <v>2.4470949545500002E-2</v>
      </c>
      <c r="I18" s="36">
        <v>1.76966842264E-2</v>
      </c>
      <c r="J18" s="36">
        <v>2.5925543159199999E-2</v>
      </c>
    </row>
    <row r="19" spans="1:10" x14ac:dyDescent="0.3">
      <c r="A19" s="98" t="s">
        <v>130</v>
      </c>
      <c r="B19" s="98">
        <v>72.5</v>
      </c>
      <c r="C19" s="36">
        <v>1.9402159377900002E-2</v>
      </c>
      <c r="D19" s="36">
        <v>2.05497387797E-2</v>
      </c>
      <c r="E19" s="36">
        <v>1.7704259604199999E-2</v>
      </c>
      <c r="F19" s="36">
        <v>2.0074330270299999E-2</v>
      </c>
      <c r="G19" s="36">
        <v>1.97641476989E-2</v>
      </c>
      <c r="H19" s="36">
        <v>2.5481630116699999E-2</v>
      </c>
      <c r="I19" s="36">
        <v>1.84273961931E-2</v>
      </c>
      <c r="J19" s="36">
        <v>2.6999369263600002E-2</v>
      </c>
    </row>
    <row r="21" spans="1:10" s="1" customFormat="1" x14ac:dyDescent="0.3">
      <c r="A21"/>
      <c r="B21"/>
      <c r="C21" s="35"/>
      <c r="D21" s="35"/>
      <c r="E21" s="35"/>
      <c r="F21" s="35"/>
      <c r="G21" s="35"/>
      <c r="H21" s="35"/>
      <c r="I21" s="35"/>
      <c r="J21" s="35"/>
    </row>
  </sheetData>
  <sheetProtection algorithmName="SHA-512" hashValue="1JV1qvFwb1wqc/nx2WZf1D1ADntJAtJnuQgk0w5REzwHuMkgn17PHZg2+zcJ35zsbkwPSqMDu5SUI/NI4xqfrQ==" saltValue="P/idffbAx0ZmFSW0H5I/8g==" spinCount="100000" sheet="1"/>
  <mergeCells count="1">
    <mergeCell ref="A2:J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2FC740BCA03C479DA71D811169BFA1" ma:contentTypeVersion="5" ma:contentTypeDescription="Create a new document." ma:contentTypeScope="" ma:versionID="55c1fcfba0b50bee698a5af054f21b19">
  <xsd:schema xmlns:xsd="http://www.w3.org/2001/XMLSchema" xmlns:xs="http://www.w3.org/2001/XMLSchema" xmlns:p="http://schemas.microsoft.com/office/2006/metadata/properties" xmlns:ns2="12c48a06-edc6-4ccf-ab50-6f21e6b801cd" xmlns:ns3="6a71ecd6-7a08-4b40-8c69-f5ec8494976e" targetNamespace="http://schemas.microsoft.com/office/2006/metadata/properties" ma:root="true" ma:fieldsID="620b7003fcbb9a2700d630a39e7fc411" ns2:_="" ns3:_="">
    <xsd:import namespace="12c48a06-edc6-4ccf-ab50-6f21e6b801cd"/>
    <xsd:import namespace="6a71ecd6-7a08-4b40-8c69-f5ec849497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48a06-edc6-4ccf-ab50-6f21e6b80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71ecd6-7a08-4b40-8c69-f5ec849497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107134-FF69-4DAE-9B23-EF76888B1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48a06-edc6-4ccf-ab50-6f21e6b801cd"/>
    <ds:schemaRef ds:uri="6a71ecd6-7a08-4b40-8c69-f5ec849497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854A7F-EA8C-483D-B458-D2AB45792AD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0284B5F-9863-436F-A348-48DB20B19D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ITS Delay Worksheet</vt:lpstr>
      <vt:lpstr>Emissions Reduction Worksheet</vt:lpstr>
      <vt:lpstr>Instructions</vt:lpstr>
      <vt:lpstr>Inputs &amp; Outputs</vt:lpstr>
      <vt:lpstr>Calculations</vt:lpstr>
      <vt:lpstr>Assumed Values</vt:lpstr>
      <vt:lpstr>Value of Emissions</vt:lpstr>
      <vt:lpstr>Emission Factors - NOx</vt:lpstr>
      <vt:lpstr>Emission Factors - VOC</vt:lpstr>
      <vt:lpstr>Service Life</vt:lpstr>
      <vt:lpstr>Growth Rates</vt:lpstr>
      <vt:lpstr>_2025_Capacity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Lingala, Vishu</cp:lastModifiedBy>
  <cp:revision/>
  <dcterms:created xsi:type="dcterms:W3CDTF">2012-07-25T15:48:32Z</dcterms:created>
  <dcterms:modified xsi:type="dcterms:W3CDTF">2023-07-28T12:26:48Z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0x010100412FC740BCA03C479DA71D811169BFA1</vt:lpwstr>
  </property>
</Properties>
</file>