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3"/>
  </bookViews>
  <sheets>
    <sheet name="Read Me" sheetId="1" r:id="rId1"/>
    <sheet name="Input 1" sheetId="2" r:id="rId2"/>
    <sheet name="Assumptions_1" sheetId="3" r:id="rId3"/>
    <sheet name="Assumptions_2" sheetId="4" r:id="rId4"/>
    <sheet name="Results" sheetId="5" r:id="rId5"/>
    <sheet name="Work Trips" sheetId="6" r:id="rId6"/>
    <sheet name="Non-Work Trips" sheetId="7" r:id="rId7"/>
    <sheet name="All Trips" sheetId="8" r:id="rId8"/>
  </sheets>
  <definedNames/>
  <calcPr fullCalcOnLoad="1"/>
</workbook>
</file>

<file path=xl/comments2.xml><?xml version="1.0" encoding="utf-8"?>
<comments xmlns="http://schemas.openxmlformats.org/spreadsheetml/2006/main">
  <authors>
    <author>dm</author>
  </authors>
  <commentList>
    <comment ref="B20" authorId="0">
      <text>
        <r>
          <rPr>
            <b/>
            <sz val="10"/>
            <rFont val="Tahoma"/>
            <family val="2"/>
          </rPr>
          <t>dm:</t>
        </r>
        <r>
          <rPr>
            <sz val="10"/>
            <rFont val="Tahoma"/>
            <family val="2"/>
          </rPr>
          <t xml:space="preserve">
This value is set to be the smaller value of % of resident workers who also work here or % of jobs taken by local residents</t>
        </r>
      </text>
    </comment>
  </commentList>
</comments>
</file>

<file path=xl/comments3.xml><?xml version="1.0" encoding="utf-8"?>
<comments xmlns="http://schemas.openxmlformats.org/spreadsheetml/2006/main">
  <authors>
    <author>dm</author>
  </authors>
  <commentList>
    <comment ref="B13" authorId="0">
      <text>
        <r>
          <rPr>
            <b/>
            <sz val="10"/>
            <rFont val="Tahoma"/>
            <family val="2"/>
          </rPr>
          <t>dm:</t>
        </r>
        <r>
          <rPr>
            <sz val="10"/>
            <rFont val="Tahoma"/>
            <family val="2"/>
          </rPr>
          <t xml:space="preserve">
Daily commute is counted as 2 trips</t>
        </r>
      </text>
    </comment>
    <comment ref="B15" authorId="0">
      <text>
        <r>
          <rPr>
            <b/>
            <sz val="10"/>
            <rFont val="Tahoma"/>
            <family val="2"/>
          </rPr>
          <t>dm:</t>
        </r>
        <r>
          <rPr>
            <sz val="10"/>
            <rFont val="Tahoma"/>
            <family val="2"/>
          </rPr>
          <t xml:space="preserve">
Only workers make trips. Trips done by non-workers are not considered here (but they can be)</t>
        </r>
      </text>
    </comment>
  </commentList>
</comments>
</file>

<file path=xl/sharedStrings.xml><?xml version="1.0" encoding="utf-8"?>
<sst xmlns="http://schemas.openxmlformats.org/spreadsheetml/2006/main" count="522" uniqueCount="178">
  <si>
    <t>Y</t>
  </si>
  <si>
    <t>N</t>
  </si>
  <si>
    <t>A</t>
  </si>
  <si>
    <t>ALL</t>
  </si>
  <si>
    <t>Jobs</t>
  </si>
  <si>
    <t>P</t>
  </si>
  <si>
    <t>Acres</t>
  </si>
  <si>
    <t>All Trips per day</t>
  </si>
  <si>
    <t>Average Work trips per day</t>
  </si>
  <si>
    <t>Total Daily Work Trips</t>
  </si>
  <si>
    <t>SOV</t>
  </si>
  <si>
    <t>Carpool</t>
  </si>
  <si>
    <t>W</t>
  </si>
  <si>
    <t>All</t>
  </si>
  <si>
    <t>Neighborhood Center</t>
  </si>
  <si>
    <t>Town Center</t>
  </si>
  <si>
    <t>Regional Center</t>
  </si>
  <si>
    <t>Urban Core</t>
  </si>
  <si>
    <t>Greenspoint, Galveston, Energy Corridor</t>
  </si>
  <si>
    <t>Downtown Houston</t>
  </si>
  <si>
    <t>Resident Population</t>
  </si>
  <si>
    <t>Outside Centers</t>
  </si>
  <si>
    <t>Square Miles</t>
  </si>
  <si>
    <t>Distance center to side (ft)--for a square</t>
  </si>
  <si>
    <t>Radius (ft) -- for a circle</t>
  </si>
  <si>
    <t>Distance (ft) covered in one minute</t>
  </si>
  <si>
    <t>Walking time (minutes) needed to cover 1000 ft</t>
  </si>
  <si>
    <t>Walking time (minutes) center to side--for a square</t>
  </si>
  <si>
    <t>Walking time (minutes) center to edge--for a circle</t>
  </si>
  <si>
    <t>Geographic Dimensions</t>
  </si>
  <si>
    <t>Typical Daytime + Nightime Population</t>
  </si>
  <si>
    <t>Typical Daytime + Nightime Population Density (per acre)</t>
  </si>
  <si>
    <t>Jobs density (per acre)</t>
  </si>
  <si>
    <t>Dwelling Units density (per acre)</t>
  </si>
  <si>
    <t>Dwelling Units</t>
  </si>
  <si>
    <t>Daytime Population (Jobs)</t>
  </si>
  <si>
    <t>Nightime Population (Residents)</t>
  </si>
  <si>
    <t>Resident Workers</t>
  </si>
  <si>
    <t>Non-working Residents</t>
  </si>
  <si>
    <t>Residents Per Dwelling Unit*</t>
  </si>
  <si>
    <t>* Source: 2006 American Community Survey data for Harris County</t>
  </si>
  <si>
    <t>Workers per Dwelling Unit*</t>
  </si>
  <si>
    <t>Resident Workers who also work here</t>
  </si>
  <si>
    <t>Percent of Resident Workers who also work here**</t>
  </si>
  <si>
    <t>** Common sense estimate (to be validated)</t>
  </si>
  <si>
    <t>Houston examples</t>
  </si>
  <si>
    <t>Museum District, Bellaire, Chinatown</t>
  </si>
  <si>
    <t>Medical Center, Uptown, Greenway Plaza</t>
  </si>
  <si>
    <t>Population and Employment Dimensions--Single Center</t>
  </si>
  <si>
    <t>Desired Number of Centers</t>
  </si>
  <si>
    <t>Population and Employment Totals</t>
  </si>
  <si>
    <t>All Centers Combined</t>
  </si>
  <si>
    <t>Region Total</t>
  </si>
  <si>
    <t>Dependents (non-working) per Worker*</t>
  </si>
  <si>
    <t>Total by Destination</t>
  </si>
  <si>
    <t>Destinations ("TO")</t>
  </si>
  <si>
    <t>Origins ("FROM")</t>
  </si>
  <si>
    <t>Percent of Workers who also reside here**</t>
  </si>
  <si>
    <t>B</t>
  </si>
  <si>
    <t>C</t>
  </si>
  <si>
    <t>D</t>
  </si>
  <si>
    <t>E</t>
  </si>
  <si>
    <t>F</t>
  </si>
  <si>
    <t>Neighborhood Center (NC)</t>
  </si>
  <si>
    <t>Town Center (TC)</t>
  </si>
  <si>
    <t>Regional Center (RC)</t>
  </si>
  <si>
    <t>Urban Core (UC)</t>
  </si>
  <si>
    <t>Outside Centers (OC)</t>
  </si>
  <si>
    <t>Region Total (RT)</t>
  </si>
  <si>
    <t>G</t>
  </si>
  <si>
    <t>H</t>
  </si>
  <si>
    <t>NC</t>
  </si>
  <si>
    <t>TC</t>
  </si>
  <si>
    <t>RC</t>
  </si>
  <si>
    <t>UC</t>
  </si>
  <si>
    <t>ALL C</t>
  </si>
  <si>
    <t>NOT C</t>
  </si>
  <si>
    <t>Resulting Commuting Flows (Count of Persons)</t>
  </si>
  <si>
    <t>Allocation of Workers from places of residence (Origins) to places of work (Destinations)</t>
  </si>
  <si>
    <t>I</t>
  </si>
  <si>
    <t>J</t>
  </si>
  <si>
    <t>K</t>
  </si>
  <si>
    <t>L</t>
  </si>
  <si>
    <t>M</t>
  </si>
  <si>
    <t>Assumed Share of Work Trips in All Trips***</t>
  </si>
  <si>
    <t>Assumed Average Work trips per week (both ways)**</t>
  </si>
  <si>
    <t>Resulting Commuting Flows (Count of Trips)</t>
  </si>
  <si>
    <t>Total by Origin</t>
  </si>
  <si>
    <t>RT</t>
  </si>
  <si>
    <t>Non-work trips per day (also: this is how many non-work trips each job attracts)</t>
  </si>
  <si>
    <t>O</t>
  </si>
  <si>
    <t>Average Attracted Daily Non-Work Trips per Job</t>
  </si>
  <si>
    <t>Total Daily Non-Work Trips Attracted</t>
  </si>
  <si>
    <t>Factor by which attractiveness of C destinations (for non-work trips) exceeds OC attractiveness**</t>
  </si>
  <si>
    <t>Percent of non-work trips served by destinations inside C (for residents of C)</t>
  </si>
  <si>
    <t>Resulting Non-Work Trips</t>
  </si>
  <si>
    <t>Without Centers</t>
  </si>
  <si>
    <t>With Centers</t>
  </si>
  <si>
    <t>OC</t>
  </si>
  <si>
    <t>Destination NC</t>
  </si>
  <si>
    <t>Origin (Residence)</t>
  </si>
  <si>
    <t>Destination TC</t>
  </si>
  <si>
    <t>Destination RC</t>
  </si>
  <si>
    <t>Destination UC</t>
  </si>
  <si>
    <t>Destination OC</t>
  </si>
  <si>
    <t>Auto</t>
  </si>
  <si>
    <t>Walk  Bike</t>
  </si>
  <si>
    <t>Telecom</t>
  </si>
  <si>
    <t>**** Census 2000 data for the 8-county region</t>
  </si>
  <si>
    <t>S</t>
  </si>
  <si>
    <t>Trans</t>
  </si>
  <si>
    <t>Q1</t>
  </si>
  <si>
    <t>Q2</t>
  </si>
  <si>
    <t>Q3</t>
  </si>
  <si>
    <t>Q4</t>
  </si>
  <si>
    <t>Share of Auto (SOV and carpool) in all Work Trips****</t>
  </si>
  <si>
    <t>Share of Transit in all Work Trips****</t>
  </si>
  <si>
    <t>Share of Walking/Biking in all Work Trips****</t>
  </si>
  <si>
    <t>Share of Telecommuting in all Work Trips****</t>
  </si>
  <si>
    <t>R1</t>
  </si>
  <si>
    <t>R2</t>
  </si>
  <si>
    <t>R3</t>
  </si>
  <si>
    <t>Work Trips Mode Choice Distribution</t>
  </si>
  <si>
    <t>Non-Work Trips Mode Choice Distribution</t>
  </si>
  <si>
    <t>T1</t>
  </si>
  <si>
    <t>T2</t>
  </si>
  <si>
    <t>T3</t>
  </si>
  <si>
    <t>For residents, factor by which the likelihood of taking transit for commute increases if the job (destination) is located in a center**</t>
  </si>
  <si>
    <t>Share of Transit in all Non-Work Trips*****</t>
  </si>
  <si>
    <t>Share of Walking/Biking in all Non-Work Trips*****</t>
  </si>
  <si>
    <t>***** Unverified estimate (parameter borrowed from work trips data)</t>
  </si>
  <si>
    <t>U1</t>
  </si>
  <si>
    <t>U2</t>
  </si>
  <si>
    <t>U3</t>
  </si>
  <si>
    <t>Share of Auto in all physical work trips (excludes telecommuting) for residents of a center who also work in the same center**</t>
  </si>
  <si>
    <t>Share of Transit in all physical work trips (excludes telecommuting) for residents of a center who also work in the same center**</t>
  </si>
  <si>
    <t>Share of Walking/Biking in all physical work trips (excludes telecommuting) for residents of a center who also work in the same center**</t>
  </si>
  <si>
    <t>Share of Auto in all non-work trips for residents of a center when the non-work destination is in the same center**</t>
  </si>
  <si>
    <t>Share of Transit in all non-work trips for residents of a center when the non-work destination is in the same center**</t>
  </si>
  <si>
    <t>Share of Walking/Biking in all non-work trips for residents of a center when the non-work destination is in the same center**</t>
  </si>
  <si>
    <t>V</t>
  </si>
  <si>
    <t>system-wide assumption</t>
  </si>
  <si>
    <t>Work Trips Mode Choice Counts</t>
  </si>
  <si>
    <t>Destination ALL</t>
  </si>
  <si>
    <t>Walking speed (miles per hour)</t>
  </si>
  <si>
    <t>Sum</t>
  </si>
  <si>
    <t>SUM</t>
  </si>
  <si>
    <t>This excludes workers who work in the same centers where they live</t>
  </si>
  <si>
    <t>Difference</t>
  </si>
  <si>
    <t>Total Daily Non-Work Trips by Resident Workers</t>
  </si>
  <si>
    <t>Allocation of non-work trips from places of residence (Origins) to places of Non-Work Destinations</t>
  </si>
  <si>
    <t>This excludes non-work destinations in the Centers of residence</t>
  </si>
  <si>
    <t>Vehicle Trips</t>
  </si>
  <si>
    <t>Person Trips</t>
  </si>
  <si>
    <t>Color Coding</t>
  </si>
  <si>
    <t>The cell to the left must equal to 100</t>
  </si>
  <si>
    <t>Users may type in their own values</t>
  </si>
  <si>
    <t>Please, DO NOT alter them</t>
  </si>
  <si>
    <t>Cells with primary assumptions are colored Red</t>
  </si>
  <si>
    <t>Cells with calculations are colored Yellow</t>
  </si>
  <si>
    <t>Cells with useful info are colored Green</t>
  </si>
  <si>
    <t>Work</t>
  </si>
  <si>
    <t>Non-Work</t>
  </si>
  <si>
    <t>For residents, factor by which the likelihood of taking transit to non-work destinations increases if the destination is located in a center**</t>
  </si>
  <si>
    <t>Share of Auto (SOV only) in all Non-Work Trips*****</t>
  </si>
  <si>
    <t>Person-Trips (Non-Telecommuting)</t>
  </si>
  <si>
    <t>Auto Trips</t>
  </si>
  <si>
    <t>All Auto</t>
  </si>
  <si>
    <t>Percent of commute person-trips (for residents) accounted for by SOV **** (SOV + Carpool = 100%)</t>
  </si>
  <si>
    <t>Average People in a Carpoo (for residents)****</t>
  </si>
  <si>
    <t>Absolute Change (With Centers - Without Centers)</t>
  </si>
  <si>
    <t>Percent Change (Absolute Change / Without Centers)</t>
  </si>
  <si>
    <t>LHWH</t>
  </si>
  <si>
    <t>LHWT</t>
  </si>
  <si>
    <t>LTWH</t>
  </si>
  <si>
    <t>LTWT</t>
  </si>
  <si>
    <t>*** 2001 National Household Transportation Survey (http://nhts.ornl.gov/2001/pub/STT.pdf)</t>
  </si>
  <si>
    <t>!!!!    If any of the numbers in this column are negative, reduce the number of centers or increase the number of resident workers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</si>
</sst>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0.0000000"/>
    <numFmt numFmtId="180" formatCode="0.00000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.00000000"/>
    <numFmt numFmtId="185" formatCode="_-* #,##0.0_-;\-* #,##0.0_-;_-* &quot;-&quot;??_-;_-@_-"/>
    <numFmt numFmtId="186" formatCode="_-* #,##0_-;\-* #,##0_-;_-* &quot;-&quot;??_-;_-@_-"/>
    <numFmt numFmtId="187" formatCode="0.000%"/>
    <numFmt numFmtId="188" formatCode="[$-409]dddd\,\ mmmm\ dd\,\ yyyy"/>
    <numFmt numFmtId="189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horizontal="left" wrapText="1"/>
    </xf>
    <xf numFmtId="183" fontId="0" fillId="0" borderId="0" xfId="42" applyNumberFormat="1" applyFont="1" applyAlignment="1">
      <alignment/>
    </xf>
    <xf numFmtId="183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2" fontId="0" fillId="0" borderId="0" xfId="0" applyNumberFormat="1" applyAlignment="1">
      <alignment wrapText="1"/>
    </xf>
    <xf numFmtId="172" fontId="0" fillId="33" borderId="0" xfId="0" applyNumberFormat="1" applyFill="1" applyAlignment="1">
      <alignment/>
    </xf>
    <xf numFmtId="0" fontId="0" fillId="0" borderId="0" xfId="0" applyAlignment="1">
      <alignment horizontal="center" vertical="center" textRotation="90"/>
    </xf>
    <xf numFmtId="1" fontId="0" fillId="0" borderId="0" xfId="0" applyNumberFormat="1" applyFill="1" applyAlignment="1">
      <alignment/>
    </xf>
    <xf numFmtId="182" fontId="0" fillId="33" borderId="0" xfId="42" applyNumberFormat="1" applyFont="1" applyFill="1" applyAlignment="1">
      <alignment/>
    </xf>
    <xf numFmtId="183" fontId="0" fillId="33" borderId="0" xfId="42" applyNumberFormat="1" applyFont="1" applyFill="1" applyAlignment="1">
      <alignment/>
    </xf>
    <xf numFmtId="183" fontId="0" fillId="0" borderId="0" xfId="42" applyNumberFormat="1" applyFont="1" applyFill="1" applyAlignment="1">
      <alignment/>
    </xf>
    <xf numFmtId="183" fontId="0" fillId="35" borderId="0" xfId="42" applyNumberFormat="1" applyFont="1" applyFill="1" applyAlignment="1">
      <alignment/>
    </xf>
    <xf numFmtId="183" fontId="2" fillId="34" borderId="0" xfId="42" applyNumberFormat="1" applyFont="1" applyFill="1" applyAlignment="1">
      <alignment/>
    </xf>
    <xf numFmtId="183" fontId="0" fillId="33" borderId="0" xfId="42" applyNumberFormat="1" applyFont="1" applyFill="1" applyAlignment="1">
      <alignment wrapText="1"/>
    </xf>
    <xf numFmtId="0" fontId="0" fillId="35" borderId="0" xfId="0" applyFill="1" applyAlignment="1">
      <alignment horizontal="center" wrapText="1"/>
    </xf>
    <xf numFmtId="186" fontId="0" fillId="33" borderId="0" xfId="0" applyNumberFormat="1" applyFill="1" applyAlignment="1">
      <alignment/>
    </xf>
    <xf numFmtId="183" fontId="2" fillId="34" borderId="0" xfId="42" applyNumberFormat="1" applyFont="1" applyFill="1" applyAlignment="1">
      <alignment wrapText="1"/>
    </xf>
    <xf numFmtId="18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3" borderId="0" xfId="59" applyNumberFormat="1" applyFont="1" applyFill="1" applyAlignment="1">
      <alignment/>
    </xf>
    <xf numFmtId="2" fontId="0" fillId="33" borderId="0" xfId="0" applyNumberFormat="1" applyFill="1" applyAlignment="1">
      <alignment/>
    </xf>
    <xf numFmtId="9" fontId="0" fillId="34" borderId="0" xfId="59" applyFont="1" applyFill="1" applyAlignment="1">
      <alignment/>
    </xf>
    <xf numFmtId="1" fontId="0" fillId="34" borderId="0" xfId="59" applyNumberFormat="1" applyFont="1" applyFill="1" applyAlignment="1">
      <alignment/>
    </xf>
    <xf numFmtId="3" fontId="5" fillId="33" borderId="0" xfId="42" applyNumberFormat="1" applyFont="1" applyFill="1" applyAlignment="1">
      <alignment wrapText="1"/>
    </xf>
    <xf numFmtId="3" fontId="0" fillId="33" borderId="0" xfId="0" applyNumberFormat="1" applyFill="1" applyAlignment="1">
      <alignment wrapText="1"/>
    </xf>
    <xf numFmtId="3" fontId="8" fillId="33" borderId="0" xfId="0" applyNumberFormat="1" applyFont="1" applyFill="1" applyAlignment="1">
      <alignment wrapText="1"/>
    </xf>
    <xf numFmtId="3" fontId="7" fillId="33" borderId="0" xfId="0" applyNumberFormat="1" applyFont="1" applyFill="1" applyAlignment="1">
      <alignment wrapText="1"/>
    </xf>
    <xf numFmtId="183" fontId="6" fillId="33" borderId="0" xfId="42" applyNumberFormat="1" applyFont="1" applyFill="1" applyAlignment="1">
      <alignment wrapText="1"/>
    </xf>
    <xf numFmtId="3" fontId="5" fillId="33" borderId="0" xfId="0" applyNumberFormat="1" applyFont="1" applyFill="1" applyAlignment="1">
      <alignment wrapText="1"/>
    </xf>
    <xf numFmtId="3" fontId="7" fillId="33" borderId="0" xfId="0" applyNumberFormat="1" applyFont="1" applyFill="1" applyAlignment="1">
      <alignment/>
    </xf>
    <xf numFmtId="183" fontId="6" fillId="33" borderId="0" xfId="42" applyNumberFormat="1" applyFont="1" applyFill="1" applyAlignment="1">
      <alignment/>
    </xf>
    <xf numFmtId="1" fontId="0" fillId="34" borderId="0" xfId="0" applyNumberFormat="1" applyFill="1" applyAlignment="1">
      <alignment/>
    </xf>
    <xf numFmtId="10" fontId="0" fillId="34" borderId="0" xfId="59" applyNumberFormat="1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3" fontId="0" fillId="34" borderId="0" xfId="59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9" fontId="0" fillId="36" borderId="10" xfId="59" applyNumberFormat="1" applyFont="1" applyFill="1" applyBorder="1" applyAlignment="1">
      <alignment/>
    </xf>
    <xf numFmtId="0" fontId="0" fillId="36" borderId="0" xfId="0" applyFill="1" applyAlignment="1">
      <alignment/>
    </xf>
    <xf numFmtId="9" fontId="0" fillId="36" borderId="10" xfId="0" applyNumberFormat="1" applyFill="1" applyBorder="1" applyAlignment="1">
      <alignment/>
    </xf>
    <xf numFmtId="10" fontId="0" fillId="33" borderId="10" xfId="59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9" fontId="0" fillId="34" borderId="0" xfId="59" applyNumberFormat="1" applyFont="1" applyFill="1" applyAlignment="1">
      <alignment/>
    </xf>
    <xf numFmtId="9" fontId="0" fillId="33" borderId="10" xfId="59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 wrapText="1"/>
    </xf>
    <xf numFmtId="187" fontId="0" fillId="33" borderId="0" xfId="59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7" fillId="0" borderId="0" xfId="0" applyNumberFormat="1" applyFont="1" applyFill="1" applyAlignment="1">
      <alignment/>
    </xf>
    <xf numFmtId="183" fontId="6" fillId="0" borderId="0" xfId="42" applyNumberFormat="1" applyFont="1" applyFill="1" applyAlignment="1">
      <alignment/>
    </xf>
    <xf numFmtId="183" fontId="0" fillId="0" borderId="0" xfId="0" applyNumberFormat="1" applyFill="1" applyAlignment="1">
      <alignment/>
    </xf>
    <xf numFmtId="1" fontId="7" fillId="33" borderId="0" xfId="0" applyNumberFormat="1" applyFont="1" applyFill="1" applyAlignment="1">
      <alignment wrapText="1"/>
    </xf>
    <xf numFmtId="3" fontId="0" fillId="33" borderId="0" xfId="0" applyNumberFormat="1" applyFill="1" applyAlignment="1">
      <alignment horizontal="center"/>
    </xf>
    <xf numFmtId="183" fontId="7" fillId="33" borderId="0" xfId="0" applyNumberFormat="1" applyFont="1" applyFill="1" applyAlignment="1">
      <alignment/>
    </xf>
    <xf numFmtId="183" fontId="5" fillId="33" borderId="0" xfId="0" applyNumberFormat="1" applyFont="1" applyFill="1" applyAlignment="1">
      <alignment/>
    </xf>
    <xf numFmtId="183" fontId="5" fillId="33" borderId="0" xfId="42" applyNumberFormat="1" applyFont="1" applyFill="1" applyAlignment="1">
      <alignment/>
    </xf>
    <xf numFmtId="4" fontId="0" fillId="34" borderId="0" xfId="59" applyNumberFormat="1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3" fontId="0" fillId="33" borderId="0" xfId="42" applyNumberFormat="1" applyFont="1" applyFill="1" applyAlignment="1">
      <alignment/>
    </xf>
    <xf numFmtId="3" fontId="0" fillId="33" borderId="0" xfId="42" applyNumberFormat="1" applyFont="1" applyFill="1" applyAlignment="1">
      <alignment wrapText="1"/>
    </xf>
    <xf numFmtId="9" fontId="0" fillId="33" borderId="0" xfId="59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83" fontId="0" fillId="35" borderId="0" xfId="0" applyNumberFormat="1" applyFill="1" applyAlignment="1">
      <alignment/>
    </xf>
    <xf numFmtId="186" fontId="0" fillId="35" borderId="0" xfId="0" applyNumberFormat="1" applyFill="1" applyAlignment="1">
      <alignment/>
    </xf>
    <xf numFmtId="9" fontId="0" fillId="0" borderId="10" xfId="59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183" fontId="0" fillId="0" borderId="1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6" fillId="33" borderId="0" xfId="42" applyNumberFormat="1" applyFont="1" applyFill="1" applyAlignment="1">
      <alignment/>
    </xf>
    <xf numFmtId="1" fontId="6" fillId="33" borderId="0" xfId="42" applyNumberFormat="1" applyFont="1" applyFill="1" applyAlignment="1">
      <alignment wrapText="1"/>
    </xf>
    <xf numFmtId="3" fontId="6" fillId="33" borderId="0" xfId="42" applyNumberFormat="1" applyFont="1" applyFill="1" applyAlignment="1">
      <alignment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center" vertical="center" textRotation="90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7" sqref="I7"/>
    </sheetView>
  </sheetViews>
  <sheetFormatPr defaultColWidth="9.140625" defaultRowHeight="12.75"/>
  <sheetData>
    <row r="1" ht="12.75">
      <c r="A1" t="s">
        <v>154</v>
      </c>
    </row>
    <row r="2" spans="1:6" ht="12.75">
      <c r="A2" t="s">
        <v>158</v>
      </c>
      <c r="F2" s="35"/>
    </row>
    <row r="3" ht="12.75">
      <c r="B3" t="s">
        <v>156</v>
      </c>
    </row>
    <row r="5" spans="1:6" ht="12.75">
      <c r="A5" t="s">
        <v>159</v>
      </c>
      <c r="F5" s="9"/>
    </row>
    <row r="6" ht="12.75">
      <c r="B6" t="s">
        <v>157</v>
      </c>
    </row>
    <row r="8" spans="1:6" ht="12.75">
      <c r="A8" t="s">
        <v>160</v>
      </c>
      <c r="F8" s="87"/>
    </row>
    <row r="9" ht="12.75">
      <c r="B9" t="s">
        <v>157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H43" sqref="H43"/>
    </sheetView>
  </sheetViews>
  <sheetFormatPr defaultColWidth="9.140625" defaultRowHeight="12.75"/>
  <cols>
    <col min="1" max="1" width="13.28125" style="0" customWidth="1"/>
    <col min="2" max="2" width="32.140625" style="0" customWidth="1"/>
    <col min="3" max="3" width="13.57421875" style="0" customWidth="1"/>
    <col min="4" max="4" width="11.57421875" style="0" bestFit="1" customWidth="1"/>
    <col min="5" max="5" width="13.00390625" style="0" customWidth="1"/>
    <col min="6" max="6" width="10.00390625" style="0" customWidth="1"/>
    <col min="7" max="7" width="11.00390625" style="0" customWidth="1"/>
    <col min="8" max="8" width="16.8515625" style="0" customWidth="1"/>
    <col min="9" max="9" width="11.8515625" style="0" customWidth="1"/>
  </cols>
  <sheetData>
    <row r="1" spans="3:6" ht="25.5">
      <c r="C1" s="16" t="s">
        <v>14</v>
      </c>
      <c r="D1" s="16" t="s">
        <v>15</v>
      </c>
      <c r="E1" s="16" t="s">
        <v>16</v>
      </c>
      <c r="F1" s="16" t="s">
        <v>17</v>
      </c>
    </row>
    <row r="2" spans="1:6" ht="12.75">
      <c r="A2" s="101" t="s">
        <v>29</v>
      </c>
      <c r="B2" t="s">
        <v>6</v>
      </c>
      <c r="C2" s="29">
        <v>206.61157024793388</v>
      </c>
      <c r="D2" s="29">
        <v>573.921028466483</v>
      </c>
      <c r="E2" s="29">
        <v>1124.8852157943068</v>
      </c>
      <c r="F2" s="29">
        <v>1124.8852157943068</v>
      </c>
    </row>
    <row r="3" spans="1:6" ht="12.75">
      <c r="A3" s="101"/>
      <c r="B3" t="s">
        <v>22</v>
      </c>
      <c r="C3" s="25">
        <f>C2/640</f>
        <v>0.3228305785123967</v>
      </c>
      <c r="D3" s="25">
        <f>D2/640</f>
        <v>0.8967516069788797</v>
      </c>
      <c r="E3" s="25">
        <f>E2/640</f>
        <v>1.7576331496786044</v>
      </c>
      <c r="F3" s="25">
        <f>F2/640</f>
        <v>1.7576331496786044</v>
      </c>
    </row>
    <row r="4" spans="1:6" ht="25.5">
      <c r="A4" s="101"/>
      <c r="B4" s="8" t="s">
        <v>23</v>
      </c>
      <c r="C4" s="26">
        <v>1500</v>
      </c>
      <c r="D4" s="26">
        <v>2500</v>
      </c>
      <c r="E4" s="26">
        <v>3500</v>
      </c>
      <c r="F4" s="26">
        <v>3500</v>
      </c>
    </row>
    <row r="5" spans="1:6" ht="12.75">
      <c r="A5" s="101"/>
      <c r="B5" s="21" t="s">
        <v>24</v>
      </c>
      <c r="C5" s="26">
        <f>SQRT((C2*43560)/PI())</f>
        <v>1692.568750643269</v>
      </c>
      <c r="D5" s="26">
        <f>SQRT((D2*43560)/PI())</f>
        <v>2820.9479177387816</v>
      </c>
      <c r="E5" s="26">
        <f>SQRT((E2*43560)/PI())</f>
        <v>3949.327084834294</v>
      </c>
      <c r="F5" s="26">
        <f>SQRT((F2*43560)/PI())</f>
        <v>3949.327084834294</v>
      </c>
    </row>
    <row r="6" spans="1:6" ht="25.5">
      <c r="A6" s="101"/>
      <c r="B6" s="8" t="s">
        <v>27</v>
      </c>
      <c r="C6" s="26">
        <f>60*C4/(Assumptions_1!$C$1*5280)</f>
        <v>5.681818181818182</v>
      </c>
      <c r="D6" s="26">
        <f>60*D4/(Assumptions_1!$C$1*5280)</f>
        <v>9.469696969696969</v>
      </c>
      <c r="E6" s="26">
        <f>60*E4/(Assumptions_1!$C$1*5280)</f>
        <v>13.257575757575758</v>
      </c>
      <c r="F6" s="26">
        <f>60*F4/(Assumptions_1!$C$1*5280)</f>
        <v>13.257575757575758</v>
      </c>
    </row>
    <row r="7" spans="1:6" ht="25.5">
      <c r="A7" s="101"/>
      <c r="B7" s="8" t="s">
        <v>28</v>
      </c>
      <c r="C7" s="26">
        <f>60*C5/(Assumptions_1!$C$1*5280)</f>
        <v>6.411245267588139</v>
      </c>
      <c r="D7" s="26">
        <f>60*D5/(Assumptions_1!$C$1*5280)</f>
        <v>10.685408779313565</v>
      </c>
      <c r="E7" s="26">
        <f>60*E5/(Assumptions_1!$C$1*5280)</f>
        <v>14.959572291038992</v>
      </c>
      <c r="F7" s="26">
        <f>60*F5/(Assumptions_1!$C$1*5280)</f>
        <v>14.959572291038992</v>
      </c>
    </row>
    <row r="8" spans="1:6" ht="12.75">
      <c r="A8" s="23"/>
      <c r="B8" s="8"/>
      <c r="C8" s="27"/>
      <c r="D8" s="27"/>
      <c r="E8" s="27"/>
      <c r="F8" s="27"/>
    </row>
    <row r="9" spans="1:6" ht="63.75">
      <c r="A9" s="23"/>
      <c r="B9" s="8" t="s">
        <v>45</v>
      </c>
      <c r="C9" s="31" t="s">
        <v>46</v>
      </c>
      <c r="D9" s="31" t="s">
        <v>18</v>
      </c>
      <c r="E9" s="31" t="s">
        <v>47</v>
      </c>
      <c r="F9" s="31" t="s">
        <v>19</v>
      </c>
    </row>
    <row r="10" spans="1:6" ht="12.75">
      <c r="A10" s="23"/>
      <c r="B10" s="8"/>
      <c r="C10" s="27"/>
      <c r="D10" s="27"/>
      <c r="E10" s="27"/>
      <c r="F10" s="27"/>
    </row>
    <row r="11" spans="1:6" ht="25.5">
      <c r="A11" s="102" t="s">
        <v>48</v>
      </c>
      <c r="B11" s="8" t="s">
        <v>30</v>
      </c>
      <c r="C11" s="28">
        <v>3000</v>
      </c>
      <c r="D11" s="28">
        <v>10000</v>
      </c>
      <c r="E11" s="28">
        <v>50000</v>
      </c>
      <c r="F11" s="28">
        <v>100000</v>
      </c>
    </row>
    <row r="12" spans="1:6" ht="25.5">
      <c r="A12" s="102"/>
      <c r="B12" s="8" t="s">
        <v>31</v>
      </c>
      <c r="C12" s="28">
        <f>C11/C2</f>
        <v>14.52</v>
      </c>
      <c r="D12" s="28">
        <f>D11/D2</f>
        <v>17.424</v>
      </c>
      <c r="E12" s="28">
        <f>E11/E2</f>
        <v>44.44897959183673</v>
      </c>
      <c r="F12" s="28">
        <f>F11/F2</f>
        <v>88.89795918367346</v>
      </c>
    </row>
    <row r="13" spans="1:6" ht="12.75">
      <c r="A13" s="102"/>
      <c r="B13" s="8" t="s">
        <v>33</v>
      </c>
      <c r="C13" s="29">
        <v>9</v>
      </c>
      <c r="D13" s="29">
        <v>10</v>
      </c>
      <c r="E13" s="29">
        <v>20</v>
      </c>
      <c r="F13" s="29">
        <v>30</v>
      </c>
    </row>
    <row r="14" spans="1:6" ht="12.75">
      <c r="A14" s="102"/>
      <c r="B14" s="8" t="s">
        <v>32</v>
      </c>
      <c r="C14" s="29">
        <v>5</v>
      </c>
      <c r="D14" s="29">
        <v>7</v>
      </c>
      <c r="E14" s="29">
        <v>25</v>
      </c>
      <c r="F14" s="29">
        <v>58</v>
      </c>
    </row>
    <row r="15" spans="1:6" ht="12.75">
      <c r="A15" s="102"/>
      <c r="B15" s="8" t="s">
        <v>34</v>
      </c>
      <c r="C15" s="30">
        <f>C13*C2</f>
        <v>1859.504132231405</v>
      </c>
      <c r="D15" s="30">
        <f>D13*D2</f>
        <v>5739.21028466483</v>
      </c>
      <c r="E15" s="30">
        <f>E13*E2</f>
        <v>22497.704315886134</v>
      </c>
      <c r="F15" s="30">
        <f>F13*F2</f>
        <v>33746.5564738292</v>
      </c>
    </row>
    <row r="16" spans="1:6" ht="12.75">
      <c r="A16" s="102"/>
      <c r="B16" t="s">
        <v>36</v>
      </c>
      <c r="C16" s="30">
        <f>C15*Assumptions_1!C$6</f>
        <v>5429.752066115702</v>
      </c>
      <c r="D16" s="30">
        <f>D15*Assumptions_1!D$6</f>
        <v>16758.494031221304</v>
      </c>
      <c r="E16" s="30">
        <f>E15*Assumptions_1!E$6</f>
        <v>65693.2966023875</v>
      </c>
      <c r="F16" s="30">
        <f>F15*Assumptions_1!F$6</f>
        <v>98539.94490358127</v>
      </c>
    </row>
    <row r="17" spans="1:6" ht="12.75">
      <c r="A17" s="102"/>
      <c r="B17" t="s">
        <v>37</v>
      </c>
      <c r="C17" s="26">
        <f>C15*Assumptions_1!C$7</f>
        <v>2566.115702479339</v>
      </c>
      <c r="D17" s="26">
        <f>D15*Assumptions_1!D$7</f>
        <v>7920.110192837466</v>
      </c>
      <c r="E17" s="26">
        <f>E15*Assumptions_1!E$7</f>
        <v>31046.831955922862</v>
      </c>
      <c r="F17" s="26">
        <f>F15*Assumptions_1!F$7</f>
        <v>46570.2479338843</v>
      </c>
    </row>
    <row r="18" spans="1:6" ht="12.75">
      <c r="A18" s="102"/>
      <c r="B18" s="8" t="s">
        <v>38</v>
      </c>
      <c r="C18" s="26">
        <f>C16-C17</f>
        <v>2863.6363636363635</v>
      </c>
      <c r="D18" s="26">
        <f>D16-D17</f>
        <v>8838.383838383837</v>
      </c>
      <c r="E18" s="26">
        <f>E16-E17</f>
        <v>34646.46464646464</v>
      </c>
      <c r="F18" s="26">
        <f>F16-F17</f>
        <v>51969.696969696975</v>
      </c>
    </row>
    <row r="19" spans="1:6" ht="12.75">
      <c r="A19" s="102"/>
      <c r="B19" t="s">
        <v>35</v>
      </c>
      <c r="C19" s="26">
        <f>C14*C2</f>
        <v>1033.0578512396694</v>
      </c>
      <c r="D19" s="26">
        <f>D14*D2</f>
        <v>4017.4471992653807</v>
      </c>
      <c r="E19" s="26">
        <f>E14*E2</f>
        <v>28122.130394857668</v>
      </c>
      <c r="F19" s="26">
        <f>F14*F2</f>
        <v>65243.342516069795</v>
      </c>
    </row>
    <row r="20" spans="1:6" ht="12.75">
      <c r="A20" s="102"/>
      <c r="B20" t="s">
        <v>42</v>
      </c>
      <c r="C20" s="26">
        <f>MIN(C17*Assumptions_1!C9,C19*Assumptions_1!C10)</f>
        <v>340.90909090909093</v>
      </c>
      <c r="D20" s="26">
        <f>MIN(D17*Assumptions_1!D9,D19*Assumptions_1!D10)</f>
        <v>1325.7575757575758</v>
      </c>
      <c r="E20" s="26">
        <f>MIN(E17*Assumptions_1!E9,E19*Assumptions_1!E10)</f>
        <v>9280.30303030303</v>
      </c>
      <c r="F20" s="26">
        <f>MIN(F17*Assumptions_1!F9,F19*Assumptions_1!F10)</f>
        <v>15368.181818181818</v>
      </c>
    </row>
    <row r="21" spans="1:6" ht="12.75">
      <c r="A21" s="23"/>
      <c r="B21" s="8"/>
      <c r="C21" s="24"/>
      <c r="D21" s="24"/>
      <c r="E21" s="24"/>
      <c r="F21" s="24"/>
    </row>
    <row r="22" spans="1:6" ht="12.75">
      <c r="A22" s="23"/>
      <c r="B22" s="8" t="s">
        <v>49</v>
      </c>
      <c r="C22" s="17">
        <v>100</v>
      </c>
      <c r="D22" s="17">
        <v>34</v>
      </c>
      <c r="E22" s="17">
        <v>3</v>
      </c>
      <c r="F22" s="17">
        <v>0</v>
      </c>
    </row>
    <row r="23" spans="1:6" ht="12.75">
      <c r="A23" s="23"/>
      <c r="B23" s="8"/>
      <c r="C23" s="18"/>
      <c r="D23" s="18"/>
      <c r="E23" s="18"/>
      <c r="F23" s="18"/>
    </row>
    <row r="24" spans="3:9" ht="51">
      <c r="C24" s="16" t="s">
        <v>14</v>
      </c>
      <c r="D24" s="16" t="s">
        <v>15</v>
      </c>
      <c r="E24" s="16" t="s">
        <v>16</v>
      </c>
      <c r="F24" s="16" t="s">
        <v>17</v>
      </c>
      <c r="G24" s="16" t="s">
        <v>51</v>
      </c>
      <c r="H24" s="16" t="s">
        <v>21</v>
      </c>
      <c r="I24" s="16" t="s">
        <v>52</v>
      </c>
    </row>
    <row r="25" spans="1:9" ht="12.75">
      <c r="A25" s="102" t="s">
        <v>50</v>
      </c>
      <c r="B25" s="8" t="s">
        <v>34</v>
      </c>
      <c r="C25" s="32">
        <f>C15*C$22</f>
        <v>185950.4132231405</v>
      </c>
      <c r="D25" s="32">
        <f>D15*D$22</f>
        <v>195133.14967860424</v>
      </c>
      <c r="E25" s="32">
        <f>E15*E$22</f>
        <v>67493.1129476584</v>
      </c>
      <c r="F25" s="32">
        <f>F15*F$22</f>
        <v>0</v>
      </c>
      <c r="G25" s="32">
        <f aca="true" t="shared" si="0" ref="G25:G30">SUM(C25:F25)</f>
        <v>448576.67584940314</v>
      </c>
      <c r="H25" s="83">
        <f>I25-G25</f>
        <v>1000698.6864694374</v>
      </c>
      <c r="I25" s="26">
        <f>I27/Assumptions_1!H7</f>
        <v>1449275.3623188406</v>
      </c>
    </row>
    <row r="26" spans="1:9" ht="12.75">
      <c r="A26" s="102"/>
      <c r="B26" t="s">
        <v>36</v>
      </c>
      <c r="C26" s="32">
        <f aca="true" t="shared" si="1" ref="C26:F30">C16*C$22</f>
        <v>542975.2066115702</v>
      </c>
      <c r="D26" s="32">
        <f t="shared" si="1"/>
        <v>569788.7970615244</v>
      </c>
      <c r="E26" s="32">
        <f t="shared" si="1"/>
        <v>197079.88980716252</v>
      </c>
      <c r="F26" s="32">
        <f t="shared" si="1"/>
        <v>0</v>
      </c>
      <c r="G26" s="32">
        <f t="shared" si="0"/>
        <v>1309843.8934802571</v>
      </c>
      <c r="H26" s="84">
        <f>I26-G26</f>
        <v>2910156.106519743</v>
      </c>
      <c r="I26" s="30">
        <f>I27*Assumptions_1!C8+I27</f>
        <v>4220000</v>
      </c>
    </row>
    <row r="27" spans="1:9" ht="12.75">
      <c r="A27" s="102"/>
      <c r="B27" t="s">
        <v>37</v>
      </c>
      <c r="C27" s="32">
        <f t="shared" si="1"/>
        <v>256611.57024793388</v>
      </c>
      <c r="D27" s="32">
        <f t="shared" si="1"/>
        <v>269283.74655647384</v>
      </c>
      <c r="E27" s="32">
        <f t="shared" si="1"/>
        <v>93140.4958677686</v>
      </c>
      <c r="F27" s="32">
        <f t="shared" si="1"/>
        <v>0</v>
      </c>
      <c r="G27" s="32">
        <f t="shared" si="0"/>
        <v>619035.8126721764</v>
      </c>
      <c r="H27" s="11">
        <f>I27-G27</f>
        <v>1380964.1873278236</v>
      </c>
      <c r="I27" s="33">
        <v>2000000</v>
      </c>
    </row>
    <row r="28" spans="1:9" ht="12.75">
      <c r="A28" s="102"/>
      <c r="B28" s="8" t="s">
        <v>38</v>
      </c>
      <c r="C28" s="32">
        <f t="shared" si="1"/>
        <v>286363.63636363635</v>
      </c>
      <c r="D28" s="32">
        <f t="shared" si="1"/>
        <v>300505.05050505046</v>
      </c>
      <c r="E28" s="32">
        <f t="shared" si="1"/>
        <v>103939.39393939392</v>
      </c>
      <c r="F28" s="32">
        <f t="shared" si="1"/>
        <v>0</v>
      </c>
      <c r="G28" s="32">
        <f t="shared" si="0"/>
        <v>690808.0808080807</v>
      </c>
      <c r="H28" s="11">
        <f>I28-G28</f>
        <v>1529191.9191919193</v>
      </c>
      <c r="I28" s="34">
        <f>I26-I27</f>
        <v>2220000</v>
      </c>
    </row>
    <row r="29" spans="1:9" ht="12.75">
      <c r="A29" s="102"/>
      <c r="B29" t="s">
        <v>35</v>
      </c>
      <c r="C29" s="32">
        <f t="shared" si="1"/>
        <v>103305.78512396694</v>
      </c>
      <c r="D29" s="32">
        <f t="shared" si="1"/>
        <v>136593.20477502295</v>
      </c>
      <c r="E29" s="32">
        <f t="shared" si="1"/>
        <v>84366.391184573</v>
      </c>
      <c r="F29" s="32">
        <f t="shared" si="1"/>
        <v>0</v>
      </c>
      <c r="G29" s="32">
        <f t="shared" si="0"/>
        <v>324265.3810835629</v>
      </c>
      <c r="H29" s="11">
        <f>I29-G29</f>
        <v>1675734.618916437</v>
      </c>
      <c r="I29" s="34">
        <f>I27</f>
        <v>2000000</v>
      </c>
    </row>
    <row r="30" spans="1:9" ht="12.75">
      <c r="A30" s="102"/>
      <c r="B30" t="s">
        <v>42</v>
      </c>
      <c r="C30" s="32">
        <f t="shared" si="1"/>
        <v>34090.909090909096</v>
      </c>
      <c r="D30" s="32">
        <f t="shared" si="1"/>
        <v>45075.757575757576</v>
      </c>
      <c r="E30" s="32">
        <f t="shared" si="1"/>
        <v>27840.90909090909</v>
      </c>
      <c r="F30" s="32">
        <f t="shared" si="1"/>
        <v>0</v>
      </c>
      <c r="G30" s="32">
        <f t="shared" si="0"/>
        <v>107007.57575757576</v>
      </c>
      <c r="H30" s="11">
        <f>Assumptions_2!G38</f>
        <v>1196000.2869605143</v>
      </c>
      <c r="I30" s="34">
        <f>I29</f>
        <v>2000000</v>
      </c>
    </row>
    <row r="32" ht="12.75" customHeight="1">
      <c r="H32" s="103" t="s">
        <v>177</v>
      </c>
    </row>
    <row r="33" ht="12.75">
      <c r="H33" s="103"/>
    </row>
    <row r="34" ht="12.75">
      <c r="H34" s="103"/>
    </row>
    <row r="35" ht="12.75">
      <c r="H35" s="103"/>
    </row>
    <row r="36" ht="12.75">
      <c r="H36" s="103"/>
    </row>
    <row r="37" ht="12.75">
      <c r="H37" s="103"/>
    </row>
    <row r="38" ht="12.75">
      <c r="H38" s="103"/>
    </row>
    <row r="39" ht="12.75">
      <c r="H39" s="103"/>
    </row>
    <row r="40" ht="12.75">
      <c r="H40" s="103"/>
    </row>
    <row r="41" ht="12.75">
      <c r="H41" s="103"/>
    </row>
    <row r="42" ht="12.75">
      <c r="H42" s="103"/>
    </row>
    <row r="43" ht="12.75">
      <c r="H43" s="82"/>
    </row>
    <row r="44" ht="12.75">
      <c r="H44" s="82"/>
    </row>
    <row r="45" ht="12.75">
      <c r="H45" s="82"/>
    </row>
    <row r="46" ht="12.75">
      <c r="H46" s="82"/>
    </row>
    <row r="47" ht="12.75">
      <c r="H47" s="82"/>
    </row>
  </sheetData>
  <sheetProtection/>
  <mergeCells count="4">
    <mergeCell ref="A2:A7"/>
    <mergeCell ref="A11:A20"/>
    <mergeCell ref="A25:A30"/>
    <mergeCell ref="H32:H4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0">
      <selection activeCell="H10" sqref="H10"/>
    </sheetView>
  </sheetViews>
  <sheetFormatPr defaultColWidth="9.140625" defaultRowHeight="12.75"/>
  <cols>
    <col min="2" max="2" width="42.8515625" style="0" customWidth="1"/>
    <col min="8" max="8" width="9.28125" style="0" bestFit="1" customWidth="1"/>
  </cols>
  <sheetData>
    <row r="1" spans="1:3" ht="12.75">
      <c r="A1" t="s">
        <v>2</v>
      </c>
      <c r="B1" t="s">
        <v>144</v>
      </c>
      <c r="C1" s="20">
        <v>3</v>
      </c>
    </row>
    <row r="2" spans="1:3" ht="12.75">
      <c r="A2" t="s">
        <v>58</v>
      </c>
      <c r="B2" t="s">
        <v>25</v>
      </c>
      <c r="C2" s="9">
        <f>C1*5260/60</f>
        <v>263</v>
      </c>
    </row>
    <row r="3" spans="1:3" ht="12.75">
      <c r="A3" t="s">
        <v>59</v>
      </c>
      <c r="B3" t="s">
        <v>26</v>
      </c>
      <c r="C3" s="15">
        <f>60*1000/(5260*C1)</f>
        <v>3.802281368821293</v>
      </c>
    </row>
    <row r="5" spans="3:8" ht="51">
      <c r="C5" s="16" t="s">
        <v>63</v>
      </c>
      <c r="D5" s="16" t="s">
        <v>64</v>
      </c>
      <c r="E5" s="16" t="s">
        <v>65</v>
      </c>
      <c r="F5" s="16" t="s">
        <v>66</v>
      </c>
      <c r="G5" s="16" t="s">
        <v>67</v>
      </c>
      <c r="H5" s="16" t="s">
        <v>68</v>
      </c>
    </row>
    <row r="6" spans="1:8" ht="12.75">
      <c r="A6" t="s">
        <v>60</v>
      </c>
      <c r="B6" t="s">
        <v>39</v>
      </c>
      <c r="C6" s="86">
        <v>2.92</v>
      </c>
      <c r="D6" s="86">
        <v>2.92</v>
      </c>
      <c r="E6" s="86">
        <v>2.92</v>
      </c>
      <c r="F6" s="86">
        <v>2.92</v>
      </c>
      <c r="G6" s="86">
        <v>2.92</v>
      </c>
      <c r="H6" s="86">
        <v>2.92</v>
      </c>
    </row>
    <row r="7" spans="1:8" ht="12.75">
      <c r="A7" t="s">
        <v>61</v>
      </c>
      <c r="B7" t="s">
        <v>41</v>
      </c>
      <c r="C7" s="86">
        <v>1.38</v>
      </c>
      <c r="D7" s="86">
        <v>1.38</v>
      </c>
      <c r="E7" s="86">
        <v>1.38</v>
      </c>
      <c r="F7" s="86">
        <v>1.38</v>
      </c>
      <c r="G7" s="86">
        <v>1.38</v>
      </c>
      <c r="H7" s="86">
        <v>1.38</v>
      </c>
    </row>
    <row r="8" spans="1:8" ht="12.75">
      <c r="A8" t="s">
        <v>62</v>
      </c>
      <c r="B8" t="s">
        <v>53</v>
      </c>
      <c r="C8" s="86">
        <v>1.11</v>
      </c>
      <c r="D8" s="86">
        <v>1.11</v>
      </c>
      <c r="E8" s="86">
        <v>1.11</v>
      </c>
      <c r="F8" s="86">
        <v>1.11</v>
      </c>
      <c r="G8" s="86">
        <v>1.11</v>
      </c>
      <c r="H8" s="86">
        <v>1.11</v>
      </c>
    </row>
    <row r="9" spans="1:8" ht="12.75">
      <c r="A9" t="s">
        <v>69</v>
      </c>
      <c r="B9" t="s">
        <v>43</v>
      </c>
      <c r="C9" s="35">
        <v>0.33</v>
      </c>
      <c r="D9" s="35">
        <v>0.33</v>
      </c>
      <c r="E9" s="35">
        <v>0.33</v>
      </c>
      <c r="F9" s="35">
        <v>0.33</v>
      </c>
      <c r="G9" s="35"/>
      <c r="H9" s="35"/>
    </row>
    <row r="10" spans="1:8" ht="12.75">
      <c r="A10" t="s">
        <v>70</v>
      </c>
      <c r="B10" t="s">
        <v>57</v>
      </c>
      <c r="C10" s="35">
        <v>0.33</v>
      </c>
      <c r="D10" s="35">
        <v>0.33</v>
      </c>
      <c r="E10" s="35">
        <v>0.33</v>
      </c>
      <c r="F10" s="35">
        <v>0.33</v>
      </c>
      <c r="G10" s="35"/>
      <c r="H10" s="35"/>
    </row>
    <row r="12" spans="1:8" ht="12.75">
      <c r="A12" t="s">
        <v>79</v>
      </c>
      <c r="B12" s="8" t="s">
        <v>84</v>
      </c>
      <c r="C12" s="38">
        <v>0.16</v>
      </c>
      <c r="D12" s="38">
        <v>0.16</v>
      </c>
      <c r="E12" s="38">
        <v>0.16</v>
      </c>
      <c r="F12" s="38">
        <v>0.16</v>
      </c>
      <c r="G12" s="38">
        <v>0.16</v>
      </c>
      <c r="H12" s="38">
        <v>0.16</v>
      </c>
    </row>
    <row r="13" spans="1:8" ht="25.5">
      <c r="A13" t="s">
        <v>80</v>
      </c>
      <c r="B13" s="8" t="s">
        <v>85</v>
      </c>
      <c r="C13" s="39">
        <v>8</v>
      </c>
      <c r="D13" s="39">
        <v>8</v>
      </c>
      <c r="E13" s="39">
        <v>8</v>
      </c>
      <c r="F13" s="39">
        <v>8</v>
      </c>
      <c r="G13" s="39">
        <v>8</v>
      </c>
      <c r="H13" s="39">
        <v>8</v>
      </c>
    </row>
    <row r="14" spans="1:8" ht="12.75">
      <c r="A14" t="s">
        <v>81</v>
      </c>
      <c r="B14" t="s">
        <v>8</v>
      </c>
      <c r="C14" s="36">
        <f aca="true" t="shared" si="0" ref="C14:H14">52*C13/365</f>
        <v>1.1397260273972603</v>
      </c>
      <c r="D14" s="36">
        <f t="shared" si="0"/>
        <v>1.1397260273972603</v>
      </c>
      <c r="E14" s="36">
        <f t="shared" si="0"/>
        <v>1.1397260273972603</v>
      </c>
      <c r="F14" s="36">
        <f t="shared" si="0"/>
        <v>1.1397260273972603</v>
      </c>
      <c r="G14" s="36">
        <f t="shared" si="0"/>
        <v>1.1397260273972603</v>
      </c>
      <c r="H14" s="36">
        <f t="shared" si="0"/>
        <v>1.1397260273972603</v>
      </c>
    </row>
    <row r="15" spans="1:8" ht="25.5">
      <c r="A15" t="s">
        <v>82</v>
      </c>
      <c r="B15" s="8" t="s">
        <v>89</v>
      </c>
      <c r="C15" s="37">
        <f aca="true" t="shared" si="1" ref="C15:H15">C16-C14</f>
        <v>5.983561643835617</v>
      </c>
      <c r="D15" s="37">
        <f t="shared" si="1"/>
        <v>5.983561643835617</v>
      </c>
      <c r="E15" s="37">
        <f t="shared" si="1"/>
        <v>5.983561643835617</v>
      </c>
      <c r="F15" s="37">
        <f t="shared" si="1"/>
        <v>5.983561643835617</v>
      </c>
      <c r="G15" s="37">
        <f t="shared" si="1"/>
        <v>5.983561643835617</v>
      </c>
      <c r="H15" s="37">
        <f t="shared" si="1"/>
        <v>5.983561643835617</v>
      </c>
    </row>
    <row r="16" spans="1:8" ht="12.75">
      <c r="A16" t="s">
        <v>83</v>
      </c>
      <c r="B16" t="s">
        <v>7</v>
      </c>
      <c r="C16" s="36">
        <f aca="true" t="shared" si="2" ref="C16:H16">C14/C12</f>
        <v>7.123287671232877</v>
      </c>
      <c r="D16" s="36">
        <f t="shared" si="2"/>
        <v>7.123287671232877</v>
      </c>
      <c r="E16" s="36">
        <f t="shared" si="2"/>
        <v>7.123287671232877</v>
      </c>
      <c r="F16" s="36">
        <f t="shared" si="2"/>
        <v>7.123287671232877</v>
      </c>
      <c r="G16" s="36">
        <f t="shared" si="2"/>
        <v>7.123287671232877</v>
      </c>
      <c r="H16" s="36">
        <f t="shared" si="2"/>
        <v>7.123287671232877</v>
      </c>
    </row>
    <row r="17" spans="1:8" ht="38.25">
      <c r="A17" t="s">
        <v>1</v>
      </c>
      <c r="B17" s="21" t="s">
        <v>93</v>
      </c>
      <c r="C17" s="48">
        <v>2</v>
      </c>
      <c r="D17" s="48">
        <v>2</v>
      </c>
      <c r="E17" s="48">
        <v>2</v>
      </c>
      <c r="F17" s="48">
        <v>2</v>
      </c>
      <c r="G17" s="48">
        <v>2</v>
      </c>
      <c r="H17" s="48">
        <v>2</v>
      </c>
    </row>
    <row r="18" spans="1:8" ht="12.75">
      <c r="A18" t="s">
        <v>90</v>
      </c>
      <c r="B18" t="s">
        <v>91</v>
      </c>
      <c r="C18" s="37">
        <f>C15*Assumptions_1!C17</f>
        <v>11.967123287671233</v>
      </c>
      <c r="D18" s="37">
        <f>D15*Assumptions_1!D17</f>
        <v>11.967123287671233</v>
      </c>
      <c r="E18" s="37">
        <f>E15*Assumptions_1!E17</f>
        <v>11.967123287671233</v>
      </c>
      <c r="F18" s="37">
        <f>F15*Assumptions_1!F17</f>
        <v>11.967123287671233</v>
      </c>
      <c r="G18" s="22">
        <f>Assumptions_2!G17/Assumptions_2!G16</f>
        <v>4.8257041437441295</v>
      </c>
      <c r="H18" s="37">
        <f>Assumptions_2!H17/Assumptions_2!H16</f>
        <v>5.983561643835617</v>
      </c>
    </row>
    <row r="19" spans="1:6" ht="25.5">
      <c r="A19" t="s">
        <v>5</v>
      </c>
      <c r="B19" s="8" t="s">
        <v>94</v>
      </c>
      <c r="C19" s="38">
        <v>0.3</v>
      </c>
      <c r="D19" s="38">
        <v>0.3</v>
      </c>
      <c r="E19" s="38">
        <v>0.3</v>
      </c>
      <c r="F19" s="38">
        <v>0.3</v>
      </c>
    </row>
    <row r="21" spans="1:8" ht="25.5">
      <c r="A21" t="s">
        <v>111</v>
      </c>
      <c r="B21" s="8" t="s">
        <v>115</v>
      </c>
      <c r="C21" s="53"/>
      <c r="D21" s="53"/>
      <c r="E21" s="53"/>
      <c r="F21" s="53"/>
      <c r="G21" s="53"/>
      <c r="H21" s="49">
        <v>0.9225</v>
      </c>
    </row>
    <row r="22" spans="1:8" ht="12.75">
      <c r="A22" t="s">
        <v>112</v>
      </c>
      <c r="B22" s="8" t="s">
        <v>116</v>
      </c>
      <c r="C22" s="53"/>
      <c r="D22" s="53"/>
      <c r="E22" s="53"/>
      <c r="F22" s="53"/>
      <c r="G22" s="53"/>
      <c r="H22" s="49">
        <v>0.0331</v>
      </c>
    </row>
    <row r="23" spans="1:8" ht="12.75">
      <c r="A23" t="s">
        <v>113</v>
      </c>
      <c r="B23" s="8" t="s">
        <v>117</v>
      </c>
      <c r="C23" s="53"/>
      <c r="D23" s="53"/>
      <c r="E23" s="53"/>
      <c r="F23" s="53"/>
      <c r="G23" s="53"/>
      <c r="H23" s="49">
        <v>0.0194</v>
      </c>
    </row>
    <row r="24" spans="1:8" ht="12.75">
      <c r="A24" t="s">
        <v>114</v>
      </c>
      <c r="B24" s="8" t="s">
        <v>118</v>
      </c>
      <c r="C24" s="53"/>
      <c r="D24" s="53"/>
      <c r="E24" s="53"/>
      <c r="F24" s="53"/>
      <c r="G24" s="53"/>
      <c r="H24" s="49">
        <v>0.025</v>
      </c>
    </row>
    <row r="25" spans="2:9" ht="12.75">
      <c r="B25" s="8"/>
      <c r="C25" s="53"/>
      <c r="D25" s="53"/>
      <c r="E25" s="53"/>
      <c r="F25" s="53"/>
      <c r="G25" s="53"/>
      <c r="H25" s="68">
        <f>SUM(H21:H24)</f>
        <v>1</v>
      </c>
      <c r="I25" t="s">
        <v>155</v>
      </c>
    </row>
    <row r="26" spans="1:8" ht="38.25">
      <c r="A26" t="s">
        <v>119</v>
      </c>
      <c r="B26" s="8" t="s">
        <v>134</v>
      </c>
      <c r="C26" s="60">
        <v>0</v>
      </c>
      <c r="D26" s="60">
        <v>0</v>
      </c>
      <c r="E26" s="60">
        <v>0</v>
      </c>
      <c r="F26" s="60">
        <v>0</v>
      </c>
      <c r="G26" s="53"/>
      <c r="H26" s="53"/>
    </row>
    <row r="27" spans="1:8" ht="38.25">
      <c r="A27" t="s">
        <v>120</v>
      </c>
      <c r="B27" s="8" t="s">
        <v>135</v>
      </c>
      <c r="C27" s="60">
        <v>0</v>
      </c>
      <c r="D27" s="60">
        <v>0</v>
      </c>
      <c r="E27" s="60">
        <v>0</v>
      </c>
      <c r="F27" s="60">
        <v>0</v>
      </c>
      <c r="G27" s="53"/>
      <c r="H27" s="53"/>
    </row>
    <row r="28" spans="1:8" ht="38.25">
      <c r="A28" t="s">
        <v>121</v>
      </c>
      <c r="B28" s="8" t="s">
        <v>136</v>
      </c>
      <c r="C28" s="60">
        <v>1</v>
      </c>
      <c r="D28" s="60">
        <v>1</v>
      </c>
      <c r="E28" s="60">
        <v>1</v>
      </c>
      <c r="F28" s="60">
        <v>1</v>
      </c>
      <c r="G28" s="53"/>
      <c r="H28" s="53"/>
    </row>
    <row r="29" spans="7:8" ht="12.75">
      <c r="G29" s="53"/>
      <c r="H29" s="53"/>
    </row>
    <row r="30" spans="1:8" ht="38.25">
      <c r="A30" t="s">
        <v>109</v>
      </c>
      <c r="B30" s="8" t="s">
        <v>127</v>
      </c>
      <c r="C30" s="52">
        <v>3</v>
      </c>
      <c r="D30" s="52">
        <v>3</v>
      </c>
      <c r="E30" s="52">
        <v>3</v>
      </c>
      <c r="F30" s="52">
        <v>3</v>
      </c>
      <c r="G30" s="52">
        <v>3</v>
      </c>
      <c r="H30" s="54"/>
    </row>
    <row r="31" spans="2:8" ht="12.75">
      <c r="B31" s="8"/>
      <c r="C31" s="54"/>
      <c r="D31" s="54"/>
      <c r="E31" s="54"/>
      <c r="F31" s="54"/>
      <c r="G31" s="54"/>
      <c r="H31" s="54"/>
    </row>
    <row r="32" spans="1:8" ht="25.5">
      <c r="A32" t="s">
        <v>124</v>
      </c>
      <c r="B32" s="8" t="s">
        <v>164</v>
      </c>
      <c r="C32" s="53"/>
      <c r="D32" s="53"/>
      <c r="E32" s="53"/>
      <c r="F32" s="53"/>
      <c r="G32" s="53"/>
      <c r="H32" s="49">
        <v>0.94</v>
      </c>
    </row>
    <row r="33" spans="1:8" ht="12.75">
      <c r="A33" t="s">
        <v>125</v>
      </c>
      <c r="B33" s="8" t="s">
        <v>128</v>
      </c>
      <c r="C33" s="53"/>
      <c r="D33" s="53"/>
      <c r="E33" s="53"/>
      <c r="F33" s="53"/>
      <c r="G33" s="53"/>
      <c r="H33" s="49">
        <v>0.03</v>
      </c>
    </row>
    <row r="34" spans="1:8" ht="25.5">
      <c r="A34" t="s">
        <v>126</v>
      </c>
      <c r="B34" s="8" t="s">
        <v>129</v>
      </c>
      <c r="C34" s="53"/>
      <c r="D34" s="53"/>
      <c r="E34" s="53"/>
      <c r="F34" s="53"/>
      <c r="G34" s="53"/>
      <c r="H34" s="49">
        <v>0.03</v>
      </c>
    </row>
    <row r="35" spans="2:9" ht="12.75">
      <c r="B35" s="8"/>
      <c r="C35" s="54"/>
      <c r="D35" s="54"/>
      <c r="E35" s="54"/>
      <c r="F35" s="54"/>
      <c r="G35" s="54"/>
      <c r="H35" s="68">
        <f>SUM(H32:H34)</f>
        <v>1</v>
      </c>
      <c r="I35" t="s">
        <v>155</v>
      </c>
    </row>
    <row r="36" spans="2:8" ht="12.75">
      <c r="B36" s="8"/>
      <c r="C36" s="54"/>
      <c r="D36" s="54"/>
      <c r="E36" s="54"/>
      <c r="F36" s="54"/>
      <c r="G36" s="54"/>
      <c r="H36" s="54"/>
    </row>
    <row r="37" spans="1:8" ht="38.25">
      <c r="A37" t="s">
        <v>131</v>
      </c>
      <c r="B37" s="8" t="s">
        <v>137</v>
      </c>
      <c r="C37" s="60">
        <v>0</v>
      </c>
      <c r="D37" s="60">
        <v>0</v>
      </c>
      <c r="E37" s="60">
        <v>0</v>
      </c>
      <c r="F37" s="60">
        <v>0</v>
      </c>
      <c r="G37" s="54"/>
      <c r="H37" s="54"/>
    </row>
    <row r="38" spans="1:8" ht="38.25">
      <c r="A38" t="s">
        <v>132</v>
      </c>
      <c r="B38" s="8" t="s">
        <v>138</v>
      </c>
      <c r="C38" s="60">
        <v>0</v>
      </c>
      <c r="D38" s="60">
        <v>0</v>
      </c>
      <c r="E38" s="60">
        <v>0</v>
      </c>
      <c r="F38" s="60">
        <v>0</v>
      </c>
      <c r="G38" s="54"/>
      <c r="H38" s="54"/>
    </row>
    <row r="39" spans="1:8" ht="38.25">
      <c r="A39" t="s">
        <v>133</v>
      </c>
      <c r="B39" s="8" t="s">
        <v>139</v>
      </c>
      <c r="C39" s="60">
        <v>1</v>
      </c>
      <c r="D39" s="60">
        <v>1</v>
      </c>
      <c r="E39" s="60">
        <v>1</v>
      </c>
      <c r="F39" s="60">
        <v>1</v>
      </c>
      <c r="G39" s="54"/>
      <c r="H39" s="54"/>
    </row>
    <row r="40" spans="2:8" ht="12.75">
      <c r="B40" s="8"/>
      <c r="C40" s="54"/>
      <c r="D40" s="54"/>
      <c r="E40" s="54"/>
      <c r="F40" s="54"/>
      <c r="G40" s="54"/>
      <c r="H40" s="54"/>
    </row>
    <row r="41" spans="1:8" ht="38.25">
      <c r="A41" t="s">
        <v>140</v>
      </c>
      <c r="B41" s="8" t="s">
        <v>163</v>
      </c>
      <c r="C41" s="52">
        <v>3</v>
      </c>
      <c r="D41" s="52">
        <v>3</v>
      </c>
      <c r="E41" s="52">
        <v>3</v>
      </c>
      <c r="F41" s="52">
        <v>3</v>
      </c>
      <c r="G41" s="52">
        <v>2</v>
      </c>
      <c r="H41" s="54"/>
    </row>
    <row r="42" spans="2:8" ht="12.75">
      <c r="B42" s="8"/>
      <c r="C42" s="54"/>
      <c r="D42" s="54"/>
      <c r="E42" s="54"/>
      <c r="F42" s="54"/>
      <c r="G42" s="54"/>
      <c r="H42" s="54"/>
    </row>
    <row r="43" spans="1:8" ht="38.25">
      <c r="A43" t="s">
        <v>12</v>
      </c>
      <c r="B43" s="8" t="s">
        <v>168</v>
      </c>
      <c r="C43" s="49">
        <v>0.8442</v>
      </c>
      <c r="D43" s="49">
        <v>0.8442</v>
      </c>
      <c r="E43" s="49">
        <v>0.8442</v>
      </c>
      <c r="F43" s="49">
        <v>0.8442</v>
      </c>
      <c r="G43" s="49">
        <v>0.8442</v>
      </c>
      <c r="H43" s="49">
        <v>0.8442</v>
      </c>
    </row>
    <row r="44" spans="1:8" ht="12.75">
      <c r="A44" t="s">
        <v>0</v>
      </c>
      <c r="B44" s="8" t="s">
        <v>169</v>
      </c>
      <c r="C44" s="80">
        <v>2.26</v>
      </c>
      <c r="D44" s="80">
        <v>2.26</v>
      </c>
      <c r="E44" s="80">
        <v>2.26</v>
      </c>
      <c r="F44" s="80">
        <v>2.26</v>
      </c>
      <c r="G44" s="80">
        <v>2.26</v>
      </c>
      <c r="H44" s="80">
        <v>2.26</v>
      </c>
    </row>
    <row r="45" spans="2:8" ht="12.75">
      <c r="B45" s="8"/>
      <c r="C45" s="54"/>
      <c r="D45" s="54"/>
      <c r="E45" s="54"/>
      <c r="F45" s="54"/>
      <c r="G45" s="54"/>
      <c r="H45" s="54"/>
    </row>
    <row r="47" ht="12.75">
      <c r="B47" t="s">
        <v>40</v>
      </c>
    </row>
    <row r="48" ht="12.75">
      <c r="B48" t="s">
        <v>44</v>
      </c>
    </row>
    <row r="49" ht="12.75">
      <c r="B49" t="s">
        <v>176</v>
      </c>
    </row>
    <row r="50" ht="12.75">
      <c r="B50" t="s">
        <v>108</v>
      </c>
    </row>
    <row r="51" ht="12.75">
      <c r="B51" t="s">
        <v>130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20">
      <selection activeCell="A60" sqref="A60:A63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28125" style="0" bestFit="1" customWidth="1"/>
    <col min="4" max="4" width="10.7109375" style="0" customWidth="1"/>
    <col min="5" max="5" width="10.8515625" style="0" customWidth="1"/>
    <col min="6" max="7" width="10.28125" style="0" bestFit="1" customWidth="1"/>
    <col min="8" max="8" width="12.8515625" style="0" bestFit="1" customWidth="1"/>
    <col min="9" max="9" width="11.28125" style="0" bestFit="1" customWidth="1"/>
    <col min="10" max="10" width="10.00390625" style="0" customWidth="1"/>
    <col min="11" max="11" width="9.28125" style="0" customWidth="1"/>
    <col min="12" max="12" width="9.00390625" style="0" customWidth="1"/>
    <col min="14" max="14" width="10.28125" style="0" bestFit="1" customWidth="1"/>
  </cols>
  <sheetData>
    <row r="1" ht="12.75">
      <c r="A1" s="3" t="s">
        <v>96</v>
      </c>
    </row>
    <row r="2" spans="2:8" ht="12.75"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98</v>
      </c>
      <c r="H2" s="2" t="s">
        <v>88</v>
      </c>
    </row>
    <row r="3" spans="1:8" ht="12.75">
      <c r="A3" t="s">
        <v>20</v>
      </c>
      <c r="B3" s="87">
        <v>0</v>
      </c>
      <c r="C3" s="87">
        <v>0</v>
      </c>
      <c r="D3" s="87">
        <v>0</v>
      </c>
      <c r="E3" s="87">
        <v>0</v>
      </c>
      <c r="F3" s="87">
        <v>0</v>
      </c>
      <c r="G3" s="88">
        <f>'Input 1'!I26</f>
        <v>4220000</v>
      </c>
      <c r="H3" s="88">
        <f aca="true" t="shared" si="0" ref="H3:H8">G3</f>
        <v>4220000</v>
      </c>
    </row>
    <row r="4" spans="1:8" ht="12.75">
      <c r="A4" t="s">
        <v>37</v>
      </c>
      <c r="B4" s="87">
        <v>0</v>
      </c>
      <c r="C4" s="87">
        <v>0</v>
      </c>
      <c r="D4" s="87">
        <v>0</v>
      </c>
      <c r="E4" s="87">
        <v>0</v>
      </c>
      <c r="F4" s="87">
        <v>0</v>
      </c>
      <c r="G4" s="88">
        <f>'Input 1'!I27</f>
        <v>2000000</v>
      </c>
      <c r="H4" s="88">
        <f t="shared" si="0"/>
        <v>2000000</v>
      </c>
    </row>
    <row r="5" spans="1:8" ht="12.75">
      <c r="A5" t="s">
        <v>9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  <c r="G5" s="88">
        <f>G4*Assumptions_1!H14</f>
        <v>2279452.0547945206</v>
      </c>
      <c r="H5" s="88">
        <f t="shared" si="0"/>
        <v>2279452.0547945206</v>
      </c>
    </row>
    <row r="6" spans="1:8" ht="38.25">
      <c r="A6" s="8" t="s">
        <v>149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  <c r="G6" s="88">
        <f>G4*Assumptions_1!H15</f>
        <v>11967123.287671233</v>
      </c>
      <c r="H6" s="88">
        <f t="shared" si="0"/>
        <v>11967123.287671233</v>
      </c>
    </row>
    <row r="7" spans="1:8" ht="12.75">
      <c r="A7" s="8" t="s">
        <v>4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8">
        <f>'Input 1'!I27</f>
        <v>2000000</v>
      </c>
      <c r="H7" s="88">
        <f t="shared" si="0"/>
        <v>2000000</v>
      </c>
    </row>
    <row r="8" spans="1:8" ht="25.5">
      <c r="A8" s="8" t="s">
        <v>92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8">
        <f>G6</f>
        <v>11967123.287671233</v>
      </c>
      <c r="H8" s="88">
        <f t="shared" si="0"/>
        <v>11967123.287671233</v>
      </c>
    </row>
    <row r="9" ht="12.75">
      <c r="G9" s="14"/>
    </row>
    <row r="10" spans="1:7" ht="12.75">
      <c r="A10" s="3" t="s">
        <v>97</v>
      </c>
      <c r="G10" s="14"/>
    </row>
    <row r="11" spans="2:8" ht="12.75">
      <c r="B11" s="2" t="s">
        <v>71</v>
      </c>
      <c r="C11" s="2" t="s">
        <v>72</v>
      </c>
      <c r="D11" s="2" t="s">
        <v>73</v>
      </c>
      <c r="E11" s="2" t="s">
        <v>74</v>
      </c>
      <c r="F11" s="2" t="s">
        <v>75</v>
      </c>
      <c r="G11" s="2" t="s">
        <v>98</v>
      </c>
      <c r="H11" s="2" t="s">
        <v>88</v>
      </c>
    </row>
    <row r="12" spans="1:8" ht="12.75">
      <c r="A12" t="s">
        <v>20</v>
      </c>
      <c r="B12" s="28">
        <f>'Input 1'!C26</f>
        <v>542975.2066115702</v>
      </c>
      <c r="C12" s="28">
        <f>'Input 1'!D26</f>
        <v>569788.7970615244</v>
      </c>
      <c r="D12" s="28">
        <f>'Input 1'!E26</f>
        <v>197079.88980716252</v>
      </c>
      <c r="E12" s="28">
        <f>'Input 1'!F26</f>
        <v>0</v>
      </c>
      <c r="F12" s="89">
        <f>SUM(B12:E12)</f>
        <v>1309843.8934802571</v>
      </c>
      <c r="G12" s="28">
        <f>'Input 1'!H26</f>
        <v>2910156.106519743</v>
      </c>
      <c r="H12" s="89">
        <f>F12+G12</f>
        <v>4220000</v>
      </c>
    </row>
    <row r="13" spans="1:8" ht="12.75">
      <c r="A13" t="s">
        <v>37</v>
      </c>
      <c r="B13" s="28">
        <f>'Input 1'!C27</f>
        <v>256611.57024793388</v>
      </c>
      <c r="C13" s="28">
        <f>'Input 1'!D27</f>
        <v>269283.74655647384</v>
      </c>
      <c r="D13" s="28">
        <f>'Input 1'!E27</f>
        <v>93140.4958677686</v>
      </c>
      <c r="E13" s="28">
        <f>'Input 1'!F27</f>
        <v>0</v>
      </c>
      <c r="F13" s="89">
        <f>SUM(B13:E13)</f>
        <v>619035.8126721764</v>
      </c>
      <c r="G13" s="28">
        <f>'Input 1'!H27</f>
        <v>1380964.1873278236</v>
      </c>
      <c r="H13" s="89">
        <f>F13+G13</f>
        <v>2000000</v>
      </c>
    </row>
    <row r="14" spans="1:8" ht="12.75">
      <c r="A14" t="s">
        <v>9</v>
      </c>
      <c r="B14" s="89">
        <f>B13*Assumptions_1!C$14</f>
        <v>292466.88554285065</v>
      </c>
      <c r="C14" s="89">
        <f>C13*Assumptions_1!D$14</f>
        <v>306909.69470546057</v>
      </c>
      <c r="D14" s="89">
        <f>D13*Assumptions_1!E$14</f>
        <v>106154.64734518284</v>
      </c>
      <c r="E14" s="89">
        <f>E13*Assumptions_1!F$14</f>
        <v>0</v>
      </c>
      <c r="F14" s="89">
        <f>SUM(B14:E14)</f>
        <v>705531.227593494</v>
      </c>
      <c r="G14" s="89">
        <f>G13*Assumptions_1!H$14</f>
        <v>1573920.8272010263</v>
      </c>
      <c r="H14" s="89">
        <f>F14+G14</f>
        <v>2279452.05479452</v>
      </c>
    </row>
    <row r="15" spans="1:8" ht="38.25">
      <c r="A15" s="8" t="s">
        <v>149</v>
      </c>
      <c r="B15" s="89">
        <f>B13*Assumptions_1!C15</f>
        <v>1535451.149099966</v>
      </c>
      <c r="C15" s="89">
        <f>C13*Assumptions_1!D15</f>
        <v>1611275.8972036683</v>
      </c>
      <c r="D15" s="89">
        <f>D13*Assumptions_1!E15</f>
        <v>557311.8985622099</v>
      </c>
      <c r="E15" s="89">
        <f>E13*Assumptions_1!F15</f>
        <v>0</v>
      </c>
      <c r="F15" s="89">
        <f>SUM(B15:E15)</f>
        <v>3704038.944865844</v>
      </c>
      <c r="G15" s="89">
        <f>G13*Assumptions_1!H15</f>
        <v>8263084.342805388</v>
      </c>
      <c r="H15" s="89">
        <f>F15+G15</f>
        <v>11967123.287671233</v>
      </c>
    </row>
    <row r="16" spans="1:8" ht="12.75">
      <c r="A16" s="8" t="s">
        <v>4</v>
      </c>
      <c r="B16" s="89">
        <f>'Input 1'!C29</f>
        <v>103305.78512396694</v>
      </c>
      <c r="C16" s="89">
        <f>'Input 1'!D29</f>
        <v>136593.20477502295</v>
      </c>
      <c r="D16" s="89">
        <f>'Input 1'!E29</f>
        <v>84366.391184573</v>
      </c>
      <c r="E16" s="89">
        <f>'Input 1'!F29</f>
        <v>0</v>
      </c>
      <c r="F16" s="89">
        <f>'Input 1'!G29</f>
        <v>324265.3810835629</v>
      </c>
      <c r="G16" s="89">
        <f>'Input 1'!H29</f>
        <v>1675734.618916437</v>
      </c>
      <c r="H16" s="89">
        <f>'Input 1'!I29</f>
        <v>2000000</v>
      </c>
    </row>
    <row r="17" spans="1:8" ht="25.5">
      <c r="A17" s="8" t="s">
        <v>92</v>
      </c>
      <c r="B17" s="28">
        <f>B16*Assumptions_1!C18</f>
        <v>1236273.0669081851</v>
      </c>
      <c r="C17" s="28">
        <f>C16*Assumptions_1!D18</f>
        <v>1634627.7218008228</v>
      </c>
      <c r="D17" s="28">
        <f>D16*Assumptions_1!E18</f>
        <v>1009623.0046416847</v>
      </c>
      <c r="E17" s="28">
        <f>E16*Assumptions_1!F18</f>
        <v>0</v>
      </c>
      <c r="F17" s="88">
        <f>SUM(B17:E17)</f>
        <v>3880523.793350693</v>
      </c>
      <c r="G17" s="88">
        <f>H17-F17</f>
        <v>8086599.49432054</v>
      </c>
      <c r="H17" s="88">
        <f>H8</f>
        <v>11967123.287671233</v>
      </c>
    </row>
    <row r="22" ht="12.75">
      <c r="A22" t="s">
        <v>78</v>
      </c>
    </row>
    <row r="23" ht="12.75">
      <c r="A23" t="s">
        <v>147</v>
      </c>
    </row>
    <row r="24" spans="3:6" ht="12.75">
      <c r="C24" s="104" t="s">
        <v>55</v>
      </c>
      <c r="D24" s="104"/>
      <c r="E24" s="104"/>
      <c r="F24" s="104"/>
    </row>
    <row r="25" spans="3:16" ht="12.75">
      <c r="C25" s="1" t="s">
        <v>71</v>
      </c>
      <c r="D25" s="1" t="s">
        <v>72</v>
      </c>
      <c r="E25" s="1" t="s">
        <v>73</v>
      </c>
      <c r="F25" s="1" t="s">
        <v>74</v>
      </c>
      <c r="G25" s="1" t="s">
        <v>98</v>
      </c>
      <c r="H25" s="1" t="s">
        <v>146</v>
      </c>
      <c r="K25" s="1" t="s">
        <v>71</v>
      </c>
      <c r="L25" s="1" t="s">
        <v>72</v>
      </c>
      <c r="M25" s="1" t="s">
        <v>73</v>
      </c>
      <c r="N25" s="1" t="s">
        <v>74</v>
      </c>
      <c r="O25" s="1" t="s">
        <v>98</v>
      </c>
      <c r="P25" s="1" t="s">
        <v>146</v>
      </c>
    </row>
    <row r="26" spans="1:16" ht="12.75">
      <c r="A26" s="102" t="s">
        <v>56</v>
      </c>
      <c r="B26" s="1" t="s">
        <v>71</v>
      </c>
      <c r="C26" s="7"/>
      <c r="D26" s="38">
        <v>0.03</v>
      </c>
      <c r="E26" s="38">
        <v>0.04</v>
      </c>
      <c r="F26" s="38">
        <v>0.05</v>
      </c>
      <c r="G26" s="85">
        <f>1-(D26+E26+F26)</f>
        <v>0.88</v>
      </c>
      <c r="H26" s="85">
        <f>SUM(C26:G26)</f>
        <v>1</v>
      </c>
      <c r="J26" s="1" t="s">
        <v>71</v>
      </c>
      <c r="K26" s="9"/>
      <c r="L26" s="85">
        <f>IF('Input 1'!D$29&gt;0,Assumptions_2!D26,0)</f>
        <v>0.03</v>
      </c>
      <c r="M26" s="85">
        <f>IF('Input 1'!E$29&gt;0,Assumptions_2!E26,0)</f>
        <v>0.04</v>
      </c>
      <c r="N26" s="85">
        <f>IF('Input 1'!F$29&gt;0,Assumptions_2!F26,0)</f>
        <v>0</v>
      </c>
      <c r="O26" s="85">
        <f>1-(L26+M26+N26)</f>
        <v>0.9299999999999999</v>
      </c>
      <c r="P26" s="85">
        <f>SUM(K26:O26)</f>
        <v>1</v>
      </c>
    </row>
    <row r="27" spans="1:16" ht="12.75">
      <c r="A27" s="102"/>
      <c r="B27" s="1" t="s">
        <v>72</v>
      </c>
      <c r="C27" s="38">
        <v>0.02</v>
      </c>
      <c r="D27" s="7"/>
      <c r="E27" s="38">
        <v>0.04</v>
      </c>
      <c r="F27" s="38">
        <v>0.05</v>
      </c>
      <c r="G27" s="85">
        <f>1-(C27+E27+F27)</f>
        <v>0.89</v>
      </c>
      <c r="H27" s="85">
        <f>SUM(C27:G27)</f>
        <v>1</v>
      </c>
      <c r="J27" s="1" t="s">
        <v>72</v>
      </c>
      <c r="K27" s="85">
        <f>IF('Input 1'!C$29&gt;0,Assumptions_2!C27,0)</f>
        <v>0.02</v>
      </c>
      <c r="L27" s="9"/>
      <c r="M27" s="85">
        <f>IF('Input 1'!E$29&gt;0,Assumptions_2!E27,0)</f>
        <v>0.04</v>
      </c>
      <c r="N27" s="85">
        <f>IF('Input 1'!F$29&gt;0,Assumptions_2!F27,0)</f>
        <v>0</v>
      </c>
      <c r="O27" s="85">
        <f>1-(K27+M27+N27)</f>
        <v>0.94</v>
      </c>
      <c r="P27" s="85">
        <f>SUM(K27:O27)</f>
        <v>1</v>
      </c>
    </row>
    <row r="28" spans="1:16" ht="12.75">
      <c r="A28" s="102"/>
      <c r="B28" s="1" t="s">
        <v>73</v>
      </c>
      <c r="C28" s="38">
        <v>0.02</v>
      </c>
      <c r="D28" s="38">
        <v>0.03</v>
      </c>
      <c r="E28" s="7"/>
      <c r="F28" s="38">
        <v>0.05</v>
      </c>
      <c r="G28" s="85">
        <f>1-(D28+C28+F28)</f>
        <v>0.9</v>
      </c>
      <c r="H28" s="85">
        <f>SUM(C28:G28)</f>
        <v>1</v>
      </c>
      <c r="J28" s="1" t="s">
        <v>73</v>
      </c>
      <c r="K28" s="85">
        <f>IF('Input 1'!C$29&gt;0,Assumptions_2!C28,0)</f>
        <v>0.02</v>
      </c>
      <c r="L28" s="85">
        <f>IF('Input 1'!D$29&gt;0,Assumptions_2!D28,0)</f>
        <v>0.03</v>
      </c>
      <c r="M28" s="9"/>
      <c r="N28" s="85">
        <f>IF('Input 1'!F$29&gt;0,Assumptions_2!F28,0)</f>
        <v>0</v>
      </c>
      <c r="O28" s="85">
        <f>1-(L28+K28+N28)</f>
        <v>0.95</v>
      </c>
      <c r="P28" s="85">
        <f>SUM(K28:O28)</f>
        <v>1</v>
      </c>
    </row>
    <row r="29" spans="1:16" ht="12.75">
      <c r="A29" s="102"/>
      <c r="B29" s="1" t="s">
        <v>74</v>
      </c>
      <c r="C29" s="38">
        <v>0.02</v>
      </c>
      <c r="D29" s="38">
        <v>0.03</v>
      </c>
      <c r="E29" s="38">
        <v>0.04</v>
      </c>
      <c r="F29" s="7"/>
      <c r="G29" s="85">
        <f>1-(D29+E29+C29)</f>
        <v>0.91</v>
      </c>
      <c r="H29" s="85">
        <f>SUM(C29:G29)</f>
        <v>1</v>
      </c>
      <c r="I29" s="6"/>
      <c r="J29" s="1" t="s">
        <v>74</v>
      </c>
      <c r="K29" s="85">
        <f>IF('Input 1'!C$29&gt;0,Assumptions_2!C29,0)</f>
        <v>0.02</v>
      </c>
      <c r="L29" s="85">
        <f>IF('Input 1'!D$29&gt;0,Assumptions_2!D29,0)</f>
        <v>0.03</v>
      </c>
      <c r="M29" s="85">
        <f>IF('Input 1'!E$29&gt;0,Assumptions_2!E29,0)</f>
        <v>0.04</v>
      </c>
      <c r="N29" s="9"/>
      <c r="O29" s="85">
        <f>1-(L29+M29+K29)</f>
        <v>0.91</v>
      </c>
      <c r="P29" s="85">
        <f>SUM(K29:O29)</f>
        <v>1</v>
      </c>
    </row>
    <row r="31" ht="12.75">
      <c r="B31" t="s">
        <v>77</v>
      </c>
    </row>
    <row r="32" spans="3:8" ht="12.75">
      <c r="C32" s="104" t="s">
        <v>55</v>
      </c>
      <c r="D32" s="104"/>
      <c r="E32" s="104"/>
      <c r="F32" s="104"/>
      <c r="G32" s="104"/>
      <c r="H32" s="104"/>
    </row>
    <row r="33" spans="3:15" ht="25.5">
      <c r="C33" s="1" t="s">
        <v>71</v>
      </c>
      <c r="D33" s="1" t="s">
        <v>72</v>
      </c>
      <c r="E33" s="1" t="s">
        <v>73</v>
      </c>
      <c r="F33" s="1" t="s">
        <v>74</v>
      </c>
      <c r="G33" s="1" t="s">
        <v>98</v>
      </c>
      <c r="H33" s="1" t="s">
        <v>145</v>
      </c>
      <c r="I33" s="4" t="s">
        <v>87</v>
      </c>
      <c r="J33" s="1" t="s">
        <v>148</v>
      </c>
      <c r="L33" t="s">
        <v>172</v>
      </c>
      <c r="M33" t="s">
        <v>173</v>
      </c>
      <c r="N33" t="s">
        <v>174</v>
      </c>
      <c r="O33" t="s">
        <v>175</v>
      </c>
    </row>
    <row r="34" spans="1:15" s="8" customFormat="1" ht="12.75" customHeight="1">
      <c r="A34" s="102" t="s">
        <v>56</v>
      </c>
      <c r="B34" s="8" t="s">
        <v>71</v>
      </c>
      <c r="C34" s="40">
        <f>'Input 1'!C30</f>
        <v>34090.909090909096</v>
      </c>
      <c r="D34" s="41">
        <f>($I34-$C34)*L26</f>
        <v>6675.619834710744</v>
      </c>
      <c r="E34" s="41">
        <f>($I34-$C34)*M26</f>
        <v>8900.826446280991</v>
      </c>
      <c r="F34" s="41">
        <f>($I34-$C34)*N26</f>
        <v>0</v>
      </c>
      <c r="G34" s="41">
        <f>($I34-$C34)*O26</f>
        <v>206944.21487603305</v>
      </c>
      <c r="H34" s="43">
        <f>SUM(C34:G34)</f>
        <v>256611.57024793388</v>
      </c>
      <c r="I34" s="44">
        <f>'Input 1'!C27</f>
        <v>256611.57024793388</v>
      </c>
      <c r="J34" s="75">
        <f>I34-H34</f>
        <v>0</v>
      </c>
      <c r="K34" s="71"/>
      <c r="L34" s="13">
        <f>C34+D35+E36+F37</f>
        <v>107007.57575757576</v>
      </c>
      <c r="M34" s="5"/>
      <c r="N34" s="5"/>
      <c r="O34" s="5"/>
    </row>
    <row r="35" spans="1:13" s="8" customFormat="1" ht="12.75" customHeight="1">
      <c r="A35" s="102"/>
      <c r="B35" s="8" t="s">
        <v>72</v>
      </c>
      <c r="C35" s="41">
        <f>($I35-$D35)*K27</f>
        <v>4484.159779614325</v>
      </c>
      <c r="D35" s="45">
        <f>'Input 1'!D30</f>
        <v>45075.757575757576</v>
      </c>
      <c r="E35" s="41">
        <f>($I35-$D35)*M27</f>
        <v>8968.31955922865</v>
      </c>
      <c r="F35" s="41">
        <f>($I35-$D35)*N27</f>
        <v>0</v>
      </c>
      <c r="G35" s="41">
        <f>($I35-$D35)*O27</f>
        <v>210755.50964187327</v>
      </c>
      <c r="H35" s="43">
        <f>SUM(C35:G35)</f>
        <v>269283.74655647384</v>
      </c>
      <c r="I35" s="44">
        <f>'Input 1'!D27</f>
        <v>269283.74655647384</v>
      </c>
      <c r="J35" s="75">
        <f>I35-H35</f>
        <v>0</v>
      </c>
      <c r="K35" s="71"/>
      <c r="M35" s="70"/>
    </row>
    <row r="36" spans="1:13" s="8" customFormat="1" ht="12.75" customHeight="1">
      <c r="A36" s="102"/>
      <c r="B36" s="8" t="s">
        <v>73</v>
      </c>
      <c r="C36" s="41">
        <f>($I36-$E36)*K28</f>
        <v>1305.9917355371902</v>
      </c>
      <c r="D36" s="41">
        <f>($I36-$E36)*L28</f>
        <v>1958.9876033057851</v>
      </c>
      <c r="E36" s="45">
        <f>'Input 1'!E30</f>
        <v>27840.90909090909</v>
      </c>
      <c r="F36" s="41">
        <f>($I36-$E36)*N28</f>
        <v>0</v>
      </c>
      <c r="G36" s="41">
        <f>($I36-$E36)*O28</f>
        <v>62034.60743801653</v>
      </c>
      <c r="H36" s="43">
        <f>SUM(C36:G36)</f>
        <v>93140.4958677686</v>
      </c>
      <c r="I36" s="44">
        <f>'Input 1'!E27</f>
        <v>93140.4958677686</v>
      </c>
      <c r="J36" s="75">
        <f>I36-H36</f>
        <v>0</v>
      </c>
      <c r="K36" s="71"/>
      <c r="M36" s="70"/>
    </row>
    <row r="37" spans="1:13" s="8" customFormat="1" ht="12.75" customHeight="1">
      <c r="A37" s="102"/>
      <c r="B37" s="8" t="s">
        <v>74</v>
      </c>
      <c r="C37" s="41">
        <f>($I37-$F37)*K29</f>
        <v>0</v>
      </c>
      <c r="D37" s="41">
        <f>($I37-$F37)*L29</f>
        <v>0</v>
      </c>
      <c r="E37" s="41">
        <f>($I37-$F37)*M29</f>
        <v>0</v>
      </c>
      <c r="F37" s="45">
        <f>'Input 1'!F30</f>
        <v>0</v>
      </c>
      <c r="G37" s="41">
        <f>($I37-$F37)*O29</f>
        <v>0</v>
      </c>
      <c r="H37" s="43">
        <f>SUM(C37:G37)</f>
        <v>0</v>
      </c>
      <c r="I37" s="99">
        <f>'Input 1'!F27</f>
        <v>0</v>
      </c>
      <c r="J37" s="75">
        <f>I37-H37</f>
        <v>0</v>
      </c>
      <c r="K37" s="71"/>
      <c r="M37" s="70"/>
    </row>
    <row r="38" spans="1:13" s="8" customFormat="1" ht="12.75" customHeight="1">
      <c r="A38" s="102"/>
      <c r="B38" s="8" t="s">
        <v>98</v>
      </c>
      <c r="C38" s="42">
        <f>C40-SUM(C34:C37)</f>
        <v>63424.72451790633</v>
      </c>
      <c r="D38" s="42">
        <f>D40-SUM(D34:D37)</f>
        <v>82882.83976124885</v>
      </c>
      <c r="E38" s="42">
        <f>E40-SUM(E34:E37)</f>
        <v>38656.336088154276</v>
      </c>
      <c r="F38" s="42">
        <f>F40-SUM(F34:F37)</f>
        <v>0</v>
      </c>
      <c r="G38" s="42">
        <f>G40-SUM(G34:G37)</f>
        <v>1196000.2869605143</v>
      </c>
      <c r="H38" s="43">
        <f>SUM(C38:G38)</f>
        <v>1380964.1873278236</v>
      </c>
      <c r="I38" s="44">
        <f>'Input 1'!H27</f>
        <v>1380964.1873278236</v>
      </c>
      <c r="J38" s="75">
        <f>I38-H38</f>
        <v>0</v>
      </c>
      <c r="K38" s="71"/>
      <c r="M38" s="70"/>
    </row>
    <row r="39" spans="1:13" ht="14.25" customHeight="1">
      <c r="A39" s="23"/>
      <c r="B39" s="8" t="s">
        <v>145</v>
      </c>
      <c r="C39" s="46">
        <f>SUM(C34:C38)</f>
        <v>103305.78512396694</v>
      </c>
      <c r="D39" s="46">
        <f aca="true" t="shared" si="1" ref="D39:I39">SUM(D34:D38)</f>
        <v>136593.20477502295</v>
      </c>
      <c r="E39" s="46">
        <f t="shared" si="1"/>
        <v>84366.391184573</v>
      </c>
      <c r="F39" s="46">
        <f t="shared" si="1"/>
        <v>0</v>
      </c>
      <c r="G39" s="46">
        <f t="shared" si="1"/>
        <v>1675734.618916437</v>
      </c>
      <c r="H39" s="9"/>
      <c r="I39" s="46">
        <f t="shared" si="1"/>
        <v>2000000</v>
      </c>
      <c r="J39" s="10"/>
      <c r="K39" s="10"/>
      <c r="M39" s="72"/>
    </row>
    <row r="40" spans="2:13" ht="25.5">
      <c r="B40" s="12" t="s">
        <v>54</v>
      </c>
      <c r="C40" s="47">
        <f>'Input 1'!C29</f>
        <v>103305.78512396694</v>
      </c>
      <c r="D40" s="47">
        <f>'Input 1'!D29</f>
        <v>136593.20477502295</v>
      </c>
      <c r="E40" s="47">
        <f>'Input 1'!E29</f>
        <v>84366.391184573</v>
      </c>
      <c r="F40" s="98">
        <f>'Input 1'!F29</f>
        <v>0</v>
      </c>
      <c r="G40" s="47">
        <f>'Input 1'!H29</f>
        <v>1675734.618916437</v>
      </c>
      <c r="H40" s="77">
        <f>SUM(C40:G40)</f>
        <v>2000000</v>
      </c>
      <c r="I40" s="76">
        <f>I39-H40</f>
        <v>0</v>
      </c>
      <c r="J40" s="10"/>
      <c r="K40" s="10"/>
      <c r="M40" s="73"/>
    </row>
    <row r="41" spans="2:13" ht="12.75">
      <c r="B41" s="8" t="s">
        <v>148</v>
      </c>
      <c r="C41" s="46">
        <f>C40-C39</f>
        <v>0</v>
      </c>
      <c r="D41" s="46">
        <f>D40-D39</f>
        <v>0</v>
      </c>
      <c r="E41" s="46">
        <f>E40-E39</f>
        <v>0</v>
      </c>
      <c r="F41" s="46">
        <f>F40-F39</f>
        <v>0</v>
      </c>
      <c r="G41" s="46">
        <f>G40-G39</f>
        <v>0</v>
      </c>
      <c r="H41" s="9"/>
      <c r="I41" s="9"/>
      <c r="J41" s="10"/>
      <c r="K41" s="10"/>
      <c r="M41" s="69"/>
    </row>
    <row r="42" spans="3:13" ht="12.75">
      <c r="C42" s="69"/>
      <c r="D42" s="69"/>
      <c r="E42" s="69"/>
      <c r="F42" s="69"/>
      <c r="G42" s="69"/>
      <c r="H42" s="10"/>
      <c r="I42" s="10"/>
      <c r="J42" s="10"/>
      <c r="K42" s="10"/>
      <c r="L42" s="10"/>
      <c r="M42" s="69"/>
    </row>
    <row r="43" ht="12.75">
      <c r="B43" s="19"/>
    </row>
    <row r="44" ht="12.75">
      <c r="B44" t="s">
        <v>86</v>
      </c>
    </row>
    <row r="45" spans="3:8" ht="12.75">
      <c r="C45" s="104" t="s">
        <v>55</v>
      </c>
      <c r="D45" s="104"/>
      <c r="E45" s="104"/>
      <c r="F45" s="104"/>
      <c r="G45" s="104"/>
      <c r="H45" s="104"/>
    </row>
    <row r="46" spans="3:9" ht="12.75">
      <c r="C46" s="1" t="s">
        <v>71</v>
      </c>
      <c r="D46" s="1" t="s">
        <v>72</v>
      </c>
      <c r="E46" s="1" t="s">
        <v>73</v>
      </c>
      <c r="F46" s="1" t="s">
        <v>74</v>
      </c>
      <c r="G46" s="1" t="s">
        <v>98</v>
      </c>
      <c r="H46" s="1"/>
      <c r="I46" s="4"/>
    </row>
    <row r="47" spans="1:17" ht="12.75" customHeight="1">
      <c r="A47" s="102" t="s">
        <v>56</v>
      </c>
      <c r="B47" t="s">
        <v>71</v>
      </c>
      <c r="C47" s="26">
        <f>C34*Assumptions_1!$C$14</f>
        <v>38854.29638854297</v>
      </c>
      <c r="D47" s="26">
        <f>D34*Assumptions_1!$C$14</f>
        <v>7608.3776746292315</v>
      </c>
      <c r="E47" s="26">
        <f>E34*Assumptions_1!$C$14</f>
        <v>10144.503566172307</v>
      </c>
      <c r="F47" s="26">
        <f>F34*Assumptions_1!$C$14</f>
        <v>0</v>
      </c>
      <c r="G47" s="26">
        <f>G34*Assumptions_1!$C$14</f>
        <v>235859.70791350616</v>
      </c>
      <c r="H47" s="26">
        <f>SUM(C47:G47)</f>
        <v>292466.8855428507</v>
      </c>
      <c r="I47" s="27"/>
      <c r="J47" s="10"/>
      <c r="P47" s="5"/>
      <c r="Q47" s="5"/>
    </row>
    <row r="48" spans="1:17" ht="12.75">
      <c r="A48" s="102"/>
      <c r="B48" t="s">
        <v>72</v>
      </c>
      <c r="C48" s="26">
        <f>C35*Assumptions_1!$D$14</f>
        <v>5110.713611834409</v>
      </c>
      <c r="D48" s="26">
        <f>D35*Assumptions_1!$D$14</f>
        <v>51374.01411374014</v>
      </c>
      <c r="E48" s="26">
        <f>E35*Assumptions_1!$D$14</f>
        <v>10221.427223668818</v>
      </c>
      <c r="F48" s="26">
        <f>F35*Assumptions_1!$D$14</f>
        <v>0</v>
      </c>
      <c r="G48" s="26">
        <f>G35*Assumptions_1!$D$14</f>
        <v>240203.53975621721</v>
      </c>
      <c r="H48" s="26">
        <f>SUM(C48:G48)</f>
        <v>306909.69470546057</v>
      </c>
      <c r="I48" s="27"/>
      <c r="J48" s="10"/>
      <c r="L48" s="5"/>
      <c r="M48" s="5"/>
      <c r="N48" s="5"/>
      <c r="O48" s="5"/>
      <c r="P48" s="5"/>
      <c r="Q48" s="5"/>
    </row>
    <row r="49" spans="1:17" ht="12.75">
      <c r="A49" s="102"/>
      <c r="B49" t="s">
        <v>73</v>
      </c>
      <c r="C49" s="26">
        <f>C36*Assumptions_1!$E$14</f>
        <v>1488.472772557455</v>
      </c>
      <c r="D49" s="26">
        <f>D36*Assumptions_1!$E$14</f>
        <v>2232.7091588361823</v>
      </c>
      <c r="E49" s="26">
        <f>E36*Assumptions_1!$E$14</f>
        <v>31731.008717310084</v>
      </c>
      <c r="F49" s="26">
        <f>F36*Assumptions_1!$E$14</f>
        <v>0</v>
      </c>
      <c r="G49" s="26">
        <f>G36*Assumptions_1!$E$14</f>
        <v>70702.45669647912</v>
      </c>
      <c r="H49" s="26">
        <f>SUM(C49:G49)</f>
        <v>106154.64734518284</v>
      </c>
      <c r="I49" s="27"/>
      <c r="J49" s="10"/>
      <c r="L49" s="5"/>
      <c r="M49" s="5"/>
      <c r="N49" s="5"/>
      <c r="O49" s="5"/>
      <c r="P49" s="5"/>
      <c r="Q49" s="5"/>
    </row>
    <row r="50" spans="1:17" ht="12.75">
      <c r="A50" s="102"/>
      <c r="B50" t="s">
        <v>74</v>
      </c>
      <c r="C50" s="26">
        <f>C37*Assumptions_1!$F$14</f>
        <v>0</v>
      </c>
      <c r="D50" s="26">
        <f>D37*Assumptions_1!$F$14</f>
        <v>0</v>
      </c>
      <c r="E50" s="26">
        <f>E37*Assumptions_1!$F$14</f>
        <v>0</v>
      </c>
      <c r="F50" s="26">
        <f>F37*Assumptions_1!$F$14</f>
        <v>0</v>
      </c>
      <c r="G50" s="26">
        <f>G37*Assumptions_1!$F$14</f>
        <v>0</v>
      </c>
      <c r="H50" s="26">
        <f>SUM(C50:G50)</f>
        <v>0</v>
      </c>
      <c r="I50" s="27"/>
      <c r="J50" s="10"/>
      <c r="L50" s="5"/>
      <c r="M50" s="5"/>
      <c r="N50" s="5"/>
      <c r="O50" s="5"/>
      <c r="P50" s="5"/>
      <c r="Q50" s="5"/>
    </row>
    <row r="51" spans="1:17" ht="12.75">
      <c r="A51" s="102"/>
      <c r="B51" t="s">
        <v>76</v>
      </c>
      <c r="C51" s="26">
        <f>C38*Assumptions_1!$G$14</f>
        <v>72286.809313559</v>
      </c>
      <c r="D51" s="26">
        <f>D38*Assumptions_1!$G$14</f>
        <v>94463.72970049184</v>
      </c>
      <c r="E51" s="26">
        <f>E38*Assumptions_1!$G$14</f>
        <v>44057.63236348542</v>
      </c>
      <c r="F51" s="26">
        <f>F38*Assumptions_1!$G$14</f>
        <v>0</v>
      </c>
      <c r="G51" s="26">
        <f>G38*Assumptions_1!$G$14</f>
        <v>1363112.6558234901</v>
      </c>
      <c r="H51" s="26">
        <f>SUM(C51:G51)</f>
        <v>1573920.8272010265</v>
      </c>
      <c r="I51" s="26">
        <f>SUM(H47:H51)</f>
        <v>2279452.0547945206</v>
      </c>
      <c r="J51" s="74"/>
      <c r="L51" s="5"/>
      <c r="M51" s="5"/>
      <c r="N51" s="5"/>
      <c r="O51" s="5"/>
      <c r="P51" s="5"/>
      <c r="Q51" s="5"/>
    </row>
    <row r="52" spans="2:10" ht="25.5">
      <c r="B52" s="12" t="s">
        <v>54</v>
      </c>
      <c r="C52" s="34">
        <f>SUM(C47:C51)</f>
        <v>117740.29208649384</v>
      </c>
      <c r="D52" s="34">
        <f>SUM(D47:D51)</f>
        <v>155678.83064769738</v>
      </c>
      <c r="E52" s="34">
        <f>SUM(E47:E51)</f>
        <v>96154.57187063663</v>
      </c>
      <c r="F52" s="34">
        <f>SUM(F47:F51)</f>
        <v>0</v>
      </c>
      <c r="G52" s="34">
        <f>SUM(G47:G51)</f>
        <v>1909878.3601896926</v>
      </c>
      <c r="H52" s="34"/>
      <c r="I52" s="10"/>
      <c r="J52" s="10"/>
    </row>
    <row r="53" spans="7:10" ht="12.75">
      <c r="G53" s="34">
        <f>SUM(C52:G52)</f>
        <v>2279452.0547945206</v>
      </c>
      <c r="H53" s="74"/>
      <c r="I53" s="69">
        <f>I51-G53</f>
        <v>0</v>
      </c>
      <c r="J53" s="69"/>
    </row>
    <row r="55" ht="12.75">
      <c r="H55" s="14"/>
    </row>
    <row r="56" ht="12.75">
      <c r="A56" t="s">
        <v>150</v>
      </c>
    </row>
    <row r="57" ht="12.75">
      <c r="A57" t="s">
        <v>151</v>
      </c>
    </row>
    <row r="58" spans="3:6" ht="12.75">
      <c r="C58" s="104" t="s">
        <v>55</v>
      </c>
      <c r="D58" s="104"/>
      <c r="E58" s="104"/>
      <c r="F58" s="104"/>
    </row>
    <row r="59" spans="3:16" ht="12.75">
      <c r="C59" s="1" t="s">
        <v>71</v>
      </c>
      <c r="D59" s="1" t="s">
        <v>72</v>
      </c>
      <c r="E59" s="1" t="s">
        <v>73</v>
      </c>
      <c r="F59" s="1" t="s">
        <v>74</v>
      </c>
      <c r="G59" s="1" t="s">
        <v>98</v>
      </c>
      <c r="H59" s="1" t="s">
        <v>146</v>
      </c>
      <c r="K59" s="1" t="s">
        <v>71</v>
      </c>
      <c r="L59" s="1" t="s">
        <v>72</v>
      </c>
      <c r="M59" s="1" t="s">
        <v>73</v>
      </c>
      <c r="N59" s="1" t="s">
        <v>74</v>
      </c>
      <c r="O59" s="1" t="s">
        <v>98</v>
      </c>
      <c r="P59" s="1" t="s">
        <v>146</v>
      </c>
    </row>
    <row r="60" spans="1:16" ht="12.75">
      <c r="A60" s="102" t="s">
        <v>56</v>
      </c>
      <c r="B60" s="1" t="s">
        <v>71</v>
      </c>
      <c r="C60" s="7"/>
      <c r="D60" s="38">
        <v>0.02</v>
      </c>
      <c r="E60" s="38">
        <v>0.03</v>
      </c>
      <c r="F60" s="38">
        <v>0.04</v>
      </c>
      <c r="G60" s="85">
        <f>1-(D60+E60+F60)</f>
        <v>0.91</v>
      </c>
      <c r="H60" s="85">
        <f>SUM(C60:G60)</f>
        <v>1</v>
      </c>
      <c r="J60" s="1" t="s">
        <v>71</v>
      </c>
      <c r="K60" s="9"/>
      <c r="L60" s="85">
        <f>IF('Input 1'!D$29&gt;0,Assumptions_2!D60,0)</f>
        <v>0.02</v>
      </c>
      <c r="M60" s="85">
        <f>IF('Input 1'!E$29&gt;0,Assumptions_2!E60,0)</f>
        <v>0.03</v>
      </c>
      <c r="N60" s="85">
        <f>IF('Input 1'!F$29&gt;0,Assumptions_2!F60,0)</f>
        <v>0</v>
      </c>
      <c r="O60" s="85">
        <f>1-(L60+M60+N60)</f>
        <v>0.95</v>
      </c>
      <c r="P60" s="85">
        <f>SUM(K60:O60)</f>
        <v>1</v>
      </c>
    </row>
    <row r="61" spans="1:16" ht="12.75">
      <c r="A61" s="102"/>
      <c r="B61" s="1" t="s">
        <v>72</v>
      </c>
      <c r="C61" s="38">
        <v>0.01</v>
      </c>
      <c r="D61" s="7"/>
      <c r="E61" s="38">
        <v>0.03</v>
      </c>
      <c r="F61" s="38">
        <v>0.04</v>
      </c>
      <c r="G61" s="85">
        <f>1-(C61+E61+F61)</f>
        <v>0.92</v>
      </c>
      <c r="H61" s="85">
        <f>SUM(C61:G61)</f>
        <v>1</v>
      </c>
      <c r="J61" s="1" t="s">
        <v>72</v>
      </c>
      <c r="K61" s="85">
        <f>IF('Input 1'!C$29&gt;0,Assumptions_2!C61,0)</f>
        <v>0.01</v>
      </c>
      <c r="L61" s="9"/>
      <c r="M61" s="85">
        <f>IF('Input 1'!E$29&gt;0,Assumptions_2!E61,0)</f>
        <v>0.03</v>
      </c>
      <c r="N61" s="85">
        <f>IF('Input 1'!F$29&gt;0,Assumptions_2!F61,0)</f>
        <v>0</v>
      </c>
      <c r="O61" s="85">
        <f>1-(K61+M61+N61)</f>
        <v>0.96</v>
      </c>
      <c r="P61" s="85">
        <f>SUM(K61:O61)</f>
        <v>1</v>
      </c>
    </row>
    <row r="62" spans="1:16" ht="12.75">
      <c r="A62" s="102"/>
      <c r="B62" s="1" t="s">
        <v>73</v>
      </c>
      <c r="C62" s="38">
        <v>0.01</v>
      </c>
      <c r="D62" s="38">
        <v>0.02</v>
      </c>
      <c r="E62" s="7"/>
      <c r="F62" s="38">
        <v>0.04</v>
      </c>
      <c r="G62" s="85">
        <f>1-(D62+C62+F62)</f>
        <v>0.9299999999999999</v>
      </c>
      <c r="H62" s="85">
        <f>SUM(C62:G62)</f>
        <v>1</v>
      </c>
      <c r="J62" s="1" t="s">
        <v>73</v>
      </c>
      <c r="K62" s="85">
        <f>IF('Input 1'!C$29&gt;0,Assumptions_2!C62,0)</f>
        <v>0.01</v>
      </c>
      <c r="L62" s="85">
        <f>IF('Input 1'!D$29&gt;0,Assumptions_2!D62,0)</f>
        <v>0.02</v>
      </c>
      <c r="M62" s="9"/>
      <c r="N62" s="85">
        <f>IF('Input 1'!F$29&gt;0,Assumptions_2!F62,0)</f>
        <v>0</v>
      </c>
      <c r="O62" s="85">
        <f>1-(L62+K62+N62)</f>
        <v>0.97</v>
      </c>
      <c r="P62" s="85">
        <f>SUM(K62:O62)</f>
        <v>1</v>
      </c>
    </row>
    <row r="63" spans="1:16" ht="12.75">
      <c r="A63" s="102"/>
      <c r="B63" s="1" t="s">
        <v>74</v>
      </c>
      <c r="C63" s="38">
        <v>0.01</v>
      </c>
      <c r="D63" s="38">
        <v>0.02</v>
      </c>
      <c r="E63" s="38">
        <v>0.03</v>
      </c>
      <c r="F63" s="7"/>
      <c r="G63" s="85">
        <f>1-(D63+E63+C63)</f>
        <v>0.94</v>
      </c>
      <c r="H63" s="85">
        <f>SUM(C63:G63)</f>
        <v>1</v>
      </c>
      <c r="I63" s="6"/>
      <c r="J63" s="1" t="s">
        <v>74</v>
      </c>
      <c r="K63" s="85">
        <f>IF('Input 1'!C$29&gt;0,Assumptions_2!C63,0)</f>
        <v>0.01</v>
      </c>
      <c r="L63" s="85">
        <f>IF('Input 1'!D$29&gt;0,Assumptions_2!D63,0)</f>
        <v>0.02</v>
      </c>
      <c r="M63" s="85">
        <f>IF('Input 1'!E$29&gt;0,Assumptions_2!E63,0)</f>
        <v>0.03</v>
      </c>
      <c r="N63" s="9"/>
      <c r="O63" s="85">
        <f>1-(L63+M63+K63)</f>
        <v>0.94</v>
      </c>
      <c r="P63" s="85">
        <f>SUM(K63:O63)</f>
        <v>1</v>
      </c>
    </row>
    <row r="65" ht="12.75">
      <c r="B65" t="s">
        <v>95</v>
      </c>
    </row>
    <row r="66" spans="3:8" ht="12.75">
      <c r="C66" s="104" t="s">
        <v>55</v>
      </c>
      <c r="D66" s="104"/>
      <c r="E66" s="104"/>
      <c r="F66" s="104"/>
      <c r="G66" s="104"/>
      <c r="H66" s="104"/>
    </row>
    <row r="67" spans="3:10" ht="25.5">
      <c r="C67" s="1" t="s">
        <v>71</v>
      </c>
      <c r="D67" s="1" t="s">
        <v>72</v>
      </c>
      <c r="E67" s="1" t="s">
        <v>73</v>
      </c>
      <c r="F67" s="1" t="s">
        <v>74</v>
      </c>
      <c r="G67" s="1" t="s">
        <v>98</v>
      </c>
      <c r="H67" s="1" t="s">
        <v>145</v>
      </c>
      <c r="I67" s="4" t="s">
        <v>87</v>
      </c>
      <c r="J67" s="1" t="s">
        <v>148</v>
      </c>
    </row>
    <row r="68" spans="1:11" ht="12.75" customHeight="1">
      <c r="A68" s="102" t="s">
        <v>56</v>
      </c>
      <c r="B68" s="8" t="s">
        <v>71</v>
      </c>
      <c r="C68" s="40">
        <f>B$15*Assumptions_1!C$19</f>
        <v>460635.3447299898</v>
      </c>
      <c r="D68" s="41">
        <f>($I68-$C68)*L60</f>
        <v>21496.316087399526</v>
      </c>
      <c r="E68" s="41">
        <f>($I68-$C68)*M60</f>
        <v>32244.474131099287</v>
      </c>
      <c r="F68" s="41">
        <f>($I68-$C68)*N60</f>
        <v>0</v>
      </c>
      <c r="G68" s="41">
        <f>($I68-$C68)*O60</f>
        <v>1021075.0141514774</v>
      </c>
      <c r="H68" s="43">
        <f>SUM(C68:G68)</f>
        <v>1535451.149099966</v>
      </c>
      <c r="I68" s="44">
        <f>B15</f>
        <v>1535451.149099966</v>
      </c>
      <c r="J68" s="41">
        <f>I68-H68</f>
        <v>0</v>
      </c>
      <c r="K68" s="71"/>
    </row>
    <row r="69" spans="1:11" ht="12.75">
      <c r="A69" s="102"/>
      <c r="B69" s="8" t="s">
        <v>72</v>
      </c>
      <c r="C69" s="41">
        <f>($I69-$D69)*K61</f>
        <v>11278.931280425677</v>
      </c>
      <c r="D69" s="40">
        <f>C$15*Assumptions_1!D$19</f>
        <v>483382.76916110044</v>
      </c>
      <c r="E69" s="41">
        <f>($I69-$D69)*M61</f>
        <v>33836.79384127703</v>
      </c>
      <c r="F69" s="41">
        <f>($I69-$D69)*N61</f>
        <v>0</v>
      </c>
      <c r="G69" s="41">
        <f>($I69-$D69)*O61</f>
        <v>1082777.402920865</v>
      </c>
      <c r="H69" s="43">
        <f>SUM(C69:G69)</f>
        <v>1611275.897203668</v>
      </c>
      <c r="I69" s="44">
        <f>C15</f>
        <v>1611275.8972036683</v>
      </c>
      <c r="J69" s="41">
        <f>I69-H69</f>
        <v>0</v>
      </c>
      <c r="K69" s="71"/>
    </row>
    <row r="70" spans="1:11" ht="12.75">
      <c r="A70" s="102"/>
      <c r="B70" s="8" t="s">
        <v>73</v>
      </c>
      <c r="C70" s="41">
        <f>($I70-$E70)*K62</f>
        <v>3901.1832899354695</v>
      </c>
      <c r="D70" s="41">
        <f>($I70-$E70)*L62</f>
        <v>7802.366579870939</v>
      </c>
      <c r="E70" s="40">
        <f>D$15*Assumptions_1!E$19</f>
        <v>167193.56956866296</v>
      </c>
      <c r="F70" s="41">
        <f>($I70-$E70)*N62</f>
        <v>0</v>
      </c>
      <c r="G70" s="41">
        <f>($I70-$E70)*O62</f>
        <v>378414.7791237405</v>
      </c>
      <c r="H70" s="43">
        <f>SUM(C70:G70)</f>
        <v>557311.8985622099</v>
      </c>
      <c r="I70" s="44">
        <f>D15</f>
        <v>557311.8985622099</v>
      </c>
      <c r="J70" s="41">
        <f>I70-H70</f>
        <v>0</v>
      </c>
      <c r="K70" s="71"/>
    </row>
    <row r="71" spans="1:11" ht="12.75">
      <c r="A71" s="102"/>
      <c r="B71" s="8" t="s">
        <v>74</v>
      </c>
      <c r="C71" s="41">
        <f>($I71-$F71)*K63</f>
        <v>0</v>
      </c>
      <c r="D71" s="41">
        <f>($I71-$F71)*L63</f>
        <v>0</v>
      </c>
      <c r="E71" s="41">
        <f>($I71-$F71)*M63</f>
        <v>0</v>
      </c>
      <c r="F71" s="40">
        <f>E$15*Assumptions_1!F$19</f>
        <v>0</v>
      </c>
      <c r="G71" s="41">
        <f>($I71-$F71)*O63</f>
        <v>0</v>
      </c>
      <c r="H71" s="43">
        <f>SUM(C71:G71)</f>
        <v>0</v>
      </c>
      <c r="I71" s="100">
        <f>E15</f>
        <v>0</v>
      </c>
      <c r="J71" s="41">
        <f>I71-H71</f>
        <v>0</v>
      </c>
      <c r="K71" s="71"/>
    </row>
    <row r="72" spans="1:11" ht="12.75">
      <c r="A72" s="102"/>
      <c r="B72" s="8" t="s">
        <v>98</v>
      </c>
      <c r="C72" s="42">
        <f>C74-SUM(C68:C71)</f>
        <v>760457.6076078342</v>
      </c>
      <c r="D72" s="42">
        <f>D74-SUM(D68:D71)</f>
        <v>1121946.269972452</v>
      </c>
      <c r="E72" s="42">
        <f>E74-SUM(E68:E71)</f>
        <v>776348.1671006454</v>
      </c>
      <c r="F72" s="42">
        <f>F74-SUM(F68:F71)</f>
        <v>0</v>
      </c>
      <c r="G72" s="42">
        <f>G74-SUM(G68:G71)</f>
        <v>5604332.298124457</v>
      </c>
      <c r="H72" s="43">
        <f>SUM(C72:G72)</f>
        <v>8263084.342805388</v>
      </c>
      <c r="I72" s="44">
        <f>G15</f>
        <v>8263084.342805388</v>
      </c>
      <c r="J72" s="41">
        <f>I72-H72</f>
        <v>0</v>
      </c>
      <c r="K72" s="71"/>
    </row>
    <row r="73" spans="1:11" ht="12.75">
      <c r="A73" s="23"/>
      <c r="B73" s="8" t="s">
        <v>145</v>
      </c>
      <c r="C73" s="46">
        <f>SUM(C68:C72)</f>
        <v>1236273.0669081851</v>
      </c>
      <c r="D73" s="46">
        <f>SUM(D68:D72)</f>
        <v>1634627.7218008228</v>
      </c>
      <c r="E73" s="46">
        <f>SUM(E68:E72)</f>
        <v>1009623.0046416847</v>
      </c>
      <c r="F73" s="46">
        <f>SUM(F68:F72)</f>
        <v>0</v>
      </c>
      <c r="G73" s="46">
        <f>SUM(G68:G72)</f>
        <v>8086599.49432054</v>
      </c>
      <c r="H73" s="9"/>
      <c r="I73" s="79">
        <f>SUM(I68:I72)</f>
        <v>11967123.287671233</v>
      </c>
      <c r="J73" s="9"/>
      <c r="K73" s="10"/>
    </row>
    <row r="74" spans="2:11" ht="25.5">
      <c r="B74" s="12" t="s">
        <v>54</v>
      </c>
      <c r="C74" s="47">
        <f>B17</f>
        <v>1236273.0669081851</v>
      </c>
      <c r="D74" s="47">
        <f>C17</f>
        <v>1634627.7218008228</v>
      </c>
      <c r="E74" s="47">
        <f>D17</f>
        <v>1009623.0046416847</v>
      </c>
      <c r="F74" s="98">
        <f>E17</f>
        <v>0</v>
      </c>
      <c r="G74" s="47">
        <f>G17</f>
        <v>8086599.49432054</v>
      </c>
      <c r="H74" s="78">
        <f>SUM(C74:G74)</f>
        <v>11967123.287671233</v>
      </c>
      <c r="I74" s="11">
        <f>I73-H74</f>
        <v>0</v>
      </c>
      <c r="J74" s="9"/>
      <c r="K74" s="10"/>
    </row>
    <row r="75" spans="3:11" ht="12.75">
      <c r="C75" s="11">
        <f>C74-C73</f>
        <v>0</v>
      </c>
      <c r="D75" s="11">
        <f>D74-D73</f>
        <v>0</v>
      </c>
      <c r="E75" s="11">
        <f>E74-E73</f>
        <v>0</v>
      </c>
      <c r="F75" s="11">
        <f>F74-F73</f>
        <v>0</v>
      </c>
      <c r="G75" s="11">
        <f>G74-G73</f>
        <v>0</v>
      </c>
      <c r="H75" s="9"/>
      <c r="I75" s="9"/>
      <c r="J75" s="9"/>
      <c r="K75" s="10"/>
    </row>
    <row r="78" spans="3:8" ht="12.75">
      <c r="C78" s="7">
        <f aca="true" t="shared" si="2" ref="C78:H78">C68/C$74</f>
        <v>0.37260000000000004</v>
      </c>
      <c r="D78" s="7">
        <f t="shared" si="2"/>
        <v>0.013150588235294117</v>
      </c>
      <c r="E78" s="7">
        <f t="shared" si="2"/>
        <v>0.03193714285714285</v>
      </c>
      <c r="F78" s="7" t="e">
        <f t="shared" si="2"/>
        <v>#DIV/0!</v>
      </c>
      <c r="G78" s="7">
        <f t="shared" si="2"/>
        <v>0.12626753864447088</v>
      </c>
      <c r="H78" s="7">
        <f t="shared" si="2"/>
        <v>0.12830578512396695</v>
      </c>
    </row>
    <row r="79" spans="3:8" ht="12.75">
      <c r="C79" s="7">
        <f aca="true" t="shared" si="3" ref="C79:G82">C69/C$74</f>
        <v>0.009123333333333334</v>
      </c>
      <c r="D79" s="7">
        <f t="shared" si="3"/>
        <v>0.2957142857142857</v>
      </c>
      <c r="E79" s="7">
        <f t="shared" si="3"/>
        <v>0.03351428571428571</v>
      </c>
      <c r="F79" s="7" t="e">
        <f t="shared" si="3"/>
        <v>#DIV/0!</v>
      </c>
      <c r="G79" s="7">
        <f t="shared" si="3"/>
        <v>0.13389774078478003</v>
      </c>
      <c r="H79" s="7">
        <f>H69/H$74</f>
        <v>0.1346418732782369</v>
      </c>
    </row>
    <row r="80" spans="3:8" ht="12.75">
      <c r="C80" s="7">
        <f t="shared" si="3"/>
        <v>0.0031556</v>
      </c>
      <c r="D80" s="7">
        <f t="shared" si="3"/>
        <v>0.0047731764705882355</v>
      </c>
      <c r="E80" s="7">
        <f t="shared" si="3"/>
        <v>0.16559999999999997</v>
      </c>
      <c r="F80" s="7" t="e">
        <f t="shared" si="3"/>
        <v>#DIV/0!</v>
      </c>
      <c r="G80" s="7">
        <f t="shared" si="3"/>
        <v>0.04679529131985732</v>
      </c>
      <c r="H80" s="7">
        <f>H70/H$74</f>
        <v>0.0465702479338843</v>
      </c>
    </row>
    <row r="81" spans="3:8" ht="12.75">
      <c r="C81" s="7">
        <f t="shared" si="3"/>
        <v>0</v>
      </c>
      <c r="D81" s="7">
        <f t="shared" si="3"/>
        <v>0</v>
      </c>
      <c r="E81" s="7">
        <f t="shared" si="3"/>
        <v>0</v>
      </c>
      <c r="F81" s="7" t="e">
        <f t="shared" si="3"/>
        <v>#DIV/0!</v>
      </c>
      <c r="G81" s="7">
        <f t="shared" si="3"/>
        <v>0</v>
      </c>
      <c r="H81" s="7">
        <f>H71/H$74</f>
        <v>0</v>
      </c>
    </row>
    <row r="82" spans="3:8" ht="12.75">
      <c r="C82" s="7">
        <f t="shared" si="3"/>
        <v>0.6151210666666667</v>
      </c>
      <c r="D82" s="7">
        <f t="shared" si="3"/>
        <v>0.686361949579832</v>
      </c>
      <c r="E82" s="7">
        <f t="shared" si="3"/>
        <v>0.7689485714285714</v>
      </c>
      <c r="F82" s="7" t="e">
        <f t="shared" si="3"/>
        <v>#DIV/0!</v>
      </c>
      <c r="G82" s="7">
        <f t="shared" si="3"/>
        <v>0.6930394292508918</v>
      </c>
      <c r="H82" s="7">
        <f>H72/H$74</f>
        <v>0.6904820936639118</v>
      </c>
    </row>
    <row r="85" spans="3:7" ht="12.75">
      <c r="C85" s="7">
        <f aca="true" t="shared" si="4" ref="C85:G90">C68/$I68</f>
        <v>0.3</v>
      </c>
      <c r="D85" s="7">
        <f t="shared" si="4"/>
        <v>0.014</v>
      </c>
      <c r="E85" s="7">
        <f t="shared" si="4"/>
        <v>0.021</v>
      </c>
      <c r="F85" s="7">
        <f t="shared" si="4"/>
        <v>0</v>
      </c>
      <c r="G85" s="7">
        <f t="shared" si="4"/>
        <v>0.6649999999999999</v>
      </c>
    </row>
    <row r="86" spans="3:7" ht="12.75">
      <c r="C86" s="7">
        <f t="shared" si="4"/>
        <v>0.006999999999999999</v>
      </c>
      <c r="D86" s="7">
        <f t="shared" si="4"/>
        <v>0.3</v>
      </c>
      <c r="E86" s="7">
        <f t="shared" si="4"/>
        <v>0.020999999999999998</v>
      </c>
      <c r="F86" s="7">
        <f t="shared" si="4"/>
        <v>0</v>
      </c>
      <c r="G86" s="7">
        <f t="shared" si="4"/>
        <v>0.6719999999999999</v>
      </c>
    </row>
    <row r="87" spans="3:7" ht="12.75">
      <c r="C87" s="7">
        <f t="shared" si="4"/>
        <v>0.007</v>
      </c>
      <c r="D87" s="7">
        <f t="shared" si="4"/>
        <v>0.014</v>
      </c>
      <c r="E87" s="7">
        <f t="shared" si="4"/>
        <v>0.3</v>
      </c>
      <c r="F87" s="7">
        <f t="shared" si="4"/>
        <v>0</v>
      </c>
      <c r="G87" s="7">
        <f t="shared" si="4"/>
        <v>0.6789999999999999</v>
      </c>
    </row>
    <row r="88" spans="3:7" ht="12.75">
      <c r="C88" s="7" t="e">
        <f t="shared" si="4"/>
        <v>#DIV/0!</v>
      </c>
      <c r="D88" s="7" t="e">
        <f t="shared" si="4"/>
        <v>#DIV/0!</v>
      </c>
      <c r="E88" s="7" t="e">
        <f t="shared" si="4"/>
        <v>#DIV/0!</v>
      </c>
      <c r="F88" s="7" t="e">
        <f t="shared" si="4"/>
        <v>#DIV/0!</v>
      </c>
      <c r="G88" s="7" t="e">
        <f t="shared" si="4"/>
        <v>#DIV/0!</v>
      </c>
    </row>
    <row r="89" spans="3:7" ht="12.75">
      <c r="C89" s="7">
        <f t="shared" si="4"/>
        <v>0.09203072074048953</v>
      </c>
      <c r="D89" s="7">
        <f t="shared" si="4"/>
        <v>0.1357781457173825</v>
      </c>
      <c r="E89" s="7">
        <f t="shared" si="4"/>
        <v>0.093953799198069</v>
      </c>
      <c r="F89" s="7">
        <f t="shared" si="4"/>
        <v>0</v>
      </c>
      <c r="G89" s="7">
        <f t="shared" si="4"/>
        <v>0.678237334344059</v>
      </c>
    </row>
    <row r="90" spans="3:7" ht="12.75">
      <c r="C90" s="7">
        <f t="shared" si="4"/>
        <v>0.10330578512396695</v>
      </c>
      <c r="D90" s="7">
        <f t="shared" si="4"/>
        <v>0.13659320477502296</v>
      </c>
      <c r="E90" s="7">
        <f t="shared" si="4"/>
        <v>0.08436639118457301</v>
      </c>
      <c r="F90" s="7">
        <f t="shared" si="4"/>
        <v>0</v>
      </c>
      <c r="G90" s="7">
        <f t="shared" si="4"/>
        <v>0.675734618916437</v>
      </c>
    </row>
  </sheetData>
  <sheetProtection/>
  <mergeCells count="10">
    <mergeCell ref="A68:A72"/>
    <mergeCell ref="C58:F58"/>
    <mergeCell ref="A60:A63"/>
    <mergeCell ref="C66:H66"/>
    <mergeCell ref="A26:A29"/>
    <mergeCell ref="C24:F24"/>
    <mergeCell ref="C45:H45"/>
    <mergeCell ref="C32:H32"/>
    <mergeCell ref="A34:A38"/>
    <mergeCell ref="A47:A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8" sqref="E8"/>
    </sheetView>
  </sheetViews>
  <sheetFormatPr defaultColWidth="7.8515625" defaultRowHeight="12.75"/>
  <cols>
    <col min="1" max="1" width="14.8515625" style="0" customWidth="1"/>
  </cols>
  <sheetData>
    <row r="1" ht="12.75">
      <c r="A1" t="str">
        <f>'All Trips'!A20</f>
        <v>Percent Change (Absolute Change / Without Centers)</v>
      </c>
    </row>
    <row r="2" spans="2:9" ht="12.75">
      <c r="B2" s="105" t="str">
        <f>'All Trips'!B21</f>
        <v>Person-Trips (Non-Telecommuting)</v>
      </c>
      <c r="C2" s="105">
        <f>'All Trips'!C21</f>
        <v>0</v>
      </c>
      <c r="D2" s="105">
        <f>'All Trips'!D21</f>
        <v>0</v>
      </c>
      <c r="E2" s="105">
        <f>'All Trips'!E21</f>
        <v>0</v>
      </c>
      <c r="G2" s="105" t="str">
        <f>'All Trips'!G21</f>
        <v>Vehicle Trips</v>
      </c>
      <c r="H2" s="105">
        <f>'All Trips'!H21</f>
        <v>0</v>
      </c>
      <c r="I2" s="105">
        <f>'All Trips'!I21</f>
        <v>0</v>
      </c>
    </row>
    <row r="3" spans="2:9" ht="25.5">
      <c r="B3" s="67" t="str">
        <f>'All Trips'!B22</f>
        <v>Auto</v>
      </c>
      <c r="C3" s="67" t="str">
        <f>'All Trips'!C22</f>
        <v>Trans</v>
      </c>
      <c r="D3" s="67" t="str">
        <f>'All Trips'!D22</f>
        <v>Walk  Bike</v>
      </c>
      <c r="E3" s="67" t="str">
        <f>'All Trips'!E22</f>
        <v>All</v>
      </c>
      <c r="G3" s="81" t="str">
        <f>'All Trips'!G22</f>
        <v>SOV</v>
      </c>
      <c r="H3" s="81" t="str">
        <f>'All Trips'!H22</f>
        <v>Carpool</v>
      </c>
      <c r="I3" s="81" t="str">
        <f>'All Trips'!I22</f>
        <v>All</v>
      </c>
    </row>
    <row r="4" spans="1:9" ht="12.75">
      <c r="A4" s="91" t="str">
        <f>'All Trips'!A23</f>
        <v>Work</v>
      </c>
      <c r="B4" s="90">
        <f>'All Trips'!B23</f>
        <v>-0.06129916279075551</v>
      </c>
      <c r="C4" s="90">
        <f>'All Trips'!C23</f>
        <v>0.16375401744719897</v>
      </c>
      <c r="D4" s="90">
        <f>'All Trips'!D23</f>
        <v>2.63547524211184</v>
      </c>
      <c r="E4" s="90">
        <f>'All Trips'!E23</f>
        <v>0</v>
      </c>
      <c r="G4" s="90">
        <f>'All Trips'!G23</f>
        <v>-0.06129916279075557</v>
      </c>
      <c r="H4" s="90">
        <f>'All Trips'!H23</f>
        <v>-0.061299162790755125</v>
      </c>
      <c r="I4" s="90">
        <f>'All Trips'!I23</f>
        <v>-0.06129916279075557</v>
      </c>
    </row>
    <row r="5" spans="1:9" ht="12.75">
      <c r="A5" s="91" t="str">
        <f>'All Trips'!A24</f>
        <v>Non-Work</v>
      </c>
      <c r="B5" s="90">
        <f>'All Trips'!B24</f>
        <v>-0.10053564826211821</v>
      </c>
      <c r="C5" s="90">
        <f>'All Trips'!C24</f>
        <v>0.14779328741965103</v>
      </c>
      <c r="D5" s="90">
        <f>'All Trips'!D24</f>
        <v>3.0023236914600555</v>
      </c>
      <c r="E5" s="90">
        <f>'All Trips'!E24</f>
        <v>0</v>
      </c>
      <c r="G5" s="90">
        <f>'All Trips'!G24</f>
        <v>-0.10053564826211821</v>
      </c>
      <c r="H5" s="90">
        <f>'All Trips'!H24</f>
        <v>0</v>
      </c>
      <c r="I5" s="90">
        <f>'All Trips'!I24</f>
        <v>-0.10053564826211821</v>
      </c>
    </row>
    <row r="6" spans="1:9" ht="12.75">
      <c r="A6" s="91" t="str">
        <f>'All Trips'!A25</f>
        <v>All</v>
      </c>
      <c r="B6" s="90">
        <f>'All Trips'!B25</f>
        <v>-0.0943562785912122</v>
      </c>
      <c r="C6" s="90">
        <f>'All Trips'!C25</f>
        <v>0.15056506162695332</v>
      </c>
      <c r="D6" s="90">
        <f>'All Trips'!D25</f>
        <v>2.962092713973592</v>
      </c>
      <c r="E6" s="90">
        <f>'All Trips'!E25</f>
        <v>0</v>
      </c>
      <c r="G6" s="90">
        <f>'All Trips'!G25</f>
        <v>-0.0951878043185538</v>
      </c>
      <c r="H6" s="90">
        <f>'All Trips'!H25</f>
        <v>-0.061299162790755125</v>
      </c>
      <c r="I6" s="90">
        <f>'All Trips'!I25</f>
        <v>-0.09481476949329437</v>
      </c>
    </row>
  </sheetData>
  <sheetProtection/>
  <mergeCells count="2">
    <mergeCell ref="B2:E2"/>
    <mergeCell ref="G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5">
      <selection activeCell="C43" sqref="C43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3" width="9.28125" style="0" customWidth="1"/>
    <col min="5" max="5" width="8.00390625" style="0" customWidth="1"/>
    <col min="7" max="7" width="9.28125" style="0" bestFit="1" customWidth="1"/>
    <col min="8" max="8" width="10.28125" style="0" bestFit="1" customWidth="1"/>
    <col min="9" max="9" width="10.140625" style="0" customWidth="1"/>
    <col min="10" max="10" width="10.28125" style="0" bestFit="1" customWidth="1"/>
    <col min="11" max="11" width="8.140625" style="0" customWidth="1"/>
    <col min="12" max="12" width="10.00390625" style="0" customWidth="1"/>
    <col min="14" max="14" width="7.28125" style="0" customWidth="1"/>
    <col min="15" max="15" width="7.57421875" style="0" bestFit="1" customWidth="1"/>
    <col min="16" max="16" width="7.7109375" style="0" customWidth="1"/>
    <col min="18" max="18" width="4.57421875" style="0" customWidth="1"/>
    <col min="19" max="21" width="5.57421875" style="0" customWidth="1"/>
    <col min="22" max="22" width="4.28125" style="0" customWidth="1"/>
    <col min="23" max="23" width="5.57421875" style="0" customWidth="1"/>
    <col min="24" max="24" width="6.28125" style="0" bestFit="1" customWidth="1"/>
    <col min="25" max="26" width="5.57421875" style="0" customWidth="1"/>
    <col min="27" max="27" width="5.421875" style="0" customWidth="1"/>
    <col min="28" max="46" width="4.421875" style="0" customWidth="1"/>
  </cols>
  <sheetData>
    <row r="1" ht="12.75">
      <c r="A1" s="3" t="s">
        <v>122</v>
      </c>
    </row>
    <row r="2" spans="3:17" ht="12.75">
      <c r="C2" s="109" t="s">
        <v>99</v>
      </c>
      <c r="D2" s="109"/>
      <c r="E2" s="109"/>
      <c r="F2" s="109"/>
      <c r="G2" s="109"/>
      <c r="H2" s="109" t="s">
        <v>101</v>
      </c>
      <c r="I2" s="109"/>
      <c r="J2" s="109"/>
      <c r="K2" s="109"/>
      <c r="L2" s="109"/>
      <c r="M2" s="109" t="s">
        <v>102</v>
      </c>
      <c r="N2" s="109"/>
      <c r="O2" s="109"/>
      <c r="P2" s="109"/>
      <c r="Q2" s="109"/>
    </row>
    <row r="3" spans="3:17" ht="25.5">
      <c r="C3" s="50" t="s">
        <v>105</v>
      </c>
      <c r="D3" s="50" t="s">
        <v>110</v>
      </c>
      <c r="E3" s="50" t="s">
        <v>106</v>
      </c>
      <c r="F3" s="50" t="s">
        <v>107</v>
      </c>
      <c r="G3" s="50" t="s">
        <v>13</v>
      </c>
      <c r="H3" s="50" t="s">
        <v>105</v>
      </c>
      <c r="I3" s="50" t="s">
        <v>110</v>
      </c>
      <c r="J3" s="50" t="s">
        <v>106</v>
      </c>
      <c r="K3" s="50" t="s">
        <v>107</v>
      </c>
      <c r="L3" s="50" t="s">
        <v>13</v>
      </c>
      <c r="M3" s="50" t="s">
        <v>105</v>
      </c>
      <c r="N3" s="50" t="s">
        <v>110</v>
      </c>
      <c r="O3" s="50" t="s">
        <v>106</v>
      </c>
      <c r="P3" s="50" t="s">
        <v>107</v>
      </c>
      <c r="Q3" s="50" t="s">
        <v>13</v>
      </c>
    </row>
    <row r="4" spans="1:17" ht="12.75">
      <c r="A4" s="106" t="s">
        <v>100</v>
      </c>
      <c r="B4" s="51" t="s">
        <v>71</v>
      </c>
      <c r="C4" s="59">
        <f>(1-F4)*Assumptions_1!$C$26</f>
        <v>0</v>
      </c>
      <c r="D4" s="59">
        <f>(1-F4)*Assumptions_1!$C$27</f>
        <v>0</v>
      </c>
      <c r="E4" s="61">
        <f>(1-F4)*Assumptions_1!$C$28</f>
        <v>0.975</v>
      </c>
      <c r="F4" s="55">
        <f>Assumptions_1!$H$24</f>
        <v>0.025</v>
      </c>
      <c r="G4" s="58">
        <f>SUM(C4:F4)</f>
        <v>1</v>
      </c>
      <c r="H4" s="59">
        <f>1-(I4+J4+K4)</f>
        <v>0.8563000000000001</v>
      </c>
      <c r="I4" s="59">
        <f>Assumptions_1!$H$22*Assumptions_1!$C$30</f>
        <v>0.0993</v>
      </c>
      <c r="J4" s="57">
        <f>Assumptions_1!$H$23</f>
        <v>0.0194</v>
      </c>
      <c r="K4" s="55">
        <f>Assumptions_1!$H$24</f>
        <v>0.025</v>
      </c>
      <c r="L4" s="58">
        <f>SUM(H4:K4)</f>
        <v>1</v>
      </c>
      <c r="M4" s="59">
        <f>1-(N4+O4+P4)</f>
        <v>0.8563000000000001</v>
      </c>
      <c r="N4" s="59">
        <f>Assumptions_1!$H$22*Assumptions_1!$C$30</f>
        <v>0.0993</v>
      </c>
      <c r="O4" s="57">
        <f>Assumptions_1!$H$23</f>
        <v>0.0194</v>
      </c>
      <c r="P4" s="55">
        <f>Assumptions_1!$H$24</f>
        <v>0.025</v>
      </c>
      <c r="Q4" s="58">
        <f>SUM(M4:P4)</f>
        <v>1</v>
      </c>
    </row>
    <row r="5" spans="1:17" ht="12.75">
      <c r="A5" s="106"/>
      <c r="B5" s="51" t="s">
        <v>72</v>
      </c>
      <c r="C5" s="59">
        <f>1-(D5+E5+F5)</f>
        <v>0.8563000000000001</v>
      </c>
      <c r="D5" s="59">
        <f>Assumptions_1!$H$22*Assumptions_1!$D$30</f>
        <v>0.0993</v>
      </c>
      <c r="E5" s="57">
        <f>Assumptions_1!$H$23</f>
        <v>0.0194</v>
      </c>
      <c r="F5" s="55">
        <f>Assumptions_1!$H$24</f>
        <v>0.025</v>
      </c>
      <c r="G5" s="58">
        <f>SUM(C5:F5)</f>
        <v>1</v>
      </c>
      <c r="H5" s="59">
        <f>(1-K5)*Assumptions_1!$D$26</f>
        <v>0</v>
      </c>
      <c r="I5" s="59">
        <f>(1-K5)*Assumptions_1!$D$27</f>
        <v>0</v>
      </c>
      <c r="J5" s="61">
        <f>(1-K5)*Assumptions_1!$D$28</f>
        <v>0.975</v>
      </c>
      <c r="K5" s="55">
        <f>Assumptions_1!$H$24</f>
        <v>0.025</v>
      </c>
      <c r="L5" s="58">
        <f>SUM(H5:K5)</f>
        <v>1</v>
      </c>
      <c r="M5" s="59">
        <f>1-(N5+O5+P5)</f>
        <v>0.8563000000000001</v>
      </c>
      <c r="N5" s="59">
        <f>Assumptions_1!$H$22*Assumptions_1!$D$30</f>
        <v>0.0993</v>
      </c>
      <c r="O5" s="57">
        <f>Assumptions_1!$H$23</f>
        <v>0.0194</v>
      </c>
      <c r="P5" s="55">
        <f>Assumptions_1!$H$24</f>
        <v>0.025</v>
      </c>
      <c r="Q5" s="58">
        <f>SUM(M5:P5)</f>
        <v>1</v>
      </c>
    </row>
    <row r="6" spans="1:17" ht="12.75">
      <c r="A6" s="106"/>
      <c r="B6" s="51" t="s">
        <v>73</v>
      </c>
      <c r="C6" s="59">
        <f>1-(D6+E6+F6)</f>
        <v>0.8563000000000001</v>
      </c>
      <c r="D6" s="59">
        <f>Assumptions_1!$H$22*Assumptions_1!$E$30</f>
        <v>0.0993</v>
      </c>
      <c r="E6" s="57">
        <f>Assumptions_1!$H$23</f>
        <v>0.0194</v>
      </c>
      <c r="F6" s="55">
        <f>Assumptions_1!$H$24</f>
        <v>0.025</v>
      </c>
      <c r="G6" s="58">
        <f>SUM(C6:F6)</f>
        <v>1</v>
      </c>
      <c r="H6" s="59">
        <f>1-(I6+J6+K6)</f>
        <v>0.8563000000000001</v>
      </c>
      <c r="I6" s="59">
        <f>Assumptions_1!$H$22*Assumptions_1!$E$30</f>
        <v>0.0993</v>
      </c>
      <c r="J6" s="57">
        <f>Assumptions_1!$H$23</f>
        <v>0.0194</v>
      </c>
      <c r="K6" s="55">
        <f>Assumptions_1!$H$24</f>
        <v>0.025</v>
      </c>
      <c r="L6" s="58">
        <f>SUM(H6:K6)</f>
        <v>1</v>
      </c>
      <c r="M6" s="59">
        <f>(1-P6)*Assumptions_1!$E$26</f>
        <v>0</v>
      </c>
      <c r="N6" s="59">
        <f>(1-P6)*Assumptions_1!$E$27</f>
        <v>0</v>
      </c>
      <c r="O6" s="61">
        <f>(1-P6)*Assumptions_1!$E$28</f>
        <v>0.975</v>
      </c>
      <c r="P6" s="55">
        <f>Assumptions_1!$H$24</f>
        <v>0.025</v>
      </c>
      <c r="Q6" s="58">
        <f>SUM(M6:P6)</f>
        <v>1</v>
      </c>
    </row>
    <row r="7" spans="1:17" ht="12.75">
      <c r="A7" s="106"/>
      <c r="B7" s="51" t="s">
        <v>74</v>
      </c>
      <c r="C7" s="59">
        <f>1-(D7+E7+F7)</f>
        <v>0.8563000000000001</v>
      </c>
      <c r="D7" s="59">
        <f>Assumptions_1!$H$22*Assumptions_1!$F$30</f>
        <v>0.0993</v>
      </c>
      <c r="E7" s="57">
        <f>Assumptions_1!$H$23</f>
        <v>0.0194</v>
      </c>
      <c r="F7" s="55">
        <f>Assumptions_1!$H$24</f>
        <v>0.025</v>
      </c>
      <c r="G7" s="58">
        <f>SUM(C7:F7)</f>
        <v>1</v>
      </c>
      <c r="H7" s="59">
        <f>1-(I7+J7+K7)</f>
        <v>0.8563000000000001</v>
      </c>
      <c r="I7" s="59">
        <f>Assumptions_1!$H$22*Assumptions_1!$F$30</f>
        <v>0.0993</v>
      </c>
      <c r="J7" s="57">
        <f>Assumptions_1!$H$23</f>
        <v>0.0194</v>
      </c>
      <c r="K7" s="55">
        <f>Assumptions_1!$H$24</f>
        <v>0.025</v>
      </c>
      <c r="L7" s="58">
        <f>SUM(H7:K7)</f>
        <v>1</v>
      </c>
      <c r="M7" s="59">
        <f>1-(N7+O7+P7)</f>
        <v>0.8563000000000001</v>
      </c>
      <c r="N7" s="59">
        <f>Assumptions_1!$H$22*Assumptions_1!$F$30</f>
        <v>0.0993</v>
      </c>
      <c r="O7" s="57">
        <f>Assumptions_1!$H$23</f>
        <v>0.0194</v>
      </c>
      <c r="P7" s="55">
        <f>Assumptions_1!$H$24</f>
        <v>0.025</v>
      </c>
      <c r="Q7" s="58">
        <f>SUM(M7:P7)</f>
        <v>1</v>
      </c>
    </row>
    <row r="8" spans="1:17" ht="12.75">
      <c r="A8" s="106"/>
      <c r="B8" s="51" t="s">
        <v>98</v>
      </c>
      <c r="C8" s="59">
        <f>1-(D8+E8+F8)</f>
        <v>0.8563000000000001</v>
      </c>
      <c r="D8" s="59">
        <f>Assumptions_1!$H$22*Assumptions_1!$G$30</f>
        <v>0.0993</v>
      </c>
      <c r="E8" s="57">
        <f>Assumptions_1!$H$23</f>
        <v>0.0194</v>
      </c>
      <c r="F8" s="55">
        <f>Assumptions_1!$H$24</f>
        <v>0.025</v>
      </c>
      <c r="G8" s="58">
        <f>SUM(C8:F8)</f>
        <v>1</v>
      </c>
      <c r="H8" s="59">
        <f>1-(I8+J8+K8)</f>
        <v>0.8563000000000001</v>
      </c>
      <c r="I8" s="59">
        <f>Assumptions_1!$H$22*Assumptions_1!$G$30</f>
        <v>0.0993</v>
      </c>
      <c r="J8" s="57">
        <f>Assumptions_1!$H$23</f>
        <v>0.0194</v>
      </c>
      <c r="K8" s="55">
        <f>Assumptions_1!$H$24</f>
        <v>0.025</v>
      </c>
      <c r="L8" s="58">
        <f>SUM(H8:K8)</f>
        <v>1</v>
      </c>
      <c r="M8" s="59">
        <f>1-(N8+O8+P8)</f>
        <v>0.8563000000000001</v>
      </c>
      <c r="N8" s="59">
        <f>Assumptions_1!$H$22*Assumptions_1!$G$30</f>
        <v>0.0993</v>
      </c>
      <c r="O8" s="57">
        <f>Assumptions_1!$H$23</f>
        <v>0.0194</v>
      </c>
      <c r="P8" s="55">
        <f>Assumptions_1!$H$24</f>
        <v>0.025</v>
      </c>
      <c r="Q8" s="58">
        <f>SUM(M8:P8)</f>
        <v>1</v>
      </c>
    </row>
    <row r="10" spans="3:12" ht="12.75">
      <c r="C10" s="109" t="s">
        <v>103</v>
      </c>
      <c r="D10" s="109"/>
      <c r="E10" s="109"/>
      <c r="F10" s="109"/>
      <c r="G10" s="109"/>
      <c r="H10" s="109" t="s">
        <v>104</v>
      </c>
      <c r="I10" s="109"/>
      <c r="J10" s="109"/>
      <c r="K10" s="109"/>
      <c r="L10" s="109"/>
    </row>
    <row r="11" spans="3:12" ht="25.5" customHeight="1">
      <c r="C11" s="50" t="s">
        <v>105</v>
      </c>
      <c r="D11" s="50" t="s">
        <v>110</v>
      </c>
      <c r="E11" s="50" t="s">
        <v>106</v>
      </c>
      <c r="F11" s="50" t="s">
        <v>107</v>
      </c>
      <c r="G11" s="50" t="s">
        <v>13</v>
      </c>
      <c r="H11" s="50" t="s">
        <v>105</v>
      </c>
      <c r="I11" s="50" t="s">
        <v>110</v>
      </c>
      <c r="J11" s="50" t="s">
        <v>106</v>
      </c>
      <c r="K11" s="50" t="s">
        <v>107</v>
      </c>
      <c r="L11" s="50" t="s">
        <v>13</v>
      </c>
    </row>
    <row r="12" spans="1:14" ht="12.75">
      <c r="A12" s="106" t="s">
        <v>100</v>
      </c>
      <c r="B12" s="51" t="s">
        <v>71</v>
      </c>
      <c r="C12" s="59">
        <f>1-(D12+E12+F12)</f>
        <v>0.8563000000000001</v>
      </c>
      <c r="D12" s="59">
        <f>Assumptions_1!$H$22*Assumptions_1!$C$30</f>
        <v>0.0993</v>
      </c>
      <c r="E12" s="57">
        <f>Assumptions_1!$H$23</f>
        <v>0.0194</v>
      </c>
      <c r="F12" s="55">
        <f>Assumptions_1!$H$24</f>
        <v>0.025</v>
      </c>
      <c r="G12" s="58">
        <f>SUM(C12:F12)</f>
        <v>1</v>
      </c>
      <c r="H12" s="57">
        <f>Assumptions_1!$H$21</f>
        <v>0.9225</v>
      </c>
      <c r="I12" s="57">
        <f>Assumptions_1!$H$22</f>
        <v>0.0331</v>
      </c>
      <c r="J12" s="57">
        <f>Assumptions_1!$H$23</f>
        <v>0.0194</v>
      </c>
      <c r="K12" s="55">
        <f>Assumptions_1!$H$24</f>
        <v>0.025</v>
      </c>
      <c r="L12" s="58">
        <f>SUM(H12:K12)</f>
        <v>1</v>
      </c>
      <c r="N12" s="10"/>
    </row>
    <row r="13" spans="1:14" ht="12.75">
      <c r="A13" s="106"/>
      <c r="B13" s="51" t="s">
        <v>72</v>
      </c>
      <c r="C13" s="59">
        <f>1-(D13+E13+F13)</f>
        <v>0.8563000000000001</v>
      </c>
      <c r="D13" s="59">
        <f>Assumptions_1!$H$22*Assumptions_1!$D$30</f>
        <v>0.0993</v>
      </c>
      <c r="E13" s="57">
        <f>Assumptions_1!$H$23</f>
        <v>0.0194</v>
      </c>
      <c r="F13" s="55">
        <f>Assumptions_1!$H$24</f>
        <v>0.025</v>
      </c>
      <c r="G13" s="58">
        <f>SUM(C13:F13)</f>
        <v>1</v>
      </c>
      <c r="H13" s="57">
        <f>Assumptions_1!$H$21</f>
        <v>0.9225</v>
      </c>
      <c r="I13" s="57">
        <f>Assumptions_1!$H$22</f>
        <v>0.0331</v>
      </c>
      <c r="J13" s="57">
        <f>Assumptions_1!$H$23</f>
        <v>0.0194</v>
      </c>
      <c r="K13" s="55">
        <f>Assumptions_1!$H$24</f>
        <v>0.025</v>
      </c>
      <c r="L13" s="58">
        <f>SUM(H13:K13)</f>
        <v>1</v>
      </c>
      <c r="N13" s="56" t="s">
        <v>141</v>
      </c>
    </row>
    <row r="14" spans="1:12" ht="12.75">
      <c r="A14" s="106"/>
      <c r="B14" s="51" t="s">
        <v>73</v>
      </c>
      <c r="C14" s="59">
        <f>1-(D14+E14+F14)</f>
        <v>0.8563000000000001</v>
      </c>
      <c r="D14" s="59">
        <f>Assumptions_1!$H$22*Assumptions_1!$E$30</f>
        <v>0.0993</v>
      </c>
      <c r="E14" s="57">
        <f>Assumptions_1!$H$23</f>
        <v>0.0194</v>
      </c>
      <c r="F14" s="55">
        <f>Assumptions_1!$H$24</f>
        <v>0.025</v>
      </c>
      <c r="G14" s="58">
        <f>SUM(C14:F14)</f>
        <v>1</v>
      </c>
      <c r="H14" s="57">
        <f>Assumptions_1!$H$21</f>
        <v>0.9225</v>
      </c>
      <c r="I14" s="57">
        <f>Assumptions_1!$H$22</f>
        <v>0.0331</v>
      </c>
      <c r="J14" s="57">
        <f>Assumptions_1!$H$23</f>
        <v>0.0194</v>
      </c>
      <c r="K14" s="55">
        <f>Assumptions_1!$H$24</f>
        <v>0.025</v>
      </c>
      <c r="L14" s="58">
        <f>SUM(H14:K14)</f>
        <v>1</v>
      </c>
    </row>
    <row r="15" spans="1:12" ht="12.75">
      <c r="A15" s="106"/>
      <c r="B15" s="51" t="s">
        <v>74</v>
      </c>
      <c r="C15" s="59">
        <f>(1-F15)*Assumptions_1!$F$26</f>
        <v>0</v>
      </c>
      <c r="D15" s="59">
        <f>(1-F15)*Assumptions_1!$F$27</f>
        <v>0</v>
      </c>
      <c r="E15" s="61">
        <f>(1-F15)*Assumptions_1!$F$28</f>
        <v>0.975</v>
      </c>
      <c r="F15" s="55">
        <f>Assumptions_1!$H$24</f>
        <v>0.025</v>
      </c>
      <c r="G15" s="58">
        <f>SUM(C15:F15)</f>
        <v>1</v>
      </c>
      <c r="H15" s="57">
        <f>Assumptions_1!$H$21</f>
        <v>0.9225</v>
      </c>
      <c r="I15" s="57">
        <f>Assumptions_1!$H$22</f>
        <v>0.0331</v>
      </c>
      <c r="J15" s="57">
        <f>Assumptions_1!$H$23</f>
        <v>0.0194</v>
      </c>
      <c r="K15" s="55">
        <f>Assumptions_1!$H$24</f>
        <v>0.025</v>
      </c>
      <c r="L15" s="58">
        <f>SUM(H15:K15)</f>
        <v>1</v>
      </c>
    </row>
    <row r="16" spans="1:12" ht="12.75">
      <c r="A16" s="106"/>
      <c r="B16" s="51" t="s">
        <v>98</v>
      </c>
      <c r="C16" s="59">
        <f>1-(D16+E16+F16)</f>
        <v>0.8563000000000001</v>
      </c>
      <c r="D16" s="59">
        <f>Assumptions_1!$H$22*Assumptions_1!$G$30</f>
        <v>0.0993</v>
      </c>
      <c r="E16" s="57">
        <f>Assumptions_1!$H$23</f>
        <v>0.0194</v>
      </c>
      <c r="F16" s="55">
        <f>Assumptions_1!$H$24</f>
        <v>0.025</v>
      </c>
      <c r="G16" s="58">
        <f>SUM(C16:F16)</f>
        <v>1</v>
      </c>
      <c r="H16" s="57">
        <f>Assumptions_1!$H$21</f>
        <v>0.9225</v>
      </c>
      <c r="I16" s="57">
        <f>Assumptions_1!$H$22</f>
        <v>0.0331</v>
      </c>
      <c r="J16" s="57">
        <f>Assumptions_1!$H$23</f>
        <v>0.0194</v>
      </c>
      <c r="K16" s="55">
        <f>Assumptions_1!$H$24</f>
        <v>0.025</v>
      </c>
      <c r="L16" s="58">
        <f>SUM(H16:K16)</f>
        <v>1</v>
      </c>
    </row>
    <row r="18" ht="12.75">
      <c r="A18" s="3" t="s">
        <v>142</v>
      </c>
    </row>
    <row r="19" spans="3:17" ht="12.75">
      <c r="C19" s="109" t="s">
        <v>99</v>
      </c>
      <c r="D19" s="109"/>
      <c r="E19" s="109"/>
      <c r="F19" s="109"/>
      <c r="G19" s="109"/>
      <c r="H19" s="109" t="s">
        <v>101</v>
      </c>
      <c r="I19" s="109"/>
      <c r="J19" s="109"/>
      <c r="K19" s="109"/>
      <c r="L19" s="109"/>
      <c r="M19" s="109" t="s">
        <v>102</v>
      </c>
      <c r="N19" s="109"/>
      <c r="O19" s="109"/>
      <c r="P19" s="109"/>
      <c r="Q19" s="109"/>
    </row>
    <row r="20" spans="3:17" ht="25.5">
      <c r="C20" s="50" t="s">
        <v>105</v>
      </c>
      <c r="D20" s="50" t="s">
        <v>110</v>
      </c>
      <c r="E20" s="50" t="s">
        <v>106</v>
      </c>
      <c r="F20" s="50" t="s">
        <v>107</v>
      </c>
      <c r="G20" s="50" t="s">
        <v>13</v>
      </c>
      <c r="H20" s="50" t="s">
        <v>105</v>
      </c>
      <c r="I20" s="50" t="s">
        <v>110</v>
      </c>
      <c r="J20" s="50" t="s">
        <v>106</v>
      </c>
      <c r="K20" s="50" t="s">
        <v>107</v>
      </c>
      <c r="L20" s="50" t="s">
        <v>13</v>
      </c>
      <c r="M20" s="50" t="s">
        <v>105</v>
      </c>
      <c r="N20" s="50" t="s">
        <v>110</v>
      </c>
      <c r="O20" s="50" t="s">
        <v>106</v>
      </c>
      <c r="P20" s="50" t="s">
        <v>107</v>
      </c>
      <c r="Q20" s="50" t="s">
        <v>13</v>
      </c>
    </row>
    <row r="21" spans="1:17" ht="12.75" customHeight="1">
      <c r="A21" s="106" t="s">
        <v>100</v>
      </c>
      <c r="B21" s="51" t="s">
        <v>71</v>
      </c>
      <c r="C21" s="64">
        <f>C4*Assumptions_2!$C47</f>
        <v>0</v>
      </c>
      <c r="D21" s="64">
        <f>D4*Assumptions_2!$C47</f>
        <v>0</v>
      </c>
      <c r="E21" s="64">
        <f>E4*Assumptions_2!$C47</f>
        <v>37882.9389788294</v>
      </c>
      <c r="F21" s="64">
        <f>F4*Assumptions_2!$C47</f>
        <v>971.3574097135743</v>
      </c>
      <c r="G21" s="65">
        <f>SUM(C21:F21)</f>
        <v>38854.29638854297</v>
      </c>
      <c r="H21" s="64">
        <f>H4*Assumptions_2!$D47</f>
        <v>6515.053802785012</v>
      </c>
      <c r="I21" s="64">
        <f>I4*Assumptions_2!$D47</f>
        <v>755.5119030906827</v>
      </c>
      <c r="J21" s="64">
        <f>J4*Assumptions_2!$D47</f>
        <v>147.6025268878071</v>
      </c>
      <c r="K21" s="64">
        <f>K4*Assumptions_2!$D47</f>
        <v>190.2094418657308</v>
      </c>
      <c r="L21" s="65">
        <f>SUM(H21:K21)</f>
        <v>7608.377674629232</v>
      </c>
      <c r="M21" s="64">
        <f>M4*Assumptions_2!$E47</f>
        <v>8686.738403713347</v>
      </c>
      <c r="N21" s="64">
        <f>N4*Assumptions_2!$E47</f>
        <v>1007.34920412091</v>
      </c>
      <c r="O21" s="64">
        <f>O4*Assumptions_2!$E47</f>
        <v>196.80336918374275</v>
      </c>
      <c r="P21" s="64">
        <f>P4*Assumptions_2!$E47</f>
        <v>253.61258915430767</v>
      </c>
      <c r="Q21" s="65">
        <f>SUM(M21:P21)</f>
        <v>10144.503566172307</v>
      </c>
    </row>
    <row r="22" spans="1:17" ht="12.75">
      <c r="A22" s="106"/>
      <c r="B22" s="51" t="s">
        <v>72</v>
      </c>
      <c r="C22" s="64">
        <f>C5*Assumptions_2!$C48</f>
        <v>4376.304065813804</v>
      </c>
      <c r="D22" s="64">
        <f>D5*Assumptions_2!$C48</f>
        <v>507.49386165515676</v>
      </c>
      <c r="E22" s="64">
        <f>E5*Assumptions_2!$C48</f>
        <v>99.14784406958753</v>
      </c>
      <c r="F22" s="64">
        <f>F5*Assumptions_2!$C48</f>
        <v>127.76784029586022</v>
      </c>
      <c r="G22" s="65">
        <f>SUM(C22:F22)</f>
        <v>5110.713611834409</v>
      </c>
      <c r="H22" s="64">
        <f>H5*Assumptions_2!$D48</f>
        <v>0</v>
      </c>
      <c r="I22" s="64">
        <f>I5*Assumptions_2!$D48</f>
        <v>0</v>
      </c>
      <c r="J22" s="64">
        <f>J5*Assumptions_2!$D48</f>
        <v>50089.663760896634</v>
      </c>
      <c r="K22" s="64">
        <f>K5*Assumptions_2!$D48</f>
        <v>1284.3503528435035</v>
      </c>
      <c r="L22" s="65">
        <f>SUM(H22:K22)</f>
        <v>51374.01411374014</v>
      </c>
      <c r="M22" s="64">
        <f>M5*Assumptions_2!$E48</f>
        <v>8752.608131627609</v>
      </c>
      <c r="N22" s="64">
        <f>N5*Assumptions_2!$E48</f>
        <v>1014.9877233103135</v>
      </c>
      <c r="O22" s="64">
        <f>O5*Assumptions_2!$E48</f>
        <v>198.29568813917507</v>
      </c>
      <c r="P22" s="64">
        <f>P5*Assumptions_2!$E48</f>
        <v>255.53568059172045</v>
      </c>
      <c r="Q22" s="65">
        <f>SUM(M22:P22)</f>
        <v>10221.427223668818</v>
      </c>
    </row>
    <row r="23" spans="1:17" ht="12.75">
      <c r="A23" s="106"/>
      <c r="B23" s="51" t="s">
        <v>73</v>
      </c>
      <c r="C23" s="64">
        <f>C6*Assumptions_2!$C49</f>
        <v>1274.5792351409489</v>
      </c>
      <c r="D23" s="64">
        <f>D6*Assumptions_2!$C49</f>
        <v>147.8053463149553</v>
      </c>
      <c r="E23" s="64">
        <f>E6*Assumptions_2!$C49</f>
        <v>28.87637178761463</v>
      </c>
      <c r="F23" s="64">
        <f>F6*Assumptions_2!$C49</f>
        <v>37.21181931393638</v>
      </c>
      <c r="G23" s="65">
        <f>SUM(C23:F23)</f>
        <v>1488.4727725574553</v>
      </c>
      <c r="H23" s="64">
        <f>H6*Assumptions_2!$D49</f>
        <v>1911.868852711423</v>
      </c>
      <c r="I23" s="64">
        <f>I6*Assumptions_2!$D49</f>
        <v>221.7080194724329</v>
      </c>
      <c r="J23" s="64">
        <f>J6*Assumptions_2!$D49</f>
        <v>43.31455768142194</v>
      </c>
      <c r="K23" s="64">
        <f>K6*Assumptions_2!$D49</f>
        <v>55.81772897090456</v>
      </c>
      <c r="L23" s="65">
        <f>SUM(H23:K23)</f>
        <v>2232.7091588361823</v>
      </c>
      <c r="M23" s="64">
        <f>M6*Assumptions_2!$E49</f>
        <v>0</v>
      </c>
      <c r="N23" s="64">
        <f>N6*Assumptions_2!$E49</f>
        <v>0</v>
      </c>
      <c r="O23" s="64">
        <f>O6*Assumptions_2!$E49</f>
        <v>30937.73349937733</v>
      </c>
      <c r="P23" s="64">
        <f>P6*Assumptions_2!$E49</f>
        <v>793.2752179327522</v>
      </c>
      <c r="Q23" s="65">
        <f>SUM(M23:P23)</f>
        <v>31731.00871731008</v>
      </c>
    </row>
    <row r="24" spans="1:17" ht="12.75">
      <c r="A24" s="106"/>
      <c r="B24" s="51" t="s">
        <v>74</v>
      </c>
      <c r="C24" s="64">
        <f>C7*Assumptions_2!$C50</f>
        <v>0</v>
      </c>
      <c r="D24" s="64">
        <f>D7*Assumptions_2!$C50</f>
        <v>0</v>
      </c>
      <c r="E24" s="64">
        <f>E7*Assumptions_2!$C50</f>
        <v>0</v>
      </c>
      <c r="F24" s="64">
        <f>F7*Assumptions_2!$C50</f>
        <v>0</v>
      </c>
      <c r="G24" s="65">
        <f>SUM(C24:F24)</f>
        <v>0</v>
      </c>
      <c r="H24" s="64">
        <f>H7*Assumptions_2!$D50</f>
        <v>0</v>
      </c>
      <c r="I24" s="64">
        <f>I7*Assumptions_2!$D50</f>
        <v>0</v>
      </c>
      <c r="J24" s="64">
        <f>J7*Assumptions_2!$D50</f>
        <v>0</v>
      </c>
      <c r="K24" s="64">
        <f>K7*Assumptions_2!$D50</f>
        <v>0</v>
      </c>
      <c r="L24" s="65">
        <f>SUM(H24:K24)</f>
        <v>0</v>
      </c>
      <c r="M24" s="64">
        <f>M7*Assumptions_2!$E50</f>
        <v>0</v>
      </c>
      <c r="N24" s="64">
        <f>N7*Assumptions_2!$E50</f>
        <v>0</v>
      </c>
      <c r="O24" s="64">
        <f>O7*Assumptions_2!$E50</f>
        <v>0</v>
      </c>
      <c r="P24" s="64">
        <f>P7*Assumptions_2!$E50</f>
        <v>0</v>
      </c>
      <c r="Q24" s="65">
        <f>SUM(M24:P24)</f>
        <v>0</v>
      </c>
    </row>
    <row r="25" spans="1:17" ht="12.75">
      <c r="A25" s="106"/>
      <c r="B25" s="51" t="s">
        <v>98</v>
      </c>
      <c r="C25" s="64">
        <f>C8*Assumptions_2!$C51</f>
        <v>61899.19481520058</v>
      </c>
      <c r="D25" s="64">
        <f>D8*Assumptions_2!$C51</f>
        <v>7178.080164836409</v>
      </c>
      <c r="E25" s="64">
        <f>E8*Assumptions_2!$C51</f>
        <v>1402.3641006830446</v>
      </c>
      <c r="F25" s="64">
        <f>F8*Assumptions_2!$C51</f>
        <v>1807.1702328389752</v>
      </c>
      <c r="G25" s="65">
        <f>SUM(C25:F25)</f>
        <v>72286.80931355902</v>
      </c>
      <c r="H25" s="64">
        <f>H8*Assumptions_2!$D51</f>
        <v>80889.29174253116</v>
      </c>
      <c r="I25" s="64">
        <f>I8*Assumptions_2!$D51</f>
        <v>9380.24835925884</v>
      </c>
      <c r="J25" s="64">
        <f>J8*Assumptions_2!$D51</f>
        <v>1832.5963561895417</v>
      </c>
      <c r="K25" s="64">
        <f>K8*Assumptions_2!$D51</f>
        <v>2361.593242512296</v>
      </c>
      <c r="L25" s="65">
        <f>SUM(H25:K25)</f>
        <v>94463.72970049185</v>
      </c>
      <c r="M25" s="64">
        <f>M8*Assumptions_2!$E51</f>
        <v>37726.55059285257</v>
      </c>
      <c r="N25" s="64">
        <f>N8*Assumptions_2!$E51</f>
        <v>4374.922893694102</v>
      </c>
      <c r="O25" s="64">
        <f>O8*Assumptions_2!$E51</f>
        <v>854.7180678516172</v>
      </c>
      <c r="P25" s="64">
        <f>P8*Assumptions_2!$E51</f>
        <v>1101.4408090871354</v>
      </c>
      <c r="Q25" s="65">
        <f>SUM(M25:P25)</f>
        <v>44057.63236348542</v>
      </c>
    </row>
    <row r="26" spans="1:17" ht="12.75">
      <c r="A26" s="106"/>
      <c r="B26" s="66" t="s">
        <v>3</v>
      </c>
      <c r="C26" s="64">
        <f aca="true" t="shared" si="0" ref="C26:Q26">SUM(C21:C25)</f>
        <v>67550.07811615533</v>
      </c>
      <c r="D26" s="64">
        <f t="shared" si="0"/>
        <v>7833.379372806521</v>
      </c>
      <c r="E26" s="64">
        <f t="shared" si="0"/>
        <v>39413.32729536964</v>
      </c>
      <c r="F26" s="64">
        <f t="shared" si="0"/>
        <v>2943.5073021623457</v>
      </c>
      <c r="G26" s="64">
        <f t="shared" si="0"/>
        <v>117740.29208649385</v>
      </c>
      <c r="H26" s="64">
        <f t="shared" si="0"/>
        <v>89316.2143980276</v>
      </c>
      <c r="I26" s="64">
        <f t="shared" si="0"/>
        <v>10357.468281821955</v>
      </c>
      <c r="J26" s="64">
        <f t="shared" si="0"/>
        <v>52113.1772016554</v>
      </c>
      <c r="K26" s="64">
        <f t="shared" si="0"/>
        <v>3891.970766192435</v>
      </c>
      <c r="L26" s="64">
        <f t="shared" si="0"/>
        <v>155678.8306476974</v>
      </c>
      <c r="M26" s="64">
        <f t="shared" si="0"/>
        <v>55165.89712819352</v>
      </c>
      <c r="N26" s="64">
        <f t="shared" si="0"/>
        <v>6397.259821125325</v>
      </c>
      <c r="O26" s="64">
        <f t="shared" si="0"/>
        <v>32187.550624551863</v>
      </c>
      <c r="P26" s="64">
        <f t="shared" si="0"/>
        <v>2403.8642967659157</v>
      </c>
      <c r="Q26" s="64">
        <f t="shared" si="0"/>
        <v>96154.57187063663</v>
      </c>
    </row>
    <row r="28" spans="3:17" ht="12.75">
      <c r="C28" s="109" t="s">
        <v>103</v>
      </c>
      <c r="D28" s="109"/>
      <c r="E28" s="109"/>
      <c r="F28" s="109"/>
      <c r="G28" s="109"/>
      <c r="H28" s="109" t="s">
        <v>104</v>
      </c>
      <c r="I28" s="109"/>
      <c r="J28" s="109"/>
      <c r="K28" s="109"/>
      <c r="L28" s="109"/>
      <c r="M28" s="109" t="s">
        <v>143</v>
      </c>
      <c r="N28" s="109"/>
      <c r="O28" s="109"/>
      <c r="P28" s="109"/>
      <c r="Q28" s="109"/>
    </row>
    <row r="29" spans="3:17" ht="25.5">
      <c r="C29" s="50" t="s">
        <v>105</v>
      </c>
      <c r="D29" s="50" t="s">
        <v>110</v>
      </c>
      <c r="E29" s="50" t="s">
        <v>106</v>
      </c>
      <c r="F29" s="50" t="s">
        <v>107</v>
      </c>
      <c r="G29" s="50" t="s">
        <v>13</v>
      </c>
      <c r="H29" s="50" t="s">
        <v>105</v>
      </c>
      <c r="I29" s="50" t="s">
        <v>110</v>
      </c>
      <c r="J29" s="50" t="s">
        <v>106</v>
      </c>
      <c r="K29" s="50" t="s">
        <v>107</v>
      </c>
      <c r="L29" s="50" t="s">
        <v>13</v>
      </c>
      <c r="M29" s="50" t="s">
        <v>105</v>
      </c>
      <c r="N29" s="50" t="s">
        <v>110</v>
      </c>
      <c r="O29" s="50" t="s">
        <v>106</v>
      </c>
      <c r="P29" s="50" t="s">
        <v>107</v>
      </c>
      <c r="Q29" s="50" t="s">
        <v>13</v>
      </c>
    </row>
    <row r="30" spans="1:17" ht="12.75" customHeight="1">
      <c r="A30" s="106" t="s">
        <v>100</v>
      </c>
      <c r="B30" s="51" t="s">
        <v>71</v>
      </c>
      <c r="C30" s="65">
        <f>C12*Assumptions_2!$F47</f>
        <v>0</v>
      </c>
      <c r="D30" s="65">
        <f>D12*Assumptions_2!$F47</f>
        <v>0</v>
      </c>
      <c r="E30" s="65">
        <f>E12*Assumptions_2!$F47</f>
        <v>0</v>
      </c>
      <c r="F30" s="65">
        <f>F12*Assumptions_2!$F47</f>
        <v>0</v>
      </c>
      <c r="G30" s="65">
        <f>SUM(C30:F30)</f>
        <v>0</v>
      </c>
      <c r="H30" s="65">
        <f>H12*Assumptions_2!$G47</f>
        <v>217580.58055020944</v>
      </c>
      <c r="I30" s="65">
        <f>I12*Assumptions_2!$G47</f>
        <v>7806.956331937054</v>
      </c>
      <c r="J30" s="65">
        <f>J12*Assumptions_2!$G47</f>
        <v>4575.67833352202</v>
      </c>
      <c r="K30" s="65">
        <f>K12*Assumptions_2!$G47</f>
        <v>5896.492697837654</v>
      </c>
      <c r="L30" s="65">
        <f>SUM(H30:K30)</f>
        <v>235859.70791350616</v>
      </c>
      <c r="M30" s="65">
        <f aca="true" t="shared" si="1" ref="M30:P34">C21+H21+M21+C30+H30</f>
        <v>232782.3727567078</v>
      </c>
      <c r="N30" s="65">
        <f t="shared" si="1"/>
        <v>9569.817439148646</v>
      </c>
      <c r="O30" s="65">
        <f t="shared" si="1"/>
        <v>42803.023208422965</v>
      </c>
      <c r="P30" s="65">
        <f t="shared" si="1"/>
        <v>7311.672138571267</v>
      </c>
      <c r="Q30" s="65">
        <f>SUM(M30:P30)</f>
        <v>292466.8855428507</v>
      </c>
    </row>
    <row r="31" spans="1:17" ht="12.75">
      <c r="A31" s="106"/>
      <c r="B31" s="51" t="s">
        <v>72</v>
      </c>
      <c r="C31" s="65">
        <f>C13*Assumptions_2!$F48</f>
        <v>0</v>
      </c>
      <c r="D31" s="65">
        <f>D13*Assumptions_2!$F48</f>
        <v>0</v>
      </c>
      <c r="E31" s="65">
        <f>E13*Assumptions_2!$F48</f>
        <v>0</v>
      </c>
      <c r="F31" s="65">
        <f>F13*Assumptions_2!$F48</f>
        <v>0</v>
      </c>
      <c r="G31" s="65">
        <f>SUM(C31:F31)</f>
        <v>0</v>
      </c>
      <c r="H31" s="65">
        <f>H13*Assumptions_2!$G48</f>
        <v>221587.76542511038</v>
      </c>
      <c r="I31" s="65">
        <f>I13*Assumptions_2!$G48</f>
        <v>7950.737165930789</v>
      </c>
      <c r="J31" s="65">
        <f>J13*Assumptions_2!$G48</f>
        <v>4659.948671270614</v>
      </c>
      <c r="K31" s="65">
        <f>K13*Assumptions_2!$G48</f>
        <v>6005.08849390543</v>
      </c>
      <c r="L31" s="65">
        <f>SUM(H31:K31)</f>
        <v>240203.53975621724</v>
      </c>
      <c r="M31" s="65">
        <f t="shared" si="1"/>
        <v>234716.6776225518</v>
      </c>
      <c r="N31" s="65">
        <f t="shared" si="1"/>
        <v>9473.21875089626</v>
      </c>
      <c r="O31" s="65">
        <f t="shared" si="1"/>
        <v>55047.055964376006</v>
      </c>
      <c r="P31" s="65">
        <f t="shared" si="1"/>
        <v>7672.742367636514</v>
      </c>
      <c r="Q31" s="65">
        <f>SUM(M31:P31)</f>
        <v>306909.69470546057</v>
      </c>
    </row>
    <row r="32" spans="1:17" ht="12.75">
      <c r="A32" s="106"/>
      <c r="B32" s="51" t="s">
        <v>73</v>
      </c>
      <c r="C32" s="65">
        <f>C14*Assumptions_2!$F49</f>
        <v>0</v>
      </c>
      <c r="D32" s="65">
        <f>D14*Assumptions_2!$F49</f>
        <v>0</v>
      </c>
      <c r="E32" s="65">
        <f>E14*Assumptions_2!$F49</f>
        <v>0</v>
      </c>
      <c r="F32" s="65">
        <f>F14*Assumptions_2!$F49</f>
        <v>0</v>
      </c>
      <c r="G32" s="65">
        <f>SUM(C32:F32)</f>
        <v>0</v>
      </c>
      <c r="H32" s="65">
        <f>H14*Assumptions_2!$G49</f>
        <v>65223.01630250199</v>
      </c>
      <c r="I32" s="65">
        <f>I14*Assumptions_2!$G49</f>
        <v>2340.2513166534586</v>
      </c>
      <c r="J32" s="65">
        <f>J14*Assumptions_2!$G49</f>
        <v>1371.627659911695</v>
      </c>
      <c r="K32" s="65">
        <f>K14*Assumptions_2!$G49</f>
        <v>1767.561417411978</v>
      </c>
      <c r="L32" s="65">
        <f>SUM(H32:K32)</f>
        <v>70702.45669647913</v>
      </c>
      <c r="M32" s="65">
        <f t="shared" si="1"/>
        <v>68409.46439035436</v>
      </c>
      <c r="N32" s="65">
        <f t="shared" si="1"/>
        <v>2709.7646824408466</v>
      </c>
      <c r="O32" s="65">
        <f t="shared" si="1"/>
        <v>32381.55208875806</v>
      </c>
      <c r="P32" s="65">
        <f t="shared" si="1"/>
        <v>2653.8661836295714</v>
      </c>
      <c r="Q32" s="65">
        <f>SUM(M32:P32)</f>
        <v>106154.64734518284</v>
      </c>
    </row>
    <row r="33" spans="1:17" ht="12.75">
      <c r="A33" s="106"/>
      <c r="B33" s="51" t="s">
        <v>74</v>
      </c>
      <c r="C33" s="65">
        <f>C15*Assumptions_2!$F50</f>
        <v>0</v>
      </c>
      <c r="D33" s="65">
        <f>D15*Assumptions_2!$F50</f>
        <v>0</v>
      </c>
      <c r="E33" s="65">
        <f>E15*Assumptions_2!$F50</f>
        <v>0</v>
      </c>
      <c r="F33" s="65">
        <f>F15*Assumptions_2!$F50</f>
        <v>0</v>
      </c>
      <c r="G33" s="65">
        <f>SUM(C33:F33)</f>
        <v>0</v>
      </c>
      <c r="H33" s="65">
        <f>H15*Assumptions_2!$G50</f>
        <v>0</v>
      </c>
      <c r="I33" s="65">
        <f>I15*Assumptions_2!$G50</f>
        <v>0</v>
      </c>
      <c r="J33" s="65">
        <f>J15*Assumptions_2!$G50</f>
        <v>0</v>
      </c>
      <c r="K33" s="65">
        <f>K15*Assumptions_2!$G50</f>
        <v>0</v>
      </c>
      <c r="L33" s="65">
        <f>SUM(H33:K33)</f>
        <v>0</v>
      </c>
      <c r="M33" s="65">
        <f t="shared" si="1"/>
        <v>0</v>
      </c>
      <c r="N33" s="65">
        <f t="shared" si="1"/>
        <v>0</v>
      </c>
      <c r="O33" s="65">
        <f t="shared" si="1"/>
        <v>0</v>
      </c>
      <c r="P33" s="65">
        <f t="shared" si="1"/>
        <v>0</v>
      </c>
      <c r="Q33" s="65">
        <f>SUM(M33:P33)</f>
        <v>0</v>
      </c>
    </row>
    <row r="34" spans="1:17" ht="12.75">
      <c r="A34" s="106"/>
      <c r="B34" s="51" t="s">
        <v>98</v>
      </c>
      <c r="C34" s="65">
        <f>C16*Assumptions_2!$F51</f>
        <v>0</v>
      </c>
      <c r="D34" s="65">
        <f>D16*Assumptions_2!$F51</f>
        <v>0</v>
      </c>
      <c r="E34" s="65">
        <f>E16*Assumptions_2!$F51</f>
        <v>0</v>
      </c>
      <c r="F34" s="65">
        <f>F16*Assumptions_2!$F51</f>
        <v>0</v>
      </c>
      <c r="G34" s="65">
        <f>SUM(C34:F34)</f>
        <v>0</v>
      </c>
      <c r="H34" s="65">
        <f>H16*Assumptions_2!$G51</f>
        <v>1257471.4249971695</v>
      </c>
      <c r="I34" s="65">
        <f>I16*Assumptions_2!$G51</f>
        <v>45119.02890775752</v>
      </c>
      <c r="J34" s="65">
        <f>J16*Assumptions_2!$G51</f>
        <v>26444.38552297571</v>
      </c>
      <c r="K34" s="65">
        <f>K16*Assumptions_2!$G51</f>
        <v>34077.81639558725</v>
      </c>
      <c r="L34" s="65">
        <f>SUM(H34:K34)</f>
        <v>1363112.6558234901</v>
      </c>
      <c r="M34" s="65">
        <f t="shared" si="1"/>
        <v>1437986.462147754</v>
      </c>
      <c r="N34" s="65">
        <f t="shared" si="1"/>
        <v>66052.28032554686</v>
      </c>
      <c r="O34" s="65">
        <f t="shared" si="1"/>
        <v>30534.064047699914</v>
      </c>
      <c r="P34" s="65">
        <f t="shared" si="1"/>
        <v>39348.02068002566</v>
      </c>
      <c r="Q34" s="65">
        <f>SUM(M34:P34)</f>
        <v>1573920.8272010265</v>
      </c>
    </row>
    <row r="35" spans="1:17" ht="12.75">
      <c r="A35" s="106"/>
      <c r="B35" s="66" t="s">
        <v>3</v>
      </c>
      <c r="C35" s="64">
        <f aca="true" t="shared" si="2" ref="C35:Q35">SUM(C30:C34)</f>
        <v>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0</v>
      </c>
      <c r="H35" s="64">
        <f t="shared" si="2"/>
        <v>1761862.7872749914</v>
      </c>
      <c r="I35" s="64">
        <f t="shared" si="2"/>
        <v>63216.973722278824</v>
      </c>
      <c r="J35" s="64">
        <f t="shared" si="2"/>
        <v>37051.64018768004</v>
      </c>
      <c r="K35" s="64">
        <f t="shared" si="2"/>
        <v>47746.95900474231</v>
      </c>
      <c r="L35" s="64">
        <f t="shared" si="2"/>
        <v>1909878.3601896926</v>
      </c>
      <c r="M35" s="65">
        <f t="shared" si="2"/>
        <v>1973894.976917368</v>
      </c>
      <c r="N35" s="65">
        <f t="shared" si="2"/>
        <v>87805.08119803261</v>
      </c>
      <c r="O35" s="65">
        <f t="shared" si="2"/>
        <v>160765.69530925696</v>
      </c>
      <c r="P35" s="65">
        <f t="shared" si="2"/>
        <v>56986.30136986301</v>
      </c>
      <c r="Q35" s="65">
        <f t="shared" si="2"/>
        <v>2279452.0547945206</v>
      </c>
    </row>
    <row r="38" spans="1:16" ht="25.5" customHeight="1">
      <c r="A38" t="s">
        <v>166</v>
      </c>
      <c r="C38" s="107" t="s">
        <v>153</v>
      </c>
      <c r="D38" s="107"/>
      <c r="E38" s="107"/>
      <c r="F38" s="108" t="s">
        <v>152</v>
      </c>
      <c r="G38" s="108"/>
      <c r="H38" s="108"/>
      <c r="I38" s="6"/>
      <c r="J38" s="13"/>
      <c r="L38" s="6"/>
      <c r="M38" s="13"/>
      <c r="O38" s="6"/>
      <c r="P38" s="13"/>
    </row>
    <row r="39" spans="3:16" ht="12.75">
      <c r="C39" s="94" t="s">
        <v>167</v>
      </c>
      <c r="D39" s="95" t="s">
        <v>10</v>
      </c>
      <c r="E39" s="91" t="s">
        <v>11</v>
      </c>
      <c r="F39" s="94" t="s">
        <v>10</v>
      </c>
      <c r="G39" s="95" t="s">
        <v>11</v>
      </c>
      <c r="H39" s="91" t="s">
        <v>13</v>
      </c>
      <c r="I39" s="6"/>
      <c r="J39" s="13"/>
      <c r="L39" s="6"/>
      <c r="M39" s="13"/>
      <c r="O39" s="6"/>
      <c r="P39" s="13"/>
    </row>
    <row r="40" spans="1:16" ht="12.75">
      <c r="A40" s="106" t="s">
        <v>100</v>
      </c>
      <c r="B40" s="92" t="s">
        <v>71</v>
      </c>
      <c r="C40" s="65">
        <f aca="true" t="shared" si="3" ref="C40:C45">M30</f>
        <v>232782.3727567078</v>
      </c>
      <c r="D40" s="64">
        <f>C40*Assumptions_1!C$43</f>
        <v>196514.8790812127</v>
      </c>
      <c r="E40" s="65">
        <f>C40-D40</f>
        <v>36267.49367549509</v>
      </c>
      <c r="F40" s="65">
        <f>D40</f>
        <v>196514.8790812127</v>
      </c>
      <c r="G40" s="64">
        <f>F40/Assumptions_1!C$44</f>
        <v>86953.48631912068</v>
      </c>
      <c r="H40" s="65">
        <f>F40+G40</f>
        <v>283468.3654003334</v>
      </c>
      <c r="I40" s="6"/>
      <c r="J40" s="13"/>
      <c r="L40" s="6"/>
      <c r="M40" s="13"/>
      <c r="O40" s="6"/>
      <c r="P40" s="13"/>
    </row>
    <row r="41" spans="1:16" ht="12.75">
      <c r="A41" s="106"/>
      <c r="B41" s="92" t="s">
        <v>72</v>
      </c>
      <c r="C41" s="65">
        <f t="shared" si="3"/>
        <v>234716.6776225518</v>
      </c>
      <c r="D41" s="64">
        <f>C41*Assumptions_1!D$43</f>
        <v>198147.81924895823</v>
      </c>
      <c r="E41" s="65">
        <f>C41-D41</f>
        <v>36568.85837359357</v>
      </c>
      <c r="F41" s="65">
        <f>D41</f>
        <v>198147.81924895823</v>
      </c>
      <c r="G41" s="64">
        <f>F41/Assumptions_1!D$44</f>
        <v>87676.0262163532</v>
      </c>
      <c r="H41" s="65">
        <f>F41+G41</f>
        <v>285823.84546531143</v>
      </c>
      <c r="I41" s="6"/>
      <c r="J41" s="13"/>
      <c r="L41" s="6"/>
      <c r="M41" s="13"/>
      <c r="O41" s="6"/>
      <c r="P41" s="13"/>
    </row>
    <row r="42" spans="1:16" ht="12.75">
      <c r="A42" s="106"/>
      <c r="B42" s="92" t="s">
        <v>73</v>
      </c>
      <c r="C42" s="65">
        <f t="shared" si="3"/>
        <v>68409.46439035436</v>
      </c>
      <c r="D42" s="64">
        <f>C42*Assumptions_1!E$43</f>
        <v>57751.269838337146</v>
      </c>
      <c r="E42" s="65">
        <f>C42-D42</f>
        <v>10658.194552017216</v>
      </c>
      <c r="F42" s="65">
        <f>D42</f>
        <v>57751.269838337146</v>
      </c>
      <c r="G42" s="64">
        <f>F42/Assumptions_1!E$44</f>
        <v>25553.659220503163</v>
      </c>
      <c r="H42" s="65">
        <f>F42+G42</f>
        <v>83304.92905884031</v>
      </c>
      <c r="I42" s="6"/>
      <c r="J42" s="13"/>
      <c r="L42" s="6"/>
      <c r="M42" s="13"/>
      <c r="O42" s="6"/>
      <c r="P42" s="13"/>
    </row>
    <row r="43" spans="1:16" ht="12.75">
      <c r="A43" s="106"/>
      <c r="B43" s="92" t="s">
        <v>74</v>
      </c>
      <c r="C43" s="65">
        <f t="shared" si="3"/>
        <v>0</v>
      </c>
      <c r="D43" s="64">
        <f>C43*Assumptions_1!F$43</f>
        <v>0</v>
      </c>
      <c r="E43" s="65">
        <f>C43-D43</f>
        <v>0</v>
      </c>
      <c r="F43" s="65">
        <f>D43</f>
        <v>0</v>
      </c>
      <c r="G43" s="64">
        <f>F43/Assumptions_1!F$44</f>
        <v>0</v>
      </c>
      <c r="H43" s="65">
        <f>F43+G43</f>
        <v>0</v>
      </c>
      <c r="I43" s="6"/>
      <c r="J43" s="13"/>
      <c r="L43" s="6"/>
      <c r="M43" s="13"/>
      <c r="O43" s="6"/>
      <c r="P43" s="13"/>
    </row>
    <row r="44" spans="1:8" ht="12.75">
      <c r="A44" s="106"/>
      <c r="B44" s="92" t="s">
        <v>98</v>
      </c>
      <c r="C44" s="65">
        <f t="shared" si="3"/>
        <v>1437986.462147754</v>
      </c>
      <c r="D44" s="64">
        <f>C44*Assumptions_1!G$43</f>
        <v>1213948.1713451338</v>
      </c>
      <c r="E44" s="65">
        <f>C44-D44</f>
        <v>224038.29080262012</v>
      </c>
      <c r="F44" s="65">
        <f>D44</f>
        <v>1213948.1713451338</v>
      </c>
      <c r="G44" s="64">
        <f>F44/Assumptions_1!G$44</f>
        <v>537145.2085597938</v>
      </c>
      <c r="H44" s="65">
        <f>F44+G44</f>
        <v>1751093.3799049277</v>
      </c>
    </row>
    <row r="45" spans="1:16" ht="12.75">
      <c r="A45" s="106"/>
      <c r="B45" s="93" t="s">
        <v>3</v>
      </c>
      <c r="C45" s="65">
        <f t="shared" si="3"/>
        <v>1973894.976917368</v>
      </c>
      <c r="D45" s="65">
        <f>SUM(D40:D44)</f>
        <v>1666362.1395136418</v>
      </c>
      <c r="E45" s="65">
        <f>SUM(E40:E44)</f>
        <v>307532.837403726</v>
      </c>
      <c r="F45" s="65">
        <f>SUM(F40:F44)</f>
        <v>1666362.1395136418</v>
      </c>
      <c r="G45" s="65">
        <f>SUM(G40:G44)</f>
        <v>737328.3803157709</v>
      </c>
      <c r="H45" s="65">
        <f>SUM(H40:H44)</f>
        <v>2403690.519829413</v>
      </c>
      <c r="P45" s="14"/>
    </row>
  </sheetData>
  <sheetProtection/>
  <mergeCells count="18">
    <mergeCell ref="M28:Q28"/>
    <mergeCell ref="C19:G19"/>
    <mergeCell ref="H19:L19"/>
    <mergeCell ref="M19:Q19"/>
    <mergeCell ref="C28:G28"/>
    <mergeCell ref="H28:L28"/>
    <mergeCell ref="M2:Q2"/>
    <mergeCell ref="A12:A16"/>
    <mergeCell ref="C10:G10"/>
    <mergeCell ref="H10:L10"/>
    <mergeCell ref="C2:G2"/>
    <mergeCell ref="A4:A8"/>
    <mergeCell ref="A40:A45"/>
    <mergeCell ref="C38:E38"/>
    <mergeCell ref="F38:H38"/>
    <mergeCell ref="H2:L2"/>
    <mergeCell ref="A21:A26"/>
    <mergeCell ref="A30:A3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C25">
      <selection activeCell="D41" sqref="D4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4" width="10.140625" style="0" bestFit="1" customWidth="1"/>
    <col min="5" max="5" width="9.57421875" style="0" customWidth="1"/>
    <col min="6" max="6" width="10.140625" style="0" bestFit="1" customWidth="1"/>
    <col min="8" max="8" width="10.140625" style="0" bestFit="1" customWidth="1"/>
    <col min="9" max="9" width="10.8515625" style="0" customWidth="1"/>
    <col min="10" max="10" width="10.00390625" style="0" customWidth="1"/>
    <col min="11" max="11" width="2.140625" style="0" customWidth="1"/>
    <col min="12" max="12" width="10.28125" style="0" customWidth="1"/>
    <col min="13" max="13" width="10.140625" style="0" bestFit="1" customWidth="1"/>
    <col min="16" max="16" width="2.28125" style="0" customWidth="1"/>
    <col min="17" max="17" width="10.140625" style="0" bestFit="1" customWidth="1"/>
  </cols>
  <sheetData>
    <row r="1" ht="12.75">
      <c r="A1" s="3" t="s">
        <v>123</v>
      </c>
    </row>
    <row r="2" spans="3:17" ht="12.75">
      <c r="C2" s="109" t="s">
        <v>99</v>
      </c>
      <c r="D2" s="109"/>
      <c r="E2" s="109"/>
      <c r="F2" s="109"/>
      <c r="G2" s="109"/>
      <c r="H2" s="109" t="s">
        <v>101</v>
      </c>
      <c r="I2" s="109"/>
      <c r="J2" s="109"/>
      <c r="K2" s="109"/>
      <c r="L2" s="109"/>
      <c r="M2" s="109" t="s">
        <v>102</v>
      </c>
      <c r="N2" s="109"/>
      <c r="O2" s="109"/>
      <c r="P2" s="109"/>
      <c r="Q2" s="109"/>
    </row>
    <row r="3" spans="3:17" ht="25.5">
      <c r="C3" s="62" t="s">
        <v>105</v>
      </c>
      <c r="D3" s="62" t="s">
        <v>110</v>
      </c>
      <c r="E3" s="62" t="s">
        <v>106</v>
      </c>
      <c r="G3" s="62" t="s">
        <v>13</v>
      </c>
      <c r="H3" s="62" t="s">
        <v>105</v>
      </c>
      <c r="I3" s="62" t="s">
        <v>110</v>
      </c>
      <c r="J3" s="62" t="s">
        <v>106</v>
      </c>
      <c r="L3" s="62" t="s">
        <v>13</v>
      </c>
      <c r="M3" s="62" t="s">
        <v>105</v>
      </c>
      <c r="N3" s="62" t="s">
        <v>110</v>
      </c>
      <c r="O3" s="62" t="s">
        <v>106</v>
      </c>
      <c r="Q3" s="62" t="s">
        <v>13</v>
      </c>
    </row>
    <row r="4" spans="1:17" ht="12.75">
      <c r="A4" s="106" t="s">
        <v>100</v>
      </c>
      <c r="B4" s="51" t="s">
        <v>71</v>
      </c>
      <c r="C4" s="59">
        <f>Assumptions_1!C37</f>
        <v>0</v>
      </c>
      <c r="D4" s="59">
        <f>Assumptions_1!$C$38</f>
        <v>0</v>
      </c>
      <c r="E4" s="61">
        <f>Assumptions_1!$C$39</f>
        <v>1</v>
      </c>
      <c r="G4" s="58">
        <f>SUM(C4:E4)</f>
        <v>1</v>
      </c>
      <c r="H4" s="59">
        <f>1-(I4+J4)</f>
        <v>0.88</v>
      </c>
      <c r="I4" s="59">
        <f>Assumptions_1!$H$33*Assumptions_1!$C$41</f>
        <v>0.09</v>
      </c>
      <c r="J4" s="57">
        <f>Assumptions_1!$H$34</f>
        <v>0.03</v>
      </c>
      <c r="L4" s="58">
        <f>SUM(H4:J4)</f>
        <v>1</v>
      </c>
      <c r="M4" s="59">
        <f>1-(N4+O4)</f>
        <v>0.88</v>
      </c>
      <c r="N4" s="59">
        <f>Assumptions_1!$H$33*Assumptions_1!$C$41</f>
        <v>0.09</v>
      </c>
      <c r="O4" s="57">
        <f>Assumptions_1!$H$34</f>
        <v>0.03</v>
      </c>
      <c r="Q4" s="58">
        <f>SUM(M4:O4)</f>
        <v>1</v>
      </c>
    </row>
    <row r="5" spans="1:17" ht="12.75">
      <c r="A5" s="106"/>
      <c r="B5" s="51" t="s">
        <v>72</v>
      </c>
      <c r="C5" s="59">
        <f>1-(D5+E5)</f>
        <v>0.88</v>
      </c>
      <c r="D5" s="59">
        <f>Assumptions_1!$H$33*Assumptions_1!$D$41</f>
        <v>0.09</v>
      </c>
      <c r="E5" s="57">
        <f>Assumptions_1!$H$34</f>
        <v>0.03</v>
      </c>
      <c r="G5" s="58">
        <f>SUM(C5:E5)</f>
        <v>1</v>
      </c>
      <c r="H5" s="59">
        <f>Assumptions_1!$C$37</f>
        <v>0</v>
      </c>
      <c r="I5" s="59">
        <f>Assumptions_1!$C$38</f>
        <v>0</v>
      </c>
      <c r="J5" s="61">
        <f>Assumptions_1!$C$39</f>
        <v>1</v>
      </c>
      <c r="L5" s="58">
        <f>SUM(H5:J5)</f>
        <v>1</v>
      </c>
      <c r="M5" s="59">
        <f>1-(N5+O5)</f>
        <v>0.88</v>
      </c>
      <c r="N5" s="59">
        <f>Assumptions_1!$H$33*Assumptions_1!$D$41</f>
        <v>0.09</v>
      </c>
      <c r="O5" s="57">
        <f>Assumptions_1!$H$34</f>
        <v>0.03</v>
      </c>
      <c r="Q5" s="58">
        <f>SUM(M5:O5)</f>
        <v>1</v>
      </c>
    </row>
    <row r="6" spans="1:17" ht="12.75">
      <c r="A6" s="106"/>
      <c r="B6" s="51" t="s">
        <v>73</v>
      </c>
      <c r="C6" s="59">
        <f>1-(D6+E6)</f>
        <v>0.88</v>
      </c>
      <c r="D6" s="59">
        <f>Assumptions_1!$H$33*Assumptions_1!$E$41</f>
        <v>0.09</v>
      </c>
      <c r="E6" s="57">
        <f>Assumptions_1!$H$34</f>
        <v>0.03</v>
      </c>
      <c r="G6" s="58">
        <f>SUM(C6:E6)</f>
        <v>1</v>
      </c>
      <c r="H6" s="59">
        <f>1-(I6+J6)</f>
        <v>0.88</v>
      </c>
      <c r="I6" s="59">
        <f>Assumptions_1!$H$33*Assumptions_1!$E$41</f>
        <v>0.09</v>
      </c>
      <c r="J6" s="57">
        <f>Assumptions_1!$H$34</f>
        <v>0.03</v>
      </c>
      <c r="L6" s="58">
        <f>SUM(H6:J6)</f>
        <v>1</v>
      </c>
      <c r="M6" s="59">
        <f>Assumptions_1!$C$37</f>
        <v>0</v>
      </c>
      <c r="N6" s="59">
        <f>Assumptions_1!$C$38</f>
        <v>0</v>
      </c>
      <c r="O6" s="61">
        <f>Assumptions_1!$C$39</f>
        <v>1</v>
      </c>
      <c r="Q6" s="58">
        <f>SUM(M6:O6)</f>
        <v>1</v>
      </c>
    </row>
    <row r="7" spans="1:17" ht="12.75">
      <c r="A7" s="106"/>
      <c r="B7" s="51" t="s">
        <v>74</v>
      </c>
      <c r="C7" s="59">
        <f>1-(D7+E7)</f>
        <v>0.88</v>
      </c>
      <c r="D7" s="59">
        <f>Assumptions_1!$H$33*Assumptions_1!$F$41</f>
        <v>0.09</v>
      </c>
      <c r="E7" s="57">
        <f>Assumptions_1!$H$34</f>
        <v>0.03</v>
      </c>
      <c r="G7" s="58">
        <f>SUM(C7:E7)</f>
        <v>1</v>
      </c>
      <c r="H7" s="59">
        <f>1-(I7+J7)</f>
        <v>0.88</v>
      </c>
      <c r="I7" s="59">
        <f>Assumptions_1!$H$33*Assumptions_1!$F$41</f>
        <v>0.09</v>
      </c>
      <c r="J7" s="57">
        <f>Assumptions_1!$H$34</f>
        <v>0.03</v>
      </c>
      <c r="L7" s="58">
        <f>SUM(H7:J7)</f>
        <v>1</v>
      </c>
      <c r="M7" s="59">
        <f>1-(N7+O7)</f>
        <v>0.88</v>
      </c>
      <c r="N7" s="59">
        <f>Assumptions_1!$H$33*Assumptions_1!$F$41</f>
        <v>0.09</v>
      </c>
      <c r="O7" s="57">
        <f>Assumptions_1!$H$34</f>
        <v>0.03</v>
      </c>
      <c r="Q7" s="58">
        <f>SUM(M7:O7)</f>
        <v>1</v>
      </c>
    </row>
    <row r="8" spans="1:17" ht="12.75">
      <c r="A8" s="106"/>
      <c r="B8" s="51" t="s">
        <v>98</v>
      </c>
      <c r="C8" s="59">
        <f>1-(D8+E8)</f>
        <v>0.91</v>
      </c>
      <c r="D8" s="59">
        <f>Assumptions_1!$H$33*Assumptions_1!$G$41</f>
        <v>0.06</v>
      </c>
      <c r="E8" s="57">
        <f>Assumptions_1!$H$34</f>
        <v>0.03</v>
      </c>
      <c r="F8" s="63"/>
      <c r="G8" s="58">
        <f>SUM(C8:E8)</f>
        <v>1</v>
      </c>
      <c r="H8" s="59">
        <f>1-(I8+J8)</f>
        <v>0.91</v>
      </c>
      <c r="I8" s="59">
        <f>Assumptions_1!$H$33*Assumptions_1!$G$41</f>
        <v>0.06</v>
      </c>
      <c r="J8" s="57">
        <f>Assumptions_1!$H$34</f>
        <v>0.03</v>
      </c>
      <c r="K8" s="63"/>
      <c r="L8" s="58">
        <f>SUM(H8:J8)</f>
        <v>1</v>
      </c>
      <c r="M8" s="59">
        <f>1-(N8+O8)</f>
        <v>0.91</v>
      </c>
      <c r="N8" s="59">
        <f>Assumptions_1!$H$33*Assumptions_1!$G$41</f>
        <v>0.06</v>
      </c>
      <c r="O8" s="57">
        <f>Assumptions_1!$H$34</f>
        <v>0.03</v>
      </c>
      <c r="P8" s="63"/>
      <c r="Q8" s="58">
        <f>SUM(M8:O8)</f>
        <v>1</v>
      </c>
    </row>
    <row r="10" spans="3:12" ht="12.75">
      <c r="C10" s="109" t="s">
        <v>103</v>
      </c>
      <c r="D10" s="109"/>
      <c r="E10" s="109"/>
      <c r="F10" s="109"/>
      <c r="G10" s="109"/>
      <c r="H10" s="109" t="s">
        <v>104</v>
      </c>
      <c r="I10" s="109"/>
      <c r="J10" s="109"/>
      <c r="K10" s="109"/>
      <c r="L10" s="109"/>
    </row>
    <row r="11" spans="3:12" ht="25.5">
      <c r="C11" s="62" t="s">
        <v>105</v>
      </c>
      <c r="D11" s="62" t="s">
        <v>110</v>
      </c>
      <c r="E11" s="62" t="s">
        <v>106</v>
      </c>
      <c r="G11" s="62" t="s">
        <v>13</v>
      </c>
      <c r="H11" s="62" t="s">
        <v>105</v>
      </c>
      <c r="I11" s="62" t="s">
        <v>110</v>
      </c>
      <c r="J11" s="62" t="s">
        <v>106</v>
      </c>
      <c r="L11" s="62" t="s">
        <v>13</v>
      </c>
    </row>
    <row r="12" spans="1:12" ht="12.75">
      <c r="A12" s="106" t="s">
        <v>100</v>
      </c>
      <c r="B12" s="51" t="s">
        <v>71</v>
      </c>
      <c r="C12" s="59">
        <f>1-(D12+E12)</f>
        <v>0.88</v>
      </c>
      <c r="D12" s="59">
        <f>Assumptions_1!$H$33*Assumptions_1!$C$41</f>
        <v>0.09</v>
      </c>
      <c r="E12" s="57">
        <f>Assumptions_1!$H$34</f>
        <v>0.03</v>
      </c>
      <c r="G12" s="58">
        <f>SUM(C12:E12)</f>
        <v>1</v>
      </c>
      <c r="H12" s="57">
        <f>Assumptions_1!$H$32</f>
        <v>0.94</v>
      </c>
      <c r="I12" s="57">
        <f>Assumptions_1!$H$33</f>
        <v>0.03</v>
      </c>
      <c r="J12" s="57">
        <f>Assumptions_1!$H$34</f>
        <v>0.03</v>
      </c>
      <c r="L12" s="58">
        <f>SUM(H12:J12)</f>
        <v>1</v>
      </c>
    </row>
    <row r="13" spans="1:12" ht="12.75">
      <c r="A13" s="106"/>
      <c r="B13" s="51" t="s">
        <v>72</v>
      </c>
      <c r="C13" s="59">
        <f>1-(D13+E13)</f>
        <v>0.88</v>
      </c>
      <c r="D13" s="59">
        <f>Assumptions_1!$H$33*Assumptions_1!$D$41</f>
        <v>0.09</v>
      </c>
      <c r="E13" s="57">
        <f>Assumptions_1!$H$34</f>
        <v>0.03</v>
      </c>
      <c r="G13" s="58">
        <f>SUM(C13:E13)</f>
        <v>1</v>
      </c>
      <c r="H13" s="57">
        <f>Assumptions_1!$H$32</f>
        <v>0.94</v>
      </c>
      <c r="I13" s="57">
        <f>Assumptions_1!$H$33</f>
        <v>0.03</v>
      </c>
      <c r="J13" s="57">
        <f>Assumptions_1!$H$34</f>
        <v>0.03</v>
      </c>
      <c r="L13" s="58">
        <f>SUM(H13:J13)</f>
        <v>1</v>
      </c>
    </row>
    <row r="14" spans="1:12" ht="12.75">
      <c r="A14" s="106"/>
      <c r="B14" s="51" t="s">
        <v>73</v>
      </c>
      <c r="C14" s="59">
        <f>1-(D14+E14)</f>
        <v>0.88</v>
      </c>
      <c r="D14" s="59">
        <f>Assumptions_1!$H$33*Assumptions_1!$E$41</f>
        <v>0.09</v>
      </c>
      <c r="E14" s="57">
        <f>Assumptions_1!$H$34</f>
        <v>0.03</v>
      </c>
      <c r="G14" s="58">
        <f>SUM(C14:E14)</f>
        <v>1</v>
      </c>
      <c r="H14" s="57">
        <f>Assumptions_1!$H$32</f>
        <v>0.94</v>
      </c>
      <c r="I14" s="57">
        <f>Assumptions_1!$H$33</f>
        <v>0.03</v>
      </c>
      <c r="J14" s="57">
        <f>Assumptions_1!$H$34</f>
        <v>0.03</v>
      </c>
      <c r="L14" s="58">
        <f>SUM(H14:J14)</f>
        <v>1</v>
      </c>
    </row>
    <row r="15" spans="1:12" ht="12.75">
      <c r="A15" s="106"/>
      <c r="B15" s="51" t="s">
        <v>74</v>
      </c>
      <c r="C15" s="59">
        <f>Assumptions_1!$C$37</f>
        <v>0</v>
      </c>
      <c r="D15" s="59">
        <f>Assumptions_1!$C$38</f>
        <v>0</v>
      </c>
      <c r="E15" s="61">
        <f>Assumptions_1!$C$39</f>
        <v>1</v>
      </c>
      <c r="G15" s="58">
        <f>SUM(C15:E15)</f>
        <v>1</v>
      </c>
      <c r="H15" s="57">
        <f>Assumptions_1!$H$32</f>
        <v>0.94</v>
      </c>
      <c r="I15" s="57">
        <f>Assumptions_1!$H$33</f>
        <v>0.03</v>
      </c>
      <c r="J15" s="57">
        <f>Assumptions_1!$H$34</f>
        <v>0.03</v>
      </c>
      <c r="L15" s="58">
        <f>SUM(H15:J15)</f>
        <v>1</v>
      </c>
    </row>
    <row r="16" spans="1:12" ht="12.75">
      <c r="A16" s="106"/>
      <c r="B16" s="51" t="s">
        <v>98</v>
      </c>
      <c r="C16" s="59">
        <f>1-(D16+E16)</f>
        <v>0.91</v>
      </c>
      <c r="D16" s="59">
        <f>Assumptions_1!$H$33*Assumptions_1!$G$41</f>
        <v>0.06</v>
      </c>
      <c r="E16" s="57">
        <f>Assumptions_1!$H$34</f>
        <v>0.03</v>
      </c>
      <c r="F16" s="63"/>
      <c r="G16" s="58">
        <f>SUM(C16:E16)</f>
        <v>1</v>
      </c>
      <c r="H16" s="57">
        <f>Assumptions_1!$H$32</f>
        <v>0.94</v>
      </c>
      <c r="I16" s="57">
        <f>Assumptions_1!$H$33</f>
        <v>0.03</v>
      </c>
      <c r="J16" s="57">
        <f>Assumptions_1!$H$34</f>
        <v>0.03</v>
      </c>
      <c r="K16" s="63"/>
      <c r="L16" s="58">
        <f>SUM(H16:J16)</f>
        <v>1</v>
      </c>
    </row>
    <row r="18" ht="12.75">
      <c r="A18" s="3" t="s">
        <v>142</v>
      </c>
    </row>
    <row r="19" spans="3:17" ht="12.75">
      <c r="C19" s="109" t="s">
        <v>99</v>
      </c>
      <c r="D19" s="109"/>
      <c r="E19" s="109"/>
      <c r="F19" s="109"/>
      <c r="G19" s="109"/>
      <c r="H19" s="109" t="s">
        <v>101</v>
      </c>
      <c r="I19" s="109"/>
      <c r="J19" s="109"/>
      <c r="K19" s="109"/>
      <c r="L19" s="109"/>
      <c r="M19" s="109" t="s">
        <v>102</v>
      </c>
      <c r="N19" s="109"/>
      <c r="O19" s="109"/>
      <c r="P19" s="109"/>
      <c r="Q19" s="109"/>
    </row>
    <row r="20" spans="3:17" ht="25.5">
      <c r="C20" s="50" t="s">
        <v>105</v>
      </c>
      <c r="D20" s="50" t="s">
        <v>110</v>
      </c>
      <c r="E20" s="50" t="s">
        <v>106</v>
      </c>
      <c r="F20" s="50"/>
      <c r="G20" s="50" t="s">
        <v>13</v>
      </c>
      <c r="H20" s="50" t="s">
        <v>105</v>
      </c>
      <c r="I20" s="50" t="s">
        <v>110</v>
      </c>
      <c r="J20" s="50" t="s">
        <v>106</v>
      </c>
      <c r="K20" s="50"/>
      <c r="L20" s="50" t="s">
        <v>13</v>
      </c>
      <c r="M20" s="50" t="s">
        <v>105</v>
      </c>
      <c r="N20" s="50" t="s">
        <v>110</v>
      </c>
      <c r="O20" s="50" t="s">
        <v>106</v>
      </c>
      <c r="P20" s="50"/>
      <c r="Q20" s="50" t="s">
        <v>13</v>
      </c>
    </row>
    <row r="21" spans="1:17" ht="12.75" customHeight="1">
      <c r="A21" s="106" t="s">
        <v>100</v>
      </c>
      <c r="B21" s="51" t="s">
        <v>71</v>
      </c>
      <c r="C21" s="64">
        <f>C4*Assumptions_2!$C$68</f>
        <v>0</v>
      </c>
      <c r="D21" s="64">
        <f>D4*Assumptions_2!$C$68</f>
        <v>0</v>
      </c>
      <c r="E21" s="64">
        <f>E4*Assumptions_2!$C$68</f>
        <v>460635.3447299898</v>
      </c>
      <c r="F21" s="64"/>
      <c r="G21" s="65">
        <f>SUM(C21:F21)</f>
        <v>460635.3447299898</v>
      </c>
      <c r="H21" s="64">
        <f>H4*Assumptions_2!$D$68</f>
        <v>18916.758156911583</v>
      </c>
      <c r="I21" s="64">
        <f>I4*Assumptions_2!$D$68</f>
        <v>1934.6684478659572</v>
      </c>
      <c r="J21" s="64">
        <f>J4*Assumptions_2!$D$68</f>
        <v>644.8894826219857</v>
      </c>
      <c r="K21" s="64"/>
      <c r="L21" s="65">
        <f>SUM(H21:K21)</f>
        <v>21496.316087399522</v>
      </c>
      <c r="M21" s="64">
        <f>M4*Assumptions_2!$E$68</f>
        <v>28375.137235367372</v>
      </c>
      <c r="N21" s="64">
        <f>N4*Assumptions_2!$E$68</f>
        <v>2902.002671798936</v>
      </c>
      <c r="O21" s="64">
        <f>O4*Assumptions_2!$E$68</f>
        <v>967.3342239329786</v>
      </c>
      <c r="P21" s="64"/>
      <c r="Q21" s="65">
        <f>SUM(M21:P21)</f>
        <v>32244.474131099287</v>
      </c>
    </row>
    <row r="22" spans="1:17" ht="12.75">
      <c r="A22" s="106"/>
      <c r="B22" s="51" t="s">
        <v>72</v>
      </c>
      <c r="C22" s="64">
        <f>C5*Assumptions_2!$C$69</f>
        <v>9925.459526774595</v>
      </c>
      <c r="D22" s="64">
        <f>D5*Assumptions_2!$C$69</f>
        <v>1015.1038152383109</v>
      </c>
      <c r="E22" s="64">
        <f>E5*Assumptions_2!$C$69</f>
        <v>338.3679384127703</v>
      </c>
      <c r="F22" s="64"/>
      <c r="G22" s="65">
        <f>SUM(C22:F22)</f>
        <v>11278.931280425677</v>
      </c>
      <c r="H22" s="64">
        <f>H5*Assumptions_2!$D$69</f>
        <v>0</v>
      </c>
      <c r="I22" s="64">
        <f>I5*Assumptions_2!$D$69</f>
        <v>0</v>
      </c>
      <c r="J22" s="64">
        <f>J5*Assumptions_2!$D$69</f>
        <v>483382.76916110044</v>
      </c>
      <c r="K22" s="64"/>
      <c r="L22" s="65">
        <f>SUM(H22:K22)</f>
        <v>483382.76916110044</v>
      </c>
      <c r="M22" s="64">
        <f>M5*Assumptions_2!$E$69</f>
        <v>29776.378580323788</v>
      </c>
      <c r="N22" s="64">
        <f>N5*Assumptions_2!$E$69</f>
        <v>3045.3114457149327</v>
      </c>
      <c r="O22" s="64">
        <f>O5*Assumptions_2!$E$69</f>
        <v>1015.1038152383109</v>
      </c>
      <c r="P22" s="64"/>
      <c r="Q22" s="65">
        <f>SUM(M22:P22)</f>
        <v>33836.79384127703</v>
      </c>
    </row>
    <row r="23" spans="1:17" ht="12.75">
      <c r="A23" s="106"/>
      <c r="B23" s="51" t="s">
        <v>73</v>
      </c>
      <c r="C23" s="64">
        <f>C6*Assumptions_2!$C$70</f>
        <v>3433.041295143213</v>
      </c>
      <c r="D23" s="64">
        <f>D6*Assumptions_2!$C$70</f>
        <v>351.10649609419227</v>
      </c>
      <c r="E23" s="64">
        <f>E6*Assumptions_2!$C$70</f>
        <v>117.03549869806407</v>
      </c>
      <c r="F23" s="64"/>
      <c r="G23" s="65">
        <f>SUM(C23:F23)</f>
        <v>3901.1832899354695</v>
      </c>
      <c r="H23" s="64">
        <f>H6*Assumptions_2!$D$70</f>
        <v>6866.082590286426</v>
      </c>
      <c r="I23" s="64">
        <f>I6*Assumptions_2!$D$70</f>
        <v>702.2129921883845</v>
      </c>
      <c r="J23" s="64">
        <f>J6*Assumptions_2!$D$70</f>
        <v>234.07099739612815</v>
      </c>
      <c r="K23" s="64"/>
      <c r="L23" s="65">
        <f>SUM(H23:K23)</f>
        <v>7802.366579870939</v>
      </c>
      <c r="M23" s="64">
        <f>M6*Assumptions_2!$E$70</f>
        <v>0</v>
      </c>
      <c r="N23" s="64">
        <f>N6*Assumptions_2!$E$70</f>
        <v>0</v>
      </c>
      <c r="O23" s="64">
        <f>O6*Assumptions_2!$E$70</f>
        <v>167193.56956866296</v>
      </c>
      <c r="P23" s="64"/>
      <c r="Q23" s="65">
        <f>SUM(M23:P23)</f>
        <v>167193.56956866296</v>
      </c>
    </row>
    <row r="24" spans="1:17" ht="12.75">
      <c r="A24" s="106"/>
      <c r="B24" s="51" t="s">
        <v>74</v>
      </c>
      <c r="C24" s="64">
        <f>C7*Assumptions_2!$C$71</f>
        <v>0</v>
      </c>
      <c r="D24" s="64">
        <f>D7*Assumptions_2!$C$71</f>
        <v>0</v>
      </c>
      <c r="E24" s="64">
        <f>E7*Assumptions_2!$C$71</f>
        <v>0</v>
      </c>
      <c r="F24" s="64"/>
      <c r="G24" s="65">
        <f>SUM(C24:F24)</f>
        <v>0</v>
      </c>
      <c r="H24" s="64">
        <f>H7*Assumptions_2!$D$71</f>
        <v>0</v>
      </c>
      <c r="I24" s="64">
        <f>I7*Assumptions_2!$D$71</f>
        <v>0</v>
      </c>
      <c r="J24" s="64">
        <f>J7*Assumptions_2!$D$71</f>
        <v>0</v>
      </c>
      <c r="K24" s="64"/>
      <c r="L24" s="65">
        <f>SUM(H24:K24)</f>
        <v>0</v>
      </c>
      <c r="M24" s="64">
        <f>M7*Assumptions_2!$E$71</f>
        <v>0</v>
      </c>
      <c r="N24" s="64">
        <f>N7*Assumptions_2!$E$71</f>
        <v>0</v>
      </c>
      <c r="O24" s="64">
        <f>O7*Assumptions_2!$E$71</f>
        <v>0</v>
      </c>
      <c r="P24" s="64"/>
      <c r="Q24" s="65">
        <f>SUM(M24:P24)</f>
        <v>0</v>
      </c>
    </row>
    <row r="25" spans="1:17" ht="12.75">
      <c r="A25" s="106"/>
      <c r="B25" s="51" t="s">
        <v>98</v>
      </c>
      <c r="C25" s="64">
        <f>C8*Assumptions_2!$C$72</f>
        <v>692016.422923129</v>
      </c>
      <c r="D25" s="64">
        <f>D8*Assumptions_2!$C$72</f>
        <v>45627.45645647005</v>
      </c>
      <c r="E25" s="64">
        <f>E8*Assumptions_2!$C$72</f>
        <v>22813.728228235024</v>
      </c>
      <c r="F25" s="64"/>
      <c r="G25" s="65">
        <f>SUM(C25:F25)</f>
        <v>760457.6076078342</v>
      </c>
      <c r="H25" s="64">
        <f>H8*Assumptions_2!$D$72</f>
        <v>1020971.1056749313</v>
      </c>
      <c r="I25" s="64">
        <f>I8*Assumptions_2!$D$72</f>
        <v>67316.77619834711</v>
      </c>
      <c r="J25" s="64">
        <f>J8*Assumptions_2!$D$72</f>
        <v>33658.38809917356</v>
      </c>
      <c r="K25" s="64"/>
      <c r="L25" s="65">
        <f>SUM(H25:K25)</f>
        <v>1121946.269972452</v>
      </c>
      <c r="M25" s="64">
        <f>M8*Assumptions_2!$E$72</f>
        <v>706476.8320615874</v>
      </c>
      <c r="N25" s="64">
        <f>N8*Assumptions_2!$E$72</f>
        <v>46580.89002603872</v>
      </c>
      <c r="O25" s="64">
        <f>O8*Assumptions_2!$E$72</f>
        <v>23290.44501301936</v>
      </c>
      <c r="P25" s="64"/>
      <c r="Q25" s="65">
        <f>SUM(M25:P25)</f>
        <v>776348.1671006455</v>
      </c>
    </row>
    <row r="26" spans="1:17" ht="12.75">
      <c r="A26" s="106"/>
      <c r="B26" s="66" t="s">
        <v>3</v>
      </c>
      <c r="C26" s="64">
        <f>SUM(C21:C25)</f>
        <v>705374.9237450468</v>
      </c>
      <c r="D26" s="64">
        <f>SUM(D21:D25)</f>
        <v>46993.666767802555</v>
      </c>
      <c r="E26" s="64">
        <f>SUM(E21:E25)</f>
        <v>483904.4763953357</v>
      </c>
      <c r="F26" s="64"/>
      <c r="G26" s="64">
        <f>SUM(G21:G25)</f>
        <v>1236273.0669081851</v>
      </c>
      <c r="H26" s="64">
        <f>SUM(H21:H25)</f>
        <v>1046753.9464221293</v>
      </c>
      <c r="I26" s="64">
        <f>SUM(I21:I25)</f>
        <v>69953.65763840146</v>
      </c>
      <c r="J26" s="64">
        <f>SUM(J21:J25)</f>
        <v>517920.1177402921</v>
      </c>
      <c r="K26" s="64"/>
      <c r="L26" s="64">
        <f>SUM(L21:L25)</f>
        <v>1634627.7218008228</v>
      </c>
      <c r="M26" s="64">
        <f>SUM(M21:M25)</f>
        <v>764628.3478772786</v>
      </c>
      <c r="N26" s="64">
        <f>SUM(N21:N25)</f>
        <v>52528.20414355259</v>
      </c>
      <c r="O26" s="64">
        <f>SUM(O21:O25)</f>
        <v>192466.4526208536</v>
      </c>
      <c r="P26" s="64"/>
      <c r="Q26" s="64">
        <f>SUM(Q21:Q25)</f>
        <v>1009623.0046416847</v>
      </c>
    </row>
    <row r="28" spans="3:17" ht="12.75">
      <c r="C28" s="109" t="s">
        <v>103</v>
      </c>
      <c r="D28" s="109"/>
      <c r="E28" s="109"/>
      <c r="F28" s="109"/>
      <c r="G28" s="109"/>
      <c r="H28" s="109" t="s">
        <v>104</v>
      </c>
      <c r="I28" s="109"/>
      <c r="J28" s="109"/>
      <c r="K28" s="109"/>
      <c r="L28" s="109"/>
      <c r="M28" s="109" t="s">
        <v>143</v>
      </c>
      <c r="N28" s="109"/>
      <c r="O28" s="109"/>
      <c r="P28" s="109"/>
      <c r="Q28" s="109"/>
    </row>
    <row r="29" spans="3:17" ht="25.5">
      <c r="C29" s="50" t="s">
        <v>105</v>
      </c>
      <c r="D29" s="50" t="s">
        <v>110</v>
      </c>
      <c r="E29" s="50" t="s">
        <v>106</v>
      </c>
      <c r="F29" s="50"/>
      <c r="G29" s="50" t="s">
        <v>13</v>
      </c>
      <c r="H29" s="50" t="s">
        <v>105</v>
      </c>
      <c r="I29" s="50" t="s">
        <v>110</v>
      </c>
      <c r="J29" s="50" t="s">
        <v>106</v>
      </c>
      <c r="K29" s="50"/>
      <c r="L29" s="50" t="s">
        <v>13</v>
      </c>
      <c r="M29" s="50" t="s">
        <v>105</v>
      </c>
      <c r="N29" s="50" t="s">
        <v>110</v>
      </c>
      <c r="O29" s="50" t="s">
        <v>106</v>
      </c>
      <c r="P29" s="50"/>
      <c r="Q29" s="50" t="s">
        <v>13</v>
      </c>
    </row>
    <row r="30" spans="1:17" ht="12.75" customHeight="1">
      <c r="A30" s="106" t="s">
        <v>100</v>
      </c>
      <c r="B30" s="51" t="s">
        <v>71</v>
      </c>
      <c r="C30" s="65">
        <f>C12*Assumptions_2!$F68</f>
        <v>0</v>
      </c>
      <c r="D30" s="65">
        <f>D12*Assumptions_2!$F68</f>
        <v>0</v>
      </c>
      <c r="E30" s="65">
        <f>E12*Assumptions_2!$F68</f>
        <v>0</v>
      </c>
      <c r="F30" s="65"/>
      <c r="G30" s="65">
        <f>SUM(C30:F30)</f>
        <v>0</v>
      </c>
      <c r="H30" s="65">
        <f>H12*Assumptions_2!$G68</f>
        <v>959810.5133023887</v>
      </c>
      <c r="I30" s="65">
        <f>I12*Assumptions_2!$G68</f>
        <v>30632.25042454432</v>
      </c>
      <c r="J30" s="65">
        <f>J12*Assumptions_2!$G68</f>
        <v>30632.25042454432</v>
      </c>
      <c r="K30" s="65"/>
      <c r="L30" s="65">
        <f>SUM(H30:K30)</f>
        <v>1021075.0141514774</v>
      </c>
      <c r="M30" s="65">
        <f>C21+H21+M21+C30+H30</f>
        <v>1007102.4086946676</v>
      </c>
      <c r="N30" s="65">
        <f aca="true" t="shared" si="0" ref="N30:O34">D21+I21+N21+D30+I30</f>
        <v>35468.92154420921</v>
      </c>
      <c r="O30" s="65">
        <f t="shared" si="0"/>
        <v>492879.8188610891</v>
      </c>
      <c r="P30" s="65"/>
      <c r="Q30" s="65">
        <f>SUM(M30:P30)</f>
        <v>1535451.149099966</v>
      </c>
    </row>
    <row r="31" spans="1:17" ht="12.75">
      <c r="A31" s="106"/>
      <c r="B31" s="51" t="s">
        <v>72</v>
      </c>
      <c r="C31" s="65">
        <f>C13*Assumptions_2!$F69</f>
        <v>0</v>
      </c>
      <c r="D31" s="65">
        <f>D13*Assumptions_2!$F69</f>
        <v>0</v>
      </c>
      <c r="E31" s="65">
        <f>E13*Assumptions_2!$F69</f>
        <v>0</v>
      </c>
      <c r="F31" s="65"/>
      <c r="G31" s="65">
        <f>SUM(C31:F31)</f>
        <v>0</v>
      </c>
      <c r="H31" s="65">
        <f>H13*Assumptions_2!$G69</f>
        <v>1017810.758745613</v>
      </c>
      <c r="I31" s="65">
        <f>I13*Assumptions_2!$G69</f>
        <v>32483.322087625947</v>
      </c>
      <c r="J31" s="65">
        <f>J13*Assumptions_2!$G69</f>
        <v>32483.322087625947</v>
      </c>
      <c r="K31" s="65"/>
      <c r="L31" s="65">
        <f>SUM(H31:K31)</f>
        <v>1082777.402920865</v>
      </c>
      <c r="M31" s="65">
        <f>C22+H22+M22+C31+H31</f>
        <v>1057512.5968527114</v>
      </c>
      <c r="N31" s="65">
        <f t="shared" si="0"/>
        <v>36543.73734857919</v>
      </c>
      <c r="O31" s="65">
        <f t="shared" si="0"/>
        <v>517219.56300237746</v>
      </c>
      <c r="P31" s="65"/>
      <c r="Q31" s="65">
        <f>SUM(M31:P31)</f>
        <v>1611275.897203668</v>
      </c>
    </row>
    <row r="32" spans="1:17" ht="12.75">
      <c r="A32" s="106"/>
      <c r="B32" s="51" t="s">
        <v>73</v>
      </c>
      <c r="C32" s="65">
        <f>C14*Assumptions_2!$F70</f>
        <v>0</v>
      </c>
      <c r="D32" s="65">
        <f>D14*Assumptions_2!$F70</f>
        <v>0</v>
      </c>
      <c r="E32" s="65">
        <f>E14*Assumptions_2!$F70</f>
        <v>0</v>
      </c>
      <c r="F32" s="65"/>
      <c r="G32" s="65">
        <f>SUM(C32:F32)</f>
        <v>0</v>
      </c>
      <c r="H32" s="65">
        <f>H14*Assumptions_2!$G70</f>
        <v>355709.8923763161</v>
      </c>
      <c r="I32" s="65">
        <f>I14*Assumptions_2!$G70</f>
        <v>11352.443373712214</v>
      </c>
      <c r="J32" s="65">
        <f>J14*Assumptions_2!$G70</f>
        <v>11352.443373712214</v>
      </c>
      <c r="K32" s="65"/>
      <c r="L32" s="65">
        <f>SUM(H32:K32)</f>
        <v>378414.77912374045</v>
      </c>
      <c r="M32" s="65">
        <f>C23+H23+M23+C32+H32</f>
        <v>366009.0162617457</v>
      </c>
      <c r="N32" s="65">
        <f t="shared" si="0"/>
        <v>12405.762861994792</v>
      </c>
      <c r="O32" s="65">
        <f t="shared" si="0"/>
        <v>178897.11943846938</v>
      </c>
      <c r="P32" s="65"/>
      <c r="Q32" s="65">
        <f>SUM(M32:P32)</f>
        <v>557311.8985622099</v>
      </c>
    </row>
    <row r="33" spans="1:17" ht="12.75">
      <c r="A33" s="106"/>
      <c r="B33" s="51" t="s">
        <v>74</v>
      </c>
      <c r="C33" s="65">
        <f>C15*Assumptions_2!$F71</f>
        <v>0</v>
      </c>
      <c r="D33" s="65">
        <f>D15*Assumptions_2!$F71</f>
        <v>0</v>
      </c>
      <c r="E33" s="65">
        <f>E15*Assumptions_2!$F71</f>
        <v>0</v>
      </c>
      <c r="F33" s="65"/>
      <c r="G33" s="65">
        <f>SUM(C33:F33)</f>
        <v>0</v>
      </c>
      <c r="H33" s="65">
        <f>H15*Assumptions_2!$G71</f>
        <v>0</v>
      </c>
      <c r="I33" s="65">
        <f>I15*Assumptions_2!$G71</f>
        <v>0</v>
      </c>
      <c r="J33" s="65">
        <f>J15*Assumptions_2!$G71</f>
        <v>0</v>
      </c>
      <c r="K33" s="65"/>
      <c r="L33" s="65">
        <f>SUM(H33:K33)</f>
        <v>0</v>
      </c>
      <c r="M33" s="65">
        <f>C24+H24+M24+C33+H33</f>
        <v>0</v>
      </c>
      <c r="N33" s="65">
        <f t="shared" si="0"/>
        <v>0</v>
      </c>
      <c r="O33" s="65">
        <f t="shared" si="0"/>
        <v>0</v>
      </c>
      <c r="P33" s="65"/>
      <c r="Q33" s="65">
        <f>SUM(M33:P33)</f>
        <v>0</v>
      </c>
    </row>
    <row r="34" spans="1:17" ht="12.75">
      <c r="A34" s="106"/>
      <c r="B34" s="51" t="s">
        <v>98</v>
      </c>
      <c r="C34" s="65">
        <f>C16*Assumptions_2!$F72</f>
        <v>0</v>
      </c>
      <c r="D34" s="65">
        <f>D16*Assumptions_2!$F72</f>
        <v>0</v>
      </c>
      <c r="E34" s="65">
        <f>E16*Assumptions_2!$F72</f>
        <v>0</v>
      </c>
      <c r="F34" s="65"/>
      <c r="G34" s="65">
        <f>SUM(C34:F34)</f>
        <v>0</v>
      </c>
      <c r="H34" s="65">
        <f>H16*Assumptions_2!$G72</f>
        <v>5268072.360236989</v>
      </c>
      <c r="I34" s="65">
        <f>I16*Assumptions_2!$G72</f>
        <v>168129.9689437337</v>
      </c>
      <c r="J34" s="65">
        <f>J16*Assumptions_2!$G72</f>
        <v>168129.9689437337</v>
      </c>
      <c r="K34" s="65"/>
      <c r="L34" s="65">
        <f>SUM(H34:K34)</f>
        <v>5604332.298124457</v>
      </c>
      <c r="M34" s="65">
        <f>C25+H25+M25+C34+H34</f>
        <v>7687536.720896637</v>
      </c>
      <c r="N34" s="65">
        <f t="shared" si="0"/>
        <v>327655.0916245896</v>
      </c>
      <c r="O34" s="65">
        <f t="shared" si="0"/>
        <v>247892.53028416162</v>
      </c>
      <c r="P34" s="65"/>
      <c r="Q34" s="65">
        <f>SUM(M34:P34)</f>
        <v>8263084.342805388</v>
      </c>
    </row>
    <row r="35" spans="1:17" ht="12.75">
      <c r="A35" s="106"/>
      <c r="B35" s="66" t="s">
        <v>3</v>
      </c>
      <c r="C35" s="64">
        <f>SUM(C30:C34)</f>
        <v>0</v>
      </c>
      <c r="D35" s="64">
        <f>SUM(D30:D34)</f>
        <v>0</v>
      </c>
      <c r="E35" s="64">
        <f>SUM(E30:E34)</f>
        <v>0</v>
      </c>
      <c r="F35" s="64"/>
      <c r="G35" s="64">
        <f>SUM(G30:G34)</f>
        <v>0</v>
      </c>
      <c r="H35" s="64">
        <f>SUM(H30:H34)</f>
        <v>7601403.524661307</v>
      </c>
      <c r="I35" s="64">
        <f>SUM(I30:I34)</f>
        <v>242597.98482961618</v>
      </c>
      <c r="J35" s="64">
        <f>SUM(J30:J34)</f>
        <v>242597.98482961618</v>
      </c>
      <c r="K35" s="64"/>
      <c r="L35" s="64">
        <f>SUM(L30:L34)</f>
        <v>8086599.49432054</v>
      </c>
      <c r="M35" s="65">
        <f>SUM(M30:M34)</f>
        <v>10118160.742705762</v>
      </c>
      <c r="N35" s="65">
        <f>SUM(N30:N34)</f>
        <v>412073.5133793728</v>
      </c>
      <c r="O35" s="65">
        <f>SUM(O30:O34)</f>
        <v>1436889.0315860976</v>
      </c>
      <c r="P35" s="65"/>
      <c r="Q35" s="65">
        <f>SUM(Q30:Q34)</f>
        <v>11967123.287671233</v>
      </c>
    </row>
    <row r="38" spans="1:8" ht="12.75">
      <c r="A38" t="s">
        <v>166</v>
      </c>
      <c r="C38" s="107" t="s">
        <v>153</v>
      </c>
      <c r="D38" s="107"/>
      <c r="E38" s="107"/>
      <c r="F38" s="108" t="s">
        <v>152</v>
      </c>
      <c r="G38" s="108"/>
      <c r="H38" s="108"/>
    </row>
    <row r="39" spans="3:8" ht="12.75">
      <c r="C39" s="94" t="s">
        <v>167</v>
      </c>
      <c r="D39" s="95" t="s">
        <v>10</v>
      </c>
      <c r="E39" s="91" t="s">
        <v>11</v>
      </c>
      <c r="F39" s="94" t="s">
        <v>10</v>
      </c>
      <c r="G39" s="95" t="s">
        <v>11</v>
      </c>
      <c r="H39" s="91" t="s">
        <v>13</v>
      </c>
    </row>
    <row r="40" spans="1:8" ht="12.75">
      <c r="A40" s="106" t="s">
        <v>100</v>
      </c>
      <c r="B40" s="92" t="s">
        <v>71</v>
      </c>
      <c r="C40" s="65">
        <f aca="true" t="shared" si="1" ref="C40:C45">M30</f>
        <v>1007102.4086946676</v>
      </c>
      <c r="D40" s="64">
        <f>C40</f>
        <v>1007102.4086946676</v>
      </c>
      <c r="E40" s="65">
        <f>C40-D40</f>
        <v>0</v>
      </c>
      <c r="F40" s="65">
        <f>D40</f>
        <v>1007102.4086946676</v>
      </c>
      <c r="G40" s="64">
        <v>0</v>
      </c>
      <c r="H40" s="65">
        <f>F40+G40</f>
        <v>1007102.4086946676</v>
      </c>
    </row>
    <row r="41" spans="1:8" ht="12.75">
      <c r="A41" s="106"/>
      <c r="B41" s="92" t="s">
        <v>72</v>
      </c>
      <c r="C41" s="65">
        <f t="shared" si="1"/>
        <v>1057512.5968527114</v>
      </c>
      <c r="D41" s="64">
        <f>C41</f>
        <v>1057512.5968527114</v>
      </c>
      <c r="E41" s="65">
        <f>C41-D41</f>
        <v>0</v>
      </c>
      <c r="F41" s="65">
        <f>D41</f>
        <v>1057512.5968527114</v>
      </c>
      <c r="G41" s="64">
        <v>0</v>
      </c>
      <c r="H41" s="65">
        <f>F41+G41</f>
        <v>1057512.5968527114</v>
      </c>
    </row>
    <row r="42" spans="1:8" ht="12.75">
      <c r="A42" s="106"/>
      <c r="B42" s="92" t="s">
        <v>73</v>
      </c>
      <c r="C42" s="65">
        <f t="shared" si="1"/>
        <v>366009.0162617457</v>
      </c>
      <c r="D42" s="64">
        <f>C42</f>
        <v>366009.0162617457</v>
      </c>
      <c r="E42" s="65">
        <f>C42-D42</f>
        <v>0</v>
      </c>
      <c r="F42" s="65">
        <f>D42</f>
        <v>366009.0162617457</v>
      </c>
      <c r="G42" s="64">
        <v>0</v>
      </c>
      <c r="H42" s="65">
        <f>F42+G42</f>
        <v>366009.0162617457</v>
      </c>
    </row>
    <row r="43" spans="1:8" ht="12.75">
      <c r="A43" s="106"/>
      <c r="B43" s="92" t="s">
        <v>74</v>
      </c>
      <c r="C43" s="65">
        <f t="shared" si="1"/>
        <v>0</v>
      </c>
      <c r="D43" s="64">
        <f>C43</f>
        <v>0</v>
      </c>
      <c r="E43" s="65">
        <f>C43-D43</f>
        <v>0</v>
      </c>
      <c r="F43" s="65">
        <f>D43</f>
        <v>0</v>
      </c>
      <c r="G43" s="64">
        <v>0</v>
      </c>
      <c r="H43" s="65">
        <f>F43+G43</f>
        <v>0</v>
      </c>
    </row>
    <row r="44" spans="1:8" ht="12.75">
      <c r="A44" s="106"/>
      <c r="B44" s="92" t="s">
        <v>98</v>
      </c>
      <c r="C44" s="65">
        <f t="shared" si="1"/>
        <v>7687536.720896637</v>
      </c>
      <c r="D44" s="64">
        <f>C44</f>
        <v>7687536.720896637</v>
      </c>
      <c r="E44" s="65">
        <f>C44-D44</f>
        <v>0</v>
      </c>
      <c r="F44" s="65">
        <f>D44</f>
        <v>7687536.720896637</v>
      </c>
      <c r="G44" s="64">
        <v>0</v>
      </c>
      <c r="H44" s="65">
        <f>F44+G44</f>
        <v>7687536.720896637</v>
      </c>
    </row>
    <row r="45" spans="1:8" ht="12.75">
      <c r="A45" s="106"/>
      <c r="B45" s="93" t="s">
        <v>3</v>
      </c>
      <c r="C45" s="65">
        <f t="shared" si="1"/>
        <v>10118160.742705762</v>
      </c>
      <c r="D45" s="65">
        <f>SUM(D40:D44)</f>
        <v>10118160.742705762</v>
      </c>
      <c r="E45" s="65">
        <f>SUM(E40:E44)</f>
        <v>0</v>
      </c>
      <c r="F45" s="65">
        <f>SUM(F40:F44)</f>
        <v>10118160.742705762</v>
      </c>
      <c r="G45" s="65">
        <f>SUM(G40:G44)</f>
        <v>0</v>
      </c>
      <c r="H45" s="65">
        <f>SUM(H40:H44)</f>
        <v>10118160.742705762</v>
      </c>
    </row>
  </sheetData>
  <sheetProtection/>
  <mergeCells count="18">
    <mergeCell ref="M28:Q28"/>
    <mergeCell ref="C2:G2"/>
    <mergeCell ref="H2:L2"/>
    <mergeCell ref="M2:Q2"/>
    <mergeCell ref="C10:G10"/>
    <mergeCell ref="H10:L10"/>
    <mergeCell ref="C19:G19"/>
    <mergeCell ref="H19:L19"/>
    <mergeCell ref="M19:Q19"/>
    <mergeCell ref="C38:E38"/>
    <mergeCell ref="F38:H38"/>
    <mergeCell ref="A40:A45"/>
    <mergeCell ref="A12:A16"/>
    <mergeCell ref="A30:A35"/>
    <mergeCell ref="A4:A8"/>
    <mergeCell ref="A21:A26"/>
    <mergeCell ref="C28:G28"/>
    <mergeCell ref="H28:L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4.57421875" style="0" bestFit="1" customWidth="1"/>
    <col min="2" max="5" width="10.140625" style="0" customWidth="1"/>
    <col min="7" max="7" width="10.140625" style="0" bestFit="1" customWidth="1"/>
    <col min="9" max="9" width="10.140625" style="0" bestFit="1" customWidth="1"/>
  </cols>
  <sheetData>
    <row r="1" spans="1:9" ht="12.75">
      <c r="A1" t="s">
        <v>96</v>
      </c>
      <c r="B1" s="105" t="s">
        <v>165</v>
      </c>
      <c r="C1" s="105"/>
      <c r="D1" s="105"/>
      <c r="E1" s="105"/>
      <c r="G1" s="105" t="s">
        <v>152</v>
      </c>
      <c r="H1" s="105"/>
      <c r="I1" s="105"/>
    </row>
    <row r="2" spans="2:9" ht="12.75">
      <c r="B2" s="67" t="s">
        <v>105</v>
      </c>
      <c r="C2" s="67" t="s">
        <v>110</v>
      </c>
      <c r="D2" s="67" t="s">
        <v>106</v>
      </c>
      <c r="E2" s="67" t="s">
        <v>13</v>
      </c>
      <c r="G2" s="81" t="s">
        <v>10</v>
      </c>
      <c r="H2" s="81" t="s">
        <v>11</v>
      </c>
      <c r="I2" s="81" t="s">
        <v>13</v>
      </c>
    </row>
    <row r="3" spans="1:9" ht="12.75">
      <c r="A3" s="91" t="s">
        <v>161</v>
      </c>
      <c r="B3" s="65">
        <f>Assumptions_2!$H$5*Assumptions_1!$H21</f>
        <v>2102794.520547945</v>
      </c>
      <c r="C3" s="65">
        <f>Assumptions_2!$H$5*Assumptions_1!$H$22</f>
        <v>75449.86301369863</v>
      </c>
      <c r="D3" s="65">
        <f>Assumptions_2!$H$5*Assumptions_1!$H$23</f>
        <v>44221.3698630137</v>
      </c>
      <c r="E3" s="65">
        <f>SUM(B3:D3)</f>
        <v>2222465.7534246575</v>
      </c>
      <c r="G3" s="65">
        <f>B3*Assumptions_1!H43</f>
        <v>1775179.1342465752</v>
      </c>
      <c r="H3" s="65">
        <f>(B3-G3)/Assumptions_1!H44</f>
        <v>144962.56031034066</v>
      </c>
      <c r="I3" s="65">
        <f>G3+H3</f>
        <v>1920141.694556916</v>
      </c>
    </row>
    <row r="4" spans="1:9" ht="12.75">
      <c r="A4" s="91" t="s">
        <v>162</v>
      </c>
      <c r="B4" s="65">
        <f>$E$4*Assumptions_1!$H$32</f>
        <v>11249095.890410958</v>
      </c>
      <c r="C4" s="65">
        <f>$E$4*Assumptions_1!$H$33</f>
        <v>359013.69863013696</v>
      </c>
      <c r="D4" s="65">
        <f>$E$4*Assumptions_1!$H$34</f>
        <v>359013.69863013696</v>
      </c>
      <c r="E4" s="65">
        <f>Assumptions_2!H8</f>
        <v>11967123.287671233</v>
      </c>
      <c r="G4" s="65">
        <f>B4</f>
        <v>11249095.890410958</v>
      </c>
      <c r="H4" s="51">
        <v>0</v>
      </c>
      <c r="I4" s="65">
        <f>G4+H4</f>
        <v>11249095.890410958</v>
      </c>
    </row>
    <row r="5" spans="1:9" ht="12.75">
      <c r="A5" s="91" t="s">
        <v>13</v>
      </c>
      <c r="B5" s="65">
        <f>B3+B4</f>
        <v>13351890.410958903</v>
      </c>
      <c r="C5" s="65">
        <f>C3+C4</f>
        <v>434463.5616438356</v>
      </c>
      <c r="D5" s="65">
        <f>D3+D4</f>
        <v>403235.06849315064</v>
      </c>
      <c r="E5" s="65">
        <f>E3+E4</f>
        <v>14189589.04109589</v>
      </c>
      <c r="G5" s="65">
        <f>G3+G4</f>
        <v>13024275.024657533</v>
      </c>
      <c r="H5" s="65">
        <f>H3+H4</f>
        <v>144962.56031034066</v>
      </c>
      <c r="I5" s="65">
        <f>I3+I4</f>
        <v>13169237.584967874</v>
      </c>
    </row>
    <row r="7" spans="1:9" ht="12.75">
      <c r="A7" t="s">
        <v>97</v>
      </c>
      <c r="B7" s="105" t="s">
        <v>165</v>
      </c>
      <c r="C7" s="105"/>
      <c r="D7" s="105"/>
      <c r="E7" s="105"/>
      <c r="G7" s="105" t="s">
        <v>152</v>
      </c>
      <c r="H7" s="105"/>
      <c r="I7" s="105"/>
    </row>
    <row r="8" spans="2:9" ht="12.75">
      <c r="B8" s="67" t="s">
        <v>105</v>
      </c>
      <c r="C8" s="67" t="s">
        <v>110</v>
      </c>
      <c r="D8" s="67" t="s">
        <v>106</v>
      </c>
      <c r="E8" s="67" t="s">
        <v>13</v>
      </c>
      <c r="G8" s="81" t="s">
        <v>10</v>
      </c>
      <c r="H8" s="81" t="s">
        <v>11</v>
      </c>
      <c r="I8" s="81" t="s">
        <v>13</v>
      </c>
    </row>
    <row r="9" spans="1:9" ht="12.75">
      <c r="A9" s="91" t="s">
        <v>161</v>
      </c>
      <c r="B9" s="65">
        <f>'Work Trips'!M35</f>
        <v>1973894.976917368</v>
      </c>
      <c r="C9" s="65">
        <f>'Work Trips'!N35</f>
        <v>87805.08119803261</v>
      </c>
      <c r="D9" s="65">
        <f>'Work Trips'!O35</f>
        <v>160765.69530925696</v>
      </c>
      <c r="E9" s="65">
        <f>SUM(B9:D9)</f>
        <v>2222465.7534246575</v>
      </c>
      <c r="G9" s="65">
        <f>B9*Assumptions_1!H43</f>
        <v>1666362.1395136418</v>
      </c>
      <c r="H9" s="65">
        <f>(B9-G9)/Assumptions_1!H44</f>
        <v>136076.47672731243</v>
      </c>
      <c r="I9" s="65">
        <f>G9+H9</f>
        <v>1802438.6162409543</v>
      </c>
    </row>
    <row r="10" spans="1:9" ht="12.75">
      <c r="A10" s="91" t="s">
        <v>162</v>
      </c>
      <c r="B10" s="65">
        <f>'Non-Work Trips'!M35</f>
        <v>10118160.742705762</v>
      </c>
      <c r="C10" s="65">
        <f>'Non-Work Trips'!N35</f>
        <v>412073.5133793728</v>
      </c>
      <c r="D10" s="65">
        <f>'Non-Work Trips'!O35</f>
        <v>1436889.0315860976</v>
      </c>
      <c r="E10" s="65">
        <f>SUM(B10:D10)</f>
        <v>11967123.287671233</v>
      </c>
      <c r="G10" s="65">
        <f>B10</f>
        <v>10118160.742705762</v>
      </c>
      <c r="H10" s="51">
        <v>0</v>
      </c>
      <c r="I10" s="65">
        <f>G10+H10</f>
        <v>10118160.742705762</v>
      </c>
    </row>
    <row r="11" spans="1:9" ht="12.75">
      <c r="A11" s="91" t="s">
        <v>13</v>
      </c>
      <c r="B11" s="65">
        <f>B9+B10</f>
        <v>12092055.71962313</v>
      </c>
      <c r="C11" s="65">
        <f>C9+C10</f>
        <v>499878.59457740537</v>
      </c>
      <c r="D11" s="65">
        <f>D9+D10</f>
        <v>1597654.7268953545</v>
      </c>
      <c r="E11" s="65">
        <f>E9+E10</f>
        <v>14189589.04109589</v>
      </c>
      <c r="G11" s="65">
        <f>G9+G10</f>
        <v>11784522.882219404</v>
      </c>
      <c r="H11" s="65">
        <f>H9+H10</f>
        <v>136076.47672731243</v>
      </c>
      <c r="I11" s="65">
        <f>I9+I10</f>
        <v>11920599.358946716</v>
      </c>
    </row>
    <row r="12" spans="1:9" ht="12.75">
      <c r="A12" s="96"/>
      <c r="B12" s="97"/>
      <c r="C12" s="97"/>
      <c r="D12" s="97"/>
      <c r="E12" s="97"/>
      <c r="G12" s="97"/>
      <c r="H12" s="97"/>
      <c r="I12" s="97"/>
    </row>
    <row r="13" ht="12.75">
      <c r="A13" t="s">
        <v>170</v>
      </c>
    </row>
    <row r="14" spans="2:9" ht="12.75">
      <c r="B14" s="105" t="s">
        <v>165</v>
      </c>
      <c r="C14" s="105"/>
      <c r="D14" s="105"/>
      <c r="E14" s="105"/>
      <c r="G14" s="105" t="s">
        <v>152</v>
      </c>
      <c r="H14" s="105"/>
      <c r="I14" s="105"/>
    </row>
    <row r="15" spans="2:9" ht="12.75">
      <c r="B15" s="67" t="s">
        <v>105</v>
      </c>
      <c r="C15" s="67" t="s">
        <v>110</v>
      </c>
      <c r="D15" s="67" t="s">
        <v>106</v>
      </c>
      <c r="E15" s="67" t="s">
        <v>13</v>
      </c>
      <c r="G15" s="81" t="s">
        <v>10</v>
      </c>
      <c r="H15" s="81" t="s">
        <v>11</v>
      </c>
      <c r="I15" s="81" t="s">
        <v>13</v>
      </c>
    </row>
    <row r="16" spans="1:9" ht="12.75">
      <c r="A16" s="91" t="s">
        <v>161</v>
      </c>
      <c r="B16" s="65">
        <f aca="true" t="shared" si="0" ref="B16:E18">B9-B3</f>
        <v>-128899.54363057716</v>
      </c>
      <c r="C16" s="65">
        <f t="shared" si="0"/>
        <v>12355.218184333979</v>
      </c>
      <c r="D16" s="65">
        <f t="shared" si="0"/>
        <v>116544.32544624325</v>
      </c>
      <c r="E16" s="65">
        <f t="shared" si="0"/>
        <v>0</v>
      </c>
      <c r="G16" s="65">
        <f aca="true" t="shared" si="1" ref="G16:I18">G9-G3</f>
        <v>-108816.99473293335</v>
      </c>
      <c r="H16" s="65">
        <f t="shared" si="1"/>
        <v>-8886.08358302823</v>
      </c>
      <c r="I16" s="65">
        <f t="shared" si="1"/>
        <v>-117703.07831596164</v>
      </c>
    </row>
    <row r="17" spans="1:9" ht="12.75">
      <c r="A17" s="91" t="s">
        <v>162</v>
      </c>
      <c r="B17" s="65">
        <f t="shared" si="0"/>
        <v>-1130935.1477051955</v>
      </c>
      <c r="C17" s="65">
        <f t="shared" si="0"/>
        <v>53059.81474923581</v>
      </c>
      <c r="D17" s="65">
        <f t="shared" si="0"/>
        <v>1077875.3329559606</v>
      </c>
      <c r="E17" s="65">
        <f t="shared" si="0"/>
        <v>0</v>
      </c>
      <c r="G17" s="65">
        <f t="shared" si="1"/>
        <v>-1130935.1477051955</v>
      </c>
      <c r="H17" s="65">
        <f t="shared" si="1"/>
        <v>0</v>
      </c>
      <c r="I17" s="65">
        <f t="shared" si="1"/>
        <v>-1130935.1477051955</v>
      </c>
    </row>
    <row r="18" spans="1:9" ht="12.75">
      <c r="A18" s="91" t="s">
        <v>13</v>
      </c>
      <c r="B18" s="65">
        <f t="shared" si="0"/>
        <v>-1259834.691335773</v>
      </c>
      <c r="C18" s="65">
        <f t="shared" si="0"/>
        <v>65415.032933569746</v>
      </c>
      <c r="D18" s="65">
        <f t="shared" si="0"/>
        <v>1194419.6584022038</v>
      </c>
      <c r="E18" s="65">
        <f t="shared" si="0"/>
        <v>0</v>
      </c>
      <c r="G18" s="65">
        <f t="shared" si="1"/>
        <v>-1239752.1424381286</v>
      </c>
      <c r="H18" s="65">
        <f t="shared" si="1"/>
        <v>-8886.08358302823</v>
      </c>
      <c r="I18" s="65">
        <f t="shared" si="1"/>
        <v>-1248638.2260211576</v>
      </c>
    </row>
    <row r="20" ht="12.75">
      <c r="A20" t="s">
        <v>171</v>
      </c>
    </row>
    <row r="21" spans="2:9" ht="12.75">
      <c r="B21" s="105" t="s">
        <v>165</v>
      </c>
      <c r="C21" s="105"/>
      <c r="D21" s="105"/>
      <c r="E21" s="105"/>
      <c r="G21" s="105" t="s">
        <v>152</v>
      </c>
      <c r="H21" s="105"/>
      <c r="I21" s="105"/>
    </row>
    <row r="22" spans="2:9" ht="12.75">
      <c r="B22" s="67" t="s">
        <v>105</v>
      </c>
      <c r="C22" s="67" t="s">
        <v>110</v>
      </c>
      <c r="D22" s="67" t="s">
        <v>106</v>
      </c>
      <c r="E22" s="67" t="s">
        <v>13</v>
      </c>
      <c r="G22" s="81" t="s">
        <v>10</v>
      </c>
      <c r="H22" s="81" t="s">
        <v>11</v>
      </c>
      <c r="I22" s="81" t="s">
        <v>13</v>
      </c>
    </row>
    <row r="23" spans="1:9" ht="12.75">
      <c r="A23" s="91" t="s">
        <v>161</v>
      </c>
      <c r="B23" s="90">
        <f aca="true" t="shared" si="2" ref="B23:E25">B16/B3</f>
        <v>-0.06129916279075551</v>
      </c>
      <c r="C23" s="90">
        <f t="shared" si="2"/>
        <v>0.16375401744719897</v>
      </c>
      <c r="D23" s="90">
        <f t="shared" si="2"/>
        <v>2.63547524211184</v>
      </c>
      <c r="E23" s="90">
        <f t="shared" si="2"/>
        <v>0</v>
      </c>
      <c r="G23" s="90">
        <f>G16/G3</f>
        <v>-0.06129916279075557</v>
      </c>
      <c r="H23" s="90">
        <f>H16/H3</f>
        <v>-0.061299162790755125</v>
      </c>
      <c r="I23" s="90">
        <f>I16/I3</f>
        <v>-0.06129916279075557</v>
      </c>
    </row>
    <row r="24" spans="1:9" ht="12.75">
      <c r="A24" s="91" t="s">
        <v>162</v>
      </c>
      <c r="B24" s="90">
        <f t="shared" si="2"/>
        <v>-0.10053564826211821</v>
      </c>
      <c r="C24" s="90">
        <f t="shared" si="2"/>
        <v>0.14779328741965103</v>
      </c>
      <c r="D24" s="90">
        <f t="shared" si="2"/>
        <v>3.0023236914600555</v>
      </c>
      <c r="E24" s="90">
        <f t="shared" si="2"/>
        <v>0</v>
      </c>
      <c r="G24" s="90">
        <f>G17/G4</f>
        <v>-0.10053564826211821</v>
      </c>
      <c r="H24" s="90"/>
      <c r="I24" s="90">
        <f>I17/I4</f>
        <v>-0.10053564826211821</v>
      </c>
    </row>
    <row r="25" spans="1:9" ht="12.75">
      <c r="A25" s="91" t="s">
        <v>13</v>
      </c>
      <c r="B25" s="90">
        <f t="shared" si="2"/>
        <v>-0.0943562785912122</v>
      </c>
      <c r="C25" s="90">
        <f t="shared" si="2"/>
        <v>0.15056506162695332</v>
      </c>
      <c r="D25" s="90">
        <f t="shared" si="2"/>
        <v>2.962092713973592</v>
      </c>
      <c r="E25" s="90">
        <f t="shared" si="2"/>
        <v>0</v>
      </c>
      <c r="G25" s="90">
        <f>G18/G5</f>
        <v>-0.0951878043185538</v>
      </c>
      <c r="H25" s="90">
        <f>H18/H5</f>
        <v>-0.061299162790755125</v>
      </c>
      <c r="I25" s="90">
        <f>I18/I5</f>
        <v>-0.09481476949329437</v>
      </c>
    </row>
  </sheetData>
  <sheetProtection/>
  <mergeCells count="8">
    <mergeCell ref="B21:E21"/>
    <mergeCell ref="G21:I21"/>
    <mergeCell ref="B7:E7"/>
    <mergeCell ref="G1:I1"/>
    <mergeCell ref="G7:I7"/>
    <mergeCell ref="B14:E14"/>
    <mergeCell ref="G14:I14"/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</dc:creator>
  <cp:keywords/>
  <dc:description/>
  <cp:lastModifiedBy>leitenbacher</cp:lastModifiedBy>
  <cp:lastPrinted>2007-11-16T21:30:41Z</cp:lastPrinted>
  <dcterms:created xsi:type="dcterms:W3CDTF">2007-11-15T21:14:13Z</dcterms:created>
  <dcterms:modified xsi:type="dcterms:W3CDTF">2011-05-11T19:08:47Z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2001989664</vt:i4>
  </property>
  <property fmtid="{D5CDD505-2E9C-101B-9397-08002B2CF9AE}" pid="3" name="_EmailSubject">
    <vt:lpwstr>Matrix</vt:lpwstr>
  </property>
  <property fmtid="{D5CDD505-2E9C-101B-9397-08002B2CF9AE}" pid="4" name="_AuthorEmail">
    <vt:lpwstr>Meredith.Dang@h-gac.com</vt:lpwstr>
  </property>
  <property fmtid="{D5CDD505-2E9C-101B-9397-08002B2CF9AE}" pid="5" name="_AuthorEmailDisplayName">
    <vt:lpwstr>Dang, Meredith</vt:lpwstr>
  </property>
  <property fmtid="{D5CDD505-2E9C-101B-9397-08002B2CF9AE}" pid="6" name="_ReviewingToolsShownOnce">
    <vt:lpwstr/>
  </property>
</Properties>
</file>