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7_HW_SH288/"/>
    </mc:Choice>
  </mc:AlternateContent>
  <xr:revisionPtr revIDLastSave="0" documentId="10_ncr:100000_{7B8AB802-8CEC-497C-BCA0-7E930B0C5DB3}"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O10" i="12" s="1"/>
  <c r="B10" i="12"/>
  <c r="O34"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s="1"/>
  <c r="B14" i="12"/>
  <c r="B13" i="12"/>
  <c r="I24" i="9"/>
  <c r="H24" i="9"/>
  <c r="G24" i="9"/>
  <c r="F24" i="9"/>
  <c r="E24" i="9"/>
  <c r="D24" i="9"/>
  <c r="S4" i="12"/>
  <c r="O15" i="12"/>
  <c r="O33" i="12"/>
  <c r="O35" i="12"/>
  <c r="O32" i="12"/>
  <c r="O36" i="12"/>
  <c r="O24" i="12"/>
  <c r="O17" i="12"/>
  <c r="O28" i="12"/>
  <c r="O20" i="12"/>
  <c r="O21" i="12"/>
  <c r="O27" i="12"/>
  <c r="O25" i="12"/>
  <c r="O26" i="12"/>
  <c r="O18" i="12"/>
  <c r="O12" i="12"/>
  <c r="O23"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B15" i="12" l="1"/>
  <c r="B17" i="12"/>
  <c r="O14" i="12"/>
  <c r="O16" i="12"/>
  <c r="O30" i="12"/>
  <c r="O22" i="12"/>
  <c r="O13" i="12"/>
  <c r="O31" i="12"/>
  <c r="B16" i="12"/>
  <c r="O19" i="12"/>
  <c r="O29" i="12"/>
  <c r="P5" i="12"/>
  <c r="Q5" i="12" s="1"/>
  <c r="O7" i="12"/>
  <c r="O5" i="12"/>
  <c r="O6" i="12"/>
  <c r="O9" i="12"/>
  <c r="Q4" i="12"/>
  <c r="O11" i="12"/>
  <c r="O8" i="12"/>
  <c r="P6" i="12" l="1"/>
  <c r="Q6" i="12" s="1"/>
  <c r="R5" i="12"/>
  <c r="T5" i="12" s="1"/>
  <c r="U5" i="12" s="1"/>
  <c r="N5" i="12"/>
  <c r="N6" i="12" s="1"/>
  <c r="N7" i="12" s="1"/>
  <c r="N8" i="12" s="1"/>
  <c r="N9" i="12" s="1"/>
  <c r="R6" i="12" l="1"/>
  <c r="T6" i="12" s="1"/>
  <c r="U6" i="12" s="1"/>
  <c r="P7" i="12"/>
  <c r="Q7" i="12" s="1"/>
  <c r="R7" i="12" s="1"/>
  <c r="N10" i="12"/>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P8" i="12" l="1"/>
  <c r="Q8" i="12" s="1"/>
  <c r="R8" i="12" s="1"/>
  <c r="T8" i="12" s="1"/>
  <c r="U8" i="12" s="1"/>
  <c r="P9" i="12"/>
  <c r="E18" i="12"/>
  <c r="E26" i="12" s="1"/>
  <c r="E19" i="12"/>
  <c r="F26" i="12" s="1"/>
  <c r="E17" i="12"/>
  <c r="D26" i="12" s="1"/>
  <c r="E20" i="12"/>
  <c r="G26" i="12" s="1"/>
  <c r="E21" i="12"/>
  <c r="H26" i="12" s="1"/>
  <c r="E22" i="12"/>
  <c r="I26" i="12" s="1"/>
  <c r="T7" i="12"/>
  <c r="U7" i="12" s="1"/>
  <c r="P10" i="12" l="1"/>
  <c r="Q9" i="12"/>
  <c r="I28" i="12"/>
  <c r="I27" i="12"/>
  <c r="I30" i="12"/>
  <c r="I29" i="12"/>
  <c r="I33" i="12"/>
  <c r="I31" i="12"/>
  <c r="I32" i="12"/>
  <c r="E29" i="12"/>
  <c r="E30" i="12"/>
  <c r="E27" i="12"/>
  <c r="E31" i="12"/>
  <c r="E28" i="12"/>
  <c r="E33" i="12"/>
  <c r="E32" i="12"/>
  <c r="H28" i="12"/>
  <c r="H31" i="12"/>
  <c r="H32" i="12"/>
  <c r="H30" i="12"/>
  <c r="H29" i="12"/>
  <c r="H33" i="12"/>
  <c r="H27" i="12"/>
  <c r="G27" i="12"/>
  <c r="G29" i="12"/>
  <c r="G31" i="12"/>
  <c r="G28" i="12"/>
  <c r="G32" i="12"/>
  <c r="G33" i="12"/>
  <c r="G30" i="12"/>
  <c r="D31" i="12"/>
  <c r="D29" i="12"/>
  <c r="D30" i="12"/>
  <c r="D28" i="12"/>
  <c r="D32" i="12"/>
  <c r="D33" i="12"/>
  <c r="D27" i="12"/>
  <c r="F33" i="12"/>
  <c r="F27" i="12"/>
  <c r="F30" i="12"/>
  <c r="F29" i="12"/>
  <c r="F31" i="12"/>
  <c r="F32" i="12"/>
  <c r="F28" i="12"/>
  <c r="J30" i="12" l="1"/>
  <c r="J29" i="12"/>
  <c r="J31" i="12"/>
  <c r="J27" i="12"/>
  <c r="J33" i="12"/>
  <c r="J32" i="12"/>
  <c r="J28" i="12"/>
  <c r="P11" i="12"/>
  <c r="Q10" i="12"/>
  <c r="Q11" i="12" l="1"/>
  <c r="P12" i="12"/>
  <c r="J5" i="12"/>
  <c r="R9" i="12" s="1"/>
  <c r="R10" i="12" l="1"/>
  <c r="T9" i="12"/>
  <c r="U9" i="12" s="1"/>
  <c r="P13" i="12"/>
  <c r="Q12" i="12"/>
  <c r="R11" i="12" l="1"/>
  <c r="T10" i="12"/>
  <c r="U10" i="12" s="1"/>
  <c r="P14" i="12"/>
  <c r="Q13" i="12"/>
  <c r="R12" i="12" l="1"/>
  <c r="T11" i="12"/>
  <c r="U11" i="12" s="1"/>
  <c r="Q14" i="12"/>
  <c r="P15" i="12"/>
  <c r="T12" i="12" l="1"/>
  <c r="U12" i="12" s="1"/>
  <c r="R13" i="12"/>
  <c r="P16" i="12"/>
  <c r="Q15" i="12"/>
  <c r="P17" i="12" l="1"/>
  <c r="Q16" i="12"/>
  <c r="T13" i="12"/>
  <c r="U13" i="12" s="1"/>
  <c r="R14" i="12"/>
  <c r="T14" i="12" l="1"/>
  <c r="U14" i="12" s="1"/>
  <c r="R15" i="12"/>
  <c r="Q17" i="12"/>
  <c r="P18" i="12"/>
  <c r="Q18" i="12" l="1"/>
  <c r="P19" i="12"/>
  <c r="T15" i="12"/>
  <c r="U15" i="12" s="1"/>
  <c r="R16" i="12"/>
  <c r="R17" i="12" l="1"/>
  <c r="T16" i="12"/>
  <c r="U16" i="12" s="1"/>
  <c r="P20" i="12"/>
  <c r="Q19" i="12"/>
  <c r="P21" i="12" l="1"/>
  <c r="Q20" i="12"/>
  <c r="T17" i="12"/>
  <c r="U17" i="12" s="1"/>
  <c r="R18" i="12"/>
  <c r="T18" i="12" l="1"/>
  <c r="U18" i="12" s="1"/>
  <c r="R19" i="12"/>
  <c r="P22" i="12"/>
  <c r="Q21" i="12"/>
  <c r="P23" i="12" l="1"/>
  <c r="Q22" i="12"/>
  <c r="R20" i="12"/>
  <c r="T19" i="12"/>
  <c r="U19" i="12" s="1"/>
  <c r="T20" i="12" l="1"/>
  <c r="U20" i="12" s="1"/>
  <c r="R21" i="12"/>
  <c r="P24" i="12"/>
  <c r="Q23" i="12"/>
  <c r="T21" i="12" l="1"/>
  <c r="U21" i="12" s="1"/>
  <c r="R22" i="12"/>
  <c r="P25" i="12"/>
  <c r="Q24" i="12"/>
  <c r="T22" i="12" l="1"/>
  <c r="U22" i="12" s="1"/>
  <c r="R23" i="12"/>
  <c r="P26" i="12"/>
  <c r="Q25" i="12"/>
  <c r="Q26" i="12" l="1"/>
  <c r="P27" i="12"/>
  <c r="T23" i="12"/>
  <c r="U23" i="12" s="1"/>
  <c r="R24" i="12"/>
  <c r="T24" i="12" l="1"/>
  <c r="U24" i="12" s="1"/>
  <c r="R25" i="12"/>
  <c r="Q27" i="12"/>
  <c r="P28" i="12"/>
  <c r="P29" i="12" l="1"/>
  <c r="Q28" i="12"/>
  <c r="R26" i="12"/>
  <c r="T25" i="12"/>
  <c r="U25" i="12" s="1"/>
  <c r="T26" i="12" l="1"/>
  <c r="U26" i="12" s="1"/>
  <c r="R27" i="12"/>
  <c r="Q29" i="12"/>
  <c r="P30" i="12"/>
  <c r="Q30" i="12" l="1"/>
  <c r="P31" i="12"/>
  <c r="T27" i="12"/>
  <c r="U27" i="12" s="1"/>
  <c r="R28" i="12"/>
  <c r="R29" i="12" l="1"/>
  <c r="T28" i="12"/>
  <c r="U28" i="12" s="1"/>
  <c r="Q31" i="12"/>
  <c r="P32" i="12"/>
  <c r="Q32" i="12" l="1"/>
  <c r="P33" i="12"/>
  <c r="T29" i="12"/>
  <c r="U29" i="12" s="1"/>
  <c r="R30" i="12"/>
  <c r="T30" i="12" l="1"/>
  <c r="U30" i="12" s="1"/>
  <c r="R31" i="12"/>
  <c r="P34" i="12"/>
  <c r="Q33" i="12"/>
  <c r="Q34" i="12" l="1"/>
  <c r="P35" i="12"/>
  <c r="T31" i="12"/>
  <c r="U31" i="12" s="1"/>
  <c r="R32" i="12"/>
  <c r="T32" i="12" l="1"/>
  <c r="U32" i="12" s="1"/>
  <c r="R33" i="12"/>
  <c r="P36" i="12"/>
  <c r="Q36" i="12" s="1"/>
  <c r="Q35" i="12"/>
  <c r="T33" i="12" l="1"/>
  <c r="U33" i="12" s="1"/>
  <c r="R34" i="12"/>
  <c r="T34" i="12" l="1"/>
  <c r="U34" i="12" s="1"/>
  <c r="R35" i="12"/>
  <c r="T35" i="12" l="1"/>
  <c r="U35" i="12" s="1"/>
  <c r="R36" i="12"/>
  <c r="T36" i="12" s="1"/>
  <c r="U36" i="12" s="1"/>
  <c r="U37" i="12" l="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<sst xmlns="http://schemas.openxmlformats.org/spreadsheetml/2006/main" count="441" uniqueCount="286">
  <si>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</si>
  <si>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</si>
  <si>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</si>
  <si>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</si>
  <si>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</si>
  <si>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</si>
  <si>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</si>
  <si>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</si>
  <si>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</si>
  <si>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</si>
  <si>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</si>
  <si>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</si>
  <si>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</si>
  <si>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</si>
  <si>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</si>
  <si>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</si>
  <si>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</si>
  <si>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</si>
  <si>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</si>
  <si>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</si>
  <si>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</si>
  <si>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</si>
  <si>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</si>
  <si>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</si>
  <si>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</si>
  <si>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</si>
  <si>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</si>
  <si>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</si>
  <si>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</si>
  <si>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</si>
  <si>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</si>
  <si>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</si>
  <si>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</si>
  <si>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</si>
  <si>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</si>
  <si>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</si>
  <si>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</si>
  <si>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</si>
  <si>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</si>
  <si>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</si>
  <si>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</si>
  <si>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</si>
  <si>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</si>
  <si>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</si>
  <si>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</si>
  <si>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</si>
  <si>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</si>
  <si>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</si>
  <si>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288/CR 48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</si>
  <si>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</si>
  <si>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</si>
  <si>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</si>
  <si>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</si>
  <si>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</si>
  <si>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</si>
  <si>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</si>
  <si>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</si>
  <si>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</si>
  <si>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</si>
  <si>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CR 48</t>
  </si>
  <si>
    <t>Benefits calculated by the template</t>
  </si>
  <si>
    <t>Limits (To)</t>
  </si>
  <si>
    <t>.</t>
  </si>
  <si>
    <t>Length (in Miles)</t>
  </si>
  <si>
    <t>Application ID Number:</t>
  </si>
  <si>
    <t>Sponsor ID Number (CSJ, etc.):</t>
  </si>
  <si>
    <t>0598-02-112</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</si>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</sst>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4" zoomScaleNormal="100" workbookViewId="0">
      <selection activeCell="F30" sqref="F30"/>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1.92</v>
      </c>
      <c r="D12" s="80"/>
      <c r="N12" s="133"/>
      <c r="O12" s="133"/>
      <c r="P12" s="133"/>
      <c r="Q12" s="133"/>
      <c r="R12" s="133"/>
      <c r="S12" s="133"/>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2023</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69291</v>
      </c>
      <c r="D25" s="83"/>
      <c r="I25" s="42"/>
    </row>
    <row r="26" spans="2:13" x14ac:dyDescent="0.25">
      <c r="I26" s="42"/>
    </row>
    <row r="27" spans="2:13" x14ac:dyDescent="0.25">
      <c r="B27" s="74" t="s">
        <v>76</v>
      </c>
      <c r="C27" s="75">
        <v>32152</v>
      </c>
      <c r="D27" s="83"/>
      <c r="I27" s="42"/>
    </row>
    <row r="28" spans="2:13" x14ac:dyDescent="0.25">
      <c r="B28" s="74" t="s">
        <v>77</v>
      </c>
      <c r="C28" s="75">
        <v>60186</v>
      </c>
      <c r="D28" s="83"/>
      <c r="I28" s="42"/>
    </row>
    <row r="29" spans="2:13" x14ac:dyDescent="0.25">
      <c r="B29" s="74" t="s">
        <v>78</v>
      </c>
      <c r="C29" s="76">
        <v>46203</v>
      </c>
      <c r="D29" s="59"/>
      <c r="I29" s="42"/>
    </row>
    <row r="30" spans="2:13" x14ac:dyDescent="0.25">
      <c r="B30" s="74" t="s">
        <v>79</v>
      </c>
      <c r="C30" s="76">
        <v>60186</v>
      </c>
      <c r="D30" s="59"/>
      <c r="I30" s="42"/>
    </row>
    <row r="31" spans="2:13" x14ac:dyDescent="0.25">
      <c r="B31" s="74" t="s">
        <v>80</v>
      </c>
      <c r="C31" s="75">
        <v>57549</v>
      </c>
      <c r="D31" s="83"/>
      <c r="H31" s="60"/>
    </row>
    <row r="32" spans="2:13" x14ac:dyDescent="0.25">
      <c r="B32" s="74" t="s">
        <v>81</v>
      </c>
      <c r="C32" s="75">
        <v>60186</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171304.17190192008</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89773.842963242481</v>
      </c>
      <c r="G4" s="136" t="s">
        <v>95</v>
      </c>
      <c r="H4" s="136"/>
      <c r="I4" s="136"/>
      <c r="J4" s="136"/>
      <c r="L4" s="107"/>
      <c r="M4" s="108">
        <v>2018</v>
      </c>
      <c r="N4" s="109">
        <f>_2018_Volume_ADT</f>
        <v>69291</v>
      </c>
      <c r="O4" s="110" t="s">
        <v>96</v>
      </c>
      <c r="P4" s="111">
        <f>MIN(B12,1)</f>
        <v>0.53421061376399825</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172365.77848942555</v>
      </c>
      <c r="G5" s="137" t="s">
        <v>99</v>
      </c>
      <c r="H5" s="137"/>
      <c r="I5" s="137"/>
      <c r="J5" s="112">
        <f>SUMPRODUCT(Possible_Crash_Reductions,'Value of Statistical Life'!E5:E11)</f>
        <v>15465629.432414461</v>
      </c>
      <c r="L5" s="107"/>
      <c r="M5" s="11">
        <f t="shared" ref="M5:M36" si="1">M4+1</f>
        <v>2019</v>
      </c>
      <c r="N5" s="113">
        <f>N4+(N4*O5)</f>
        <v>72974.550164108601</v>
      </c>
      <c r="O5" s="114">
        <f t="shared" ref="O5:O11" si="2">IF(ISERROR(_2025_2045_Demand_Growth),_2018_2045_Demand_Growth,_2018_2025_Demand_Growth)</f>
        <v>5.3160585993976106E-2</v>
      </c>
      <c r="P5" s="115">
        <f t="shared" ref="P5:P11" si="3">P4*(1+IFERROR(_2018_2025_V_C_Growth,_2018_2045_V_C_Growth))</f>
        <v>0.56260956303589404</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44815102.407250643</v>
      </c>
      <c r="L6" s="107"/>
      <c r="M6" s="108">
        <f t="shared" si="1"/>
        <v>2020</v>
      </c>
      <c r="N6" s="113">
        <f t="shared" ref="N6:N36" si="6">N5+(N5*O6)</f>
        <v>76853.920013479423</v>
      </c>
      <c r="O6" s="114">
        <f t="shared" si="2"/>
        <v>5.3160585993976106E-2</v>
      </c>
      <c r="P6" s="115">
        <f t="shared" si="3"/>
        <v>0.59251821709269703</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80939.519437330164</v>
      </c>
      <c r="O7" s="114">
        <f t="shared" si="2"/>
        <v>5.3160585993976106E-2</v>
      </c>
      <c r="P7" s="115">
        <f t="shared" si="3"/>
        <v>0.62401683272545072</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85242.311720689453</v>
      </c>
      <c r="O8" s="114">
        <f t="shared" si="2"/>
        <v>5.3160585993976106E-2</v>
      </c>
      <c r="P8" s="115">
        <f t="shared" si="3"/>
        <v>0.6571899332232406</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5.3160585993976106E-2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89773.842963242481</v>
      </c>
      <c r="O9" s="114">
        <f t="shared" si="2"/>
        <v>5.3160585993976106E-2</v>
      </c>
      <c r="P9" s="115">
        <f t="shared" si="3"/>
        <v>0.69212653518273004</v>
      </c>
      <c r="Q9" s="116">
        <f t="shared" si="4"/>
        <v>1</v>
      </c>
      <c r="R9" s="31">
        <f>IF(M9=Year_Open_to_Traffic?,Calculations!$J$5,Calculations!R8+(Calculations!R8*Calculations!O9*Q9))</f>
        <v>15465629.432414461</v>
      </c>
      <c r="S9" s="46">
        <f t="shared" si="0"/>
        <v>1</v>
      </c>
      <c r="T9" s="31">
        <f t="shared" si="5"/>
        <v>15465.62943241446</v>
      </c>
      <c r="U9" s="32">
        <f>T9/(1+Real_Discount_Rate)^(Calculations!M9-'Assumed Values'!$C$5)</f>
        <v>11026.78004232736</v>
      </c>
    </row>
    <row r="10" spans="1:21" ht="15.75" x14ac:dyDescent="0.25">
      <c r="A10" s="40" t="s">
        <v>105</v>
      </c>
      <c r="B10" s="119">
        <f>(_2045_Peak_Period_Volume/_2025_Peak_Period_Volume)^(1/(2045-2025))-1</f>
        <v>1.1040098420588951E-2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94546.273062099644</v>
      </c>
      <c r="O10" s="114">
        <f t="shared" si="2"/>
        <v>5.3160585993976106E-2</v>
      </c>
      <c r="P10" s="115">
        <f t="shared" si="3"/>
        <v>0.72892038737502429</v>
      </c>
      <c r="Q10" s="116">
        <f t="shared" si="4"/>
        <v>1</v>
      </c>
      <c r="R10" s="31">
        <f>IF(M10=Year_Open_to_Traffic?,Calculations!$J$5,Calculations!R9+(Calculations!R9*Calculations!O10*Q10))</f>
        <v>16287791.355807297</v>
      </c>
      <c r="S10" s="46">
        <f t="shared" si="0"/>
        <v>1</v>
      </c>
      <c r="T10" s="31">
        <f t="shared" si="5"/>
        <v>16287.791355807298</v>
      </c>
      <c r="U10" s="32">
        <f>T10/(1+Real_Discount_Rate)^(Calculations!M10-'Assumed Values'!$C$5)</f>
        <v>10853.243113088005</v>
      </c>
    </row>
    <row r="11" spans="1:21" ht="15.75" x14ac:dyDescent="0.25">
      <c r="A11" s="40" t="s">
        <v>107</v>
      </c>
      <c r="B11" s="119">
        <f>(_2045_Peak_Period_Volume/'Inputs &amp; Outputs'!$C$27)^(1/(2045-2018))-1</f>
        <v>2.1795689450510247E-2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99572.408341627335</v>
      </c>
      <c r="O11" s="114">
        <f t="shared" si="2"/>
        <v>5.3160585993976106E-2</v>
      </c>
      <c r="P11" s="115">
        <f t="shared" si="3"/>
        <v>0.76767022231083659</v>
      </c>
      <c r="Q11" s="116">
        <f t="shared" si="4"/>
        <v>1</v>
      </c>
      <c r="R11" s="31">
        <f>IF(M11=Year_Open_to_Traffic?,Calculations!$J$5,Calculations!R10+(Calculations!R10*Calculations!O11*Q11))</f>
        <v>17153659.88882963</v>
      </c>
      <c r="S11" s="46">
        <f t="shared" si="0"/>
        <v>1</v>
      </c>
      <c r="T11" s="31">
        <f t="shared" si="5"/>
        <v>17153.659888829628</v>
      </c>
      <c r="U11" s="32">
        <f>T11/(1+Real_Discount_Rate)^(Calculations!M11-'Assumed Values'!$C$5)</f>
        <v>10682.437268144715</v>
      </c>
    </row>
    <row r="12" spans="1:21" ht="15.75" x14ac:dyDescent="0.25">
      <c r="A12" s="40" t="s">
        <v>109</v>
      </c>
      <c r="B12" s="121">
        <f>'Inputs &amp; Outputs'!C27/_2018_Peak_Period_Capacity</f>
        <v>0.53421061376399825</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100671.69752969398</v>
      </c>
      <c r="O12" s="114">
        <f t="shared" ref="O12:O36" si="7">IFERROR(_2025_2045_Demand_Growth,_2018_2045_Demand_Growth)</f>
        <v>1.1040098420588951E-2</v>
      </c>
      <c r="P12" s="115">
        <f t="shared" ref="P12:P36" si="8">P11*(1+IFERROR(_2025_2040_V_C_Growth,_2018_2045_V_C_Growth))</f>
        <v>0.77614537711970366</v>
      </c>
      <c r="Q12" s="116">
        <f t="shared" si="4"/>
        <v>1</v>
      </c>
      <c r="R12" s="31">
        <f>IF(M12=Year_Open_to_Traffic?,Calculations!$J$5,Calculations!R11+(Calculations!R11*Calculations!O12*Q12))</f>
        <v>17343037.982275616</v>
      </c>
      <c r="S12" s="46">
        <f t="shared" si="0"/>
        <v>1</v>
      </c>
      <c r="T12" s="31">
        <f t="shared" si="5"/>
        <v>17343.037982275615</v>
      </c>
      <c r="U12" s="32">
        <f>T12/(1+Real_Discount_Rate)^(Calculations!M12-'Assumed Values'!$C$5)</f>
        <v>10093.806006501682</v>
      </c>
    </row>
    <row r="13" spans="1:21" ht="15.75" x14ac:dyDescent="0.25">
      <c r="A13" s="40" t="s">
        <v>111</v>
      </c>
      <c r="B13" s="121">
        <f>_2025_Peak_Period_Volume/_2025_Peak_Period_Capacity</f>
        <v>0.76767022231083637</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101783.12297858956</v>
      </c>
      <c r="O13" s="114">
        <f t="shared" si="7"/>
        <v>1.1040098420588951E-2</v>
      </c>
      <c r="P13" s="115">
        <f t="shared" si="8"/>
        <v>0.7847140984717903</v>
      </c>
      <c r="Q13" s="116">
        <f t="shared" si="4"/>
        <v>1</v>
      </c>
      <c r="R13" s="31">
        <f>IF(M13=Year_Open_to_Traffic?,Calculations!$J$5,Calculations!R12+(Calculations!R12*Calculations!O13*Q13))</f>
        <v>17534506.828511953</v>
      </c>
      <c r="S13" s="46">
        <f t="shared" si="0"/>
        <v>1</v>
      </c>
      <c r="T13" s="31">
        <f t="shared" si="5"/>
        <v>17534.506828511952</v>
      </c>
      <c r="U13" s="32">
        <f>T13/(1+Real_Discount_Rate)^(Calculations!M13-'Assumed Values'!$C$5)</f>
        <v>9537.6099235998063</v>
      </c>
    </row>
    <row r="14" spans="1:21" ht="15.75" x14ac:dyDescent="0.25">
      <c r="A14" s="40" t="s">
        <v>113</v>
      </c>
      <c r="B14" s="121">
        <f>_2045_Peak_Period_Volume/_2045_Peak_Period_Capacity</f>
        <v>0.95618582394576812</v>
      </c>
      <c r="D14" s="40" t="s">
        <v>114</v>
      </c>
      <c r="E14" s="120">
        <f>IF('Inputs &amp; Outputs'!$C$8='CRASH RATES'!$D$3, VLOOKUP('Inputs &amp; Outputs'!$C$7,'CRASH RATES'!$C$14:$J$21,8,FALSE), VLOOKUP('Inputs &amp; Outputs'!$C$7,'CRASH RATES'!$C$28:$J$35,8,FALSE))</f>
        <v>20.354195581954531</v>
      </c>
      <c r="F14" s="86"/>
      <c r="L14" s="107"/>
      <c r="M14" s="108">
        <f>M13+1</f>
        <v>2028</v>
      </c>
      <c r="N14" s="113">
        <f t="shared" si="6"/>
        <v>102906.81867382809</v>
      </c>
      <c r="O14" s="114">
        <f t="shared" si="7"/>
        <v>1.1040098420588951E-2</v>
      </c>
      <c r="P14" s="115">
        <f>P13*(1+IFERROR(_2025_2040_V_C_Growth,_2018_2045_V_C_Growth))</f>
        <v>0.79337741935094264</v>
      </c>
      <c r="Q14" s="116">
        <f t="shared" si="4"/>
        <v>1</v>
      </c>
      <c r="R14" s="31">
        <f>IF(M14=Year_Open_to_Traffic?,Calculations!$J$5,Calculations!R13+(Calculations!R13*Calculations!O14*Q14))</f>
        <v>17728089.509655215</v>
      </c>
      <c r="S14" s="46">
        <f t="shared" si="0"/>
        <v>1</v>
      </c>
      <c r="T14" s="31">
        <f t="shared" si="5"/>
        <v>17728.089509655216</v>
      </c>
      <c r="U14" s="32">
        <f>T14/(1+Real_Discount_Rate)^(Calculations!M14-'Assumed Values'!$C$5)</f>
        <v>9012.061753134145</v>
      </c>
    </row>
    <row r="15" spans="1:21" ht="15.75" x14ac:dyDescent="0.25">
      <c r="A15" s="40" t="s">
        <v>115</v>
      </c>
      <c r="B15" s="119">
        <f>(B13/B12)^(1/(2025-2018))-1</f>
        <v>5.3160585993976106E-2</v>
      </c>
      <c r="L15" s="107"/>
      <c r="M15" s="11">
        <f>M14+1</f>
        <v>2029</v>
      </c>
      <c r="N15" s="113">
        <f t="shared" si="6"/>
        <v>104042.92008013686</v>
      </c>
      <c r="O15" s="114">
        <f t="shared" si="7"/>
        <v>1.1040098420588951E-2</v>
      </c>
      <c r="P15" s="115">
        <f>P14*(1+IFERROR(_2025_2040_V_C_Growth,_2018_2045_V_C_Growth))</f>
        <v>0.8021363841452499</v>
      </c>
      <c r="Q15" s="116">
        <f t="shared" si="4"/>
        <v>1</v>
      </c>
      <c r="R15" s="31">
        <f>IF(M15=Year_Open_to_Traffic?,Calculations!$J$5,Calculations!R14+(Calculations!R14*Calculations!O15*Q15))</f>
        <v>17923809.362650819</v>
      </c>
      <c r="S15" s="46">
        <f t="shared" si="0"/>
        <v>1</v>
      </c>
      <c r="T15" s="31">
        <f t="shared" si="5"/>
        <v>17923.80936265082</v>
      </c>
      <c r="U15" s="32">
        <f>T15/(1+Real_Discount_Rate)^(Calculations!M15-'Assumed Values'!$C$5)</f>
        <v>8515.4727120197858</v>
      </c>
    </row>
    <row r="16" spans="1:21" ht="15.75" x14ac:dyDescent="0.25">
      <c r="A16" s="40" t="s">
        <v>116</v>
      </c>
      <c r="B16" s="119">
        <f>(B14/B13)^(1/(2045-2025))-1</f>
        <v>1.1040098420588951E-2</v>
      </c>
      <c r="D16" s="122" t="s">
        <v>117</v>
      </c>
      <c r="E16" s="58"/>
      <c r="L16" s="107"/>
      <c r="M16" s="108">
        <f t="shared" si="1"/>
        <v>2030</v>
      </c>
      <c r="N16" s="113">
        <f t="shared" si="6"/>
        <v>105191.56415778704</v>
      </c>
      <c r="O16" s="114">
        <f t="shared" si="7"/>
        <v>1.1040098420588951E-2</v>
      </c>
      <c r="P16" s="115">
        <f t="shared" si="8"/>
        <v>0.81099204877294884</v>
      </c>
      <c r="Q16" s="116">
        <f t="shared" si="4"/>
        <v>1</v>
      </c>
      <c r="R16" s="31">
        <f>IF(M16=Year_Open_to_Traffic?,Calculations!$J$5,Calculations!R15+(Calculations!R15*Calculations!O16*Q16))</f>
        <v>18121689.982086357</v>
      </c>
      <c r="S16" s="46">
        <f t="shared" si="0"/>
        <v>1</v>
      </c>
      <c r="T16" s="31">
        <f t="shared" si="5"/>
        <v>18121.689982086358</v>
      </c>
      <c r="U16" s="32">
        <f>T16/(1+Real_Discount_Rate)^(Calculations!M16-'Assumed Values'!$C$5)</f>
        <v>8046.2470736993691</v>
      </c>
    </row>
    <row r="17" spans="1:21" ht="15.75" x14ac:dyDescent="0.25">
      <c r="A17" s="40" t="s">
        <v>118</v>
      </c>
      <c r="B17" s="119">
        <f>(B14/B12)^(1/(2045-2018))-1</f>
        <v>2.1795689450510469E-2</v>
      </c>
      <c r="D17" s="40" t="s">
        <v>119</v>
      </c>
      <c r="E17" s="123">
        <f>($E$6*Death_Rate)/100000000</f>
        <v>1.0587749707582601</v>
      </c>
      <c r="L17" s="107"/>
      <c r="M17" s="11">
        <f t="shared" si="1"/>
        <v>2031</v>
      </c>
      <c r="N17" s="113">
        <f t="shared" si="6"/>
        <v>106352.8893791047</v>
      </c>
      <c r="O17" s="114">
        <f t="shared" si="7"/>
        <v>1.1040098420588951E-2</v>
      </c>
      <c r="P17" s="115">
        <f t="shared" si="8"/>
        <v>0.8199454808097173</v>
      </c>
      <c r="Q17" s="116">
        <f t="shared" si="4"/>
        <v>1</v>
      </c>
      <c r="R17" s="31">
        <f>IF(M17=Year_Open_to_Traffic?,Calculations!$J$5,Calculations!R16+(Calculations!R16*Calculations!O17*Q17))</f>
        <v>18321755.223035991</v>
      </c>
      <c r="S17" s="46">
        <f t="shared" si="0"/>
        <v>1</v>
      </c>
      <c r="T17" s="31">
        <f t="shared" si="5"/>
        <v>18321.755223035991</v>
      </c>
      <c r="U17" s="32">
        <f>T17/(1+Real_Discount_Rate)^(Calculations!M17-'Assumed Values'!$C$5)</f>
        <v>7602.8770404760598</v>
      </c>
    </row>
    <row r="18" spans="1:21" ht="15.75" x14ac:dyDescent="0.25">
      <c r="D18" s="40" t="s">
        <v>120</v>
      </c>
      <c r="E18" s="123">
        <f>($E$6*Incap_Injry_Rate)/100000000</f>
        <v>3.7735825880871325</v>
      </c>
      <c r="L18" s="107"/>
      <c r="M18" s="108">
        <f t="shared" si="1"/>
        <v>2032</v>
      </c>
      <c r="N18" s="113">
        <f t="shared" si="6"/>
        <v>107527.03574516403</v>
      </c>
      <c r="O18" s="114">
        <f t="shared" si="7"/>
        <v>1.1040098420588951E-2</v>
      </c>
      <c r="P18" s="115">
        <f t="shared" si="8"/>
        <v>0.82899775961737365</v>
      </c>
      <c r="Q18" s="116">
        <f t="shared" si="4"/>
        <v>1</v>
      </c>
      <c r="R18" s="31">
        <f>IF(M18=Year_Open_to_Traffic?,Calculations!$J$5,Calculations!R17+(Calculations!R17*Calculations!O18*Q18))</f>
        <v>18524029.203936249</v>
      </c>
      <c r="S18" s="46">
        <f t="shared" si="0"/>
        <v>1</v>
      </c>
      <c r="T18" s="31">
        <f t="shared" si="5"/>
        <v>18524.02920393625</v>
      </c>
      <c r="U18" s="32">
        <f>T18/(1+Real_Discount_Rate)^(Calculations!M18-'Assumed Values'!$C$5)</f>
        <v>7183.93789839491</v>
      </c>
    </row>
    <row r="19" spans="1:21" ht="15.75" x14ac:dyDescent="0.25">
      <c r="D19" s="40" t="s">
        <v>121</v>
      </c>
      <c r="E19" s="123">
        <f>($E$6*Nonincap_Injry_Rate)/100000000</f>
        <v>18.514987950182906</v>
      </c>
      <c r="L19" s="107"/>
      <c r="M19" s="11">
        <f t="shared" si="1"/>
        <v>2033</v>
      </c>
      <c r="N19" s="113">
        <f t="shared" si="6"/>
        <v>108714.14480266483</v>
      </c>
      <c r="O19" s="114">
        <f t="shared" si="7"/>
        <v>1.1040098420588951E-2</v>
      </c>
      <c r="P19" s="115">
        <f t="shared" si="8"/>
        <v>0.83814997647399725</v>
      </c>
      <c r="Q19" s="116">
        <f t="shared" si="4"/>
        <v>1</v>
      </c>
      <c r="R19" s="31">
        <f>IF(M19=Year_Open_to_Traffic?,Calculations!$J$5,Calculations!R18+(Calculations!R18*Calculations!O19*Q19))</f>
        <v>18728536.309493568</v>
      </c>
      <c r="S19" s="46">
        <f t="shared" si="0"/>
        <v>1</v>
      </c>
      <c r="T19" s="31">
        <f t="shared" si="5"/>
        <v>18728.536309493567</v>
      </c>
      <c r="U19" s="32">
        <f>T19/(1+Real_Discount_Rate)^(Calculations!M19-'Assumed Values'!$C$5)</f>
        <v>6788.0834391033522</v>
      </c>
    </row>
    <row r="20" spans="1:21" ht="15.75" x14ac:dyDescent="0.25">
      <c r="D20" s="40" t="s">
        <v>122</v>
      </c>
      <c r="E20" s="123">
        <f>($E$6*Poss_Injry_Rate/100000000)</f>
        <v>29.184181886285366</v>
      </c>
      <c r="L20" s="107"/>
      <c r="M20" s="108">
        <f t="shared" si="1"/>
        <v>2034</v>
      </c>
      <c r="N20" s="113">
        <f t="shared" si="6"/>
        <v>109914.3596609964</v>
      </c>
      <c r="O20" s="114">
        <f t="shared" si="7"/>
        <v>1.1040098420588951E-2</v>
      </c>
      <c r="P20" s="115">
        <f t="shared" si="8"/>
        <v>0.84740323470548451</v>
      </c>
      <c r="Q20" s="116">
        <f t="shared" si="4"/>
        <v>1</v>
      </c>
      <c r="R20" s="31">
        <f>IF(M20=Year_Open_to_Traffic?,Calculations!$J$5,Calculations!R19+(Calculations!R19*Calculations!O20*Q20))</f>
        <v>18935301.193623949</v>
      </c>
      <c r="S20" s="46">
        <f t="shared" si="0"/>
        <v>1</v>
      </c>
      <c r="T20" s="31">
        <f t="shared" si="5"/>
        <v>18935.301193623949</v>
      </c>
      <c r="U20" s="32">
        <f>T20/(1+Real_Discount_Rate)^(Calculations!M20-'Assumed Values'!$C$5)</f>
        <v>6414.0416339796484</v>
      </c>
    </row>
    <row r="21" spans="1:21" ht="15.75" x14ac:dyDescent="0.25">
      <c r="D21" s="40" t="s">
        <v>123</v>
      </c>
      <c r="E21" s="123">
        <f>($E$6*Non_Injry_Rate)/100000000</f>
        <v>275.74300969209349</v>
      </c>
      <c r="L21" s="107"/>
      <c r="M21" s="11">
        <f>M20+1</f>
        <v>2035</v>
      </c>
      <c r="N21" s="113">
        <f t="shared" si="6"/>
        <v>111127.82500948981</v>
      </c>
      <c r="O21" s="114">
        <f t="shared" si="7"/>
        <v>1.1040098420588951E-2</v>
      </c>
      <c r="P21" s="115">
        <f>P20*(1+IFERROR(_2025_2040_V_C_Growth,_2018_2045_V_C_Growth))</f>
        <v>0.85675864981855854</v>
      </c>
      <c r="Q21" s="116">
        <f t="shared" si="4"/>
        <v>1</v>
      </c>
      <c r="R21" s="31">
        <f>IF(M21=Year_Open_to_Traffic?,Calculations!$J$5,Calculations!R20+(Calculations!R20*Calculations!O21*Q21))</f>
        <v>19144348.782425053</v>
      </c>
      <c r="S21" s="46">
        <f t="shared" si="0"/>
        <v>1</v>
      </c>
      <c r="T21" s="31">
        <f t="shared" si="5"/>
        <v>19144.348782425055</v>
      </c>
      <c r="U21" s="32">
        <f>T21/(1+Real_Discount_Rate)^(Calculations!M21-'Assumed Values'!$C$5)</f>
        <v>6060.6105466285417</v>
      </c>
    </row>
    <row r="22" spans="1:21" ht="15.75" x14ac:dyDescent="0.25">
      <c r="D22" s="40" t="s">
        <v>124</v>
      </c>
      <c r="E22" s="123">
        <f>($E$6*Unkn_Injry_Rate)/100000000</f>
        <v>9.1217535942250105</v>
      </c>
      <c r="L22" s="107"/>
      <c r="M22" s="108">
        <f>M21+1</f>
        <v>2036</v>
      </c>
      <c r="N22" s="113">
        <f t="shared" si="6"/>
        <v>112354.68713486056</v>
      </c>
      <c r="O22" s="114">
        <f t="shared" si="7"/>
        <v>1.1040098420588951E-2</v>
      </c>
      <c r="P22" s="115">
        <f t="shared" si="8"/>
        <v>0.86621734963524633</v>
      </c>
      <c r="Q22" s="116">
        <f t="shared" si="4"/>
        <v>1</v>
      </c>
      <c r="R22" s="31">
        <f>IF(M22=Year_Open_to_Traffic?,Calculations!$J$5,Calculations!R21+(Calculations!R21*Calculations!O22*Q22))</f>
        <v>19355704.277181108</v>
      </c>
      <c r="S22" s="46">
        <f t="shared" si="0"/>
        <v>1</v>
      </c>
      <c r="T22" s="31">
        <f t="shared" si="5"/>
        <v>19355.704277181107</v>
      </c>
      <c r="U22" s="32">
        <f>T22/(1+Real_Discount_Rate)^(Calculations!M22-'Assumed Values'!$C$5)</f>
        <v>5726.6544706095128</v>
      </c>
    </row>
    <row r="23" spans="1:21" ht="15.75" x14ac:dyDescent="0.25">
      <c r="L23" s="107"/>
      <c r="M23" s="11">
        <f t="shared" si="1"/>
        <v>2037</v>
      </c>
      <c r="N23" s="113">
        <f t="shared" si="6"/>
        <v>113595.0939388439</v>
      </c>
      <c r="O23" s="114">
        <f t="shared" si="7"/>
        <v>1.1040098420588951E-2</v>
      </c>
      <c r="P23" s="115">
        <f t="shared" si="8"/>
        <v>0.8757804744288411</v>
      </c>
      <c r="Q23" s="116">
        <f t="shared" si="4"/>
        <v>1</v>
      </c>
      <c r="R23" s="31">
        <f>IF(M23=Year_Open_to_Traffic?,Calculations!$J$5,Calculations!R22+(Calculations!R22*Calculations!O23*Q23))</f>
        <v>19569393.157401003</v>
      </c>
      <c r="S23" s="46">
        <f t="shared" si="0"/>
        <v>1</v>
      </c>
      <c r="T23" s="31">
        <f t="shared" si="5"/>
        <v>19569.393157401002</v>
      </c>
      <c r="U23" s="32">
        <f>T23/(1+Real_Discount_Rate)^(Calculations!M23-'Assumed Values'!$C$5)</f>
        <v>5411.1002799866801</v>
      </c>
    </row>
    <row r="24" spans="1:21" ht="15.75" x14ac:dyDescent="0.25">
      <c r="L24" s="107"/>
      <c r="M24" s="108">
        <f t="shared" si="1"/>
        <v>2038</v>
      </c>
      <c r="N24" s="113">
        <f t="shared" si="6"/>
        <v>114849.19495602479</v>
      </c>
      <c r="O24" s="114">
        <f t="shared" si="7"/>
        <v>1.1040098420588951E-2</v>
      </c>
      <c r="P24" s="115">
        <f t="shared" si="8"/>
        <v>0.88544917706136561</v>
      </c>
      <c r="Q24" s="116">
        <f t="shared" si="4"/>
        <v>1</v>
      </c>
      <c r="R24" s="31">
        <f>IF(M24=Year_Open_to_Traffic?,Calculations!$J$5,Calculations!R23+(Calculations!R23*Calculations!O24*Q24))</f>
        <v>19785441.183889911</v>
      </c>
      <c r="S24" s="46">
        <f t="shared" si="0"/>
        <v>1</v>
      </c>
      <c r="T24" s="31">
        <f t="shared" si="5"/>
        <v>19785.44118388991</v>
      </c>
      <c r="U24" s="32">
        <f>T24/(1+Real_Discount_Rate)^(Calculations!M24-'Assumed Values'!$C$5)</f>
        <v>5112.9339809732801</v>
      </c>
    </row>
    <row r="25" spans="1:21" ht="15.75" x14ac:dyDescent="0.25">
      <c r="A25" s="134" t="s">
        <v>125</v>
      </c>
      <c r="B25" s="134"/>
      <c r="D25" s="102" t="s">
        <v>119</v>
      </c>
      <c r="E25" s="102" t="s">
        <v>120</v>
      </c>
      <c r="F25" s="102" t="s">
        <v>121</v>
      </c>
      <c r="G25" s="102" t="s">
        <v>122</v>
      </c>
      <c r="H25" s="102" t="s">
        <v>123</v>
      </c>
      <c r="I25" s="102" t="s">
        <v>124</v>
      </c>
      <c r="J25" s="135" t="s">
        <v>126</v>
      </c>
      <c r="L25" s="107"/>
      <c r="M25" s="11">
        <f t="shared" si="1"/>
        <v>2039</v>
      </c>
      <c r="N25" s="113">
        <f t="shared" si="6"/>
        <v>116117.14137186471</v>
      </c>
      <c r="O25" s="114">
        <f t="shared" si="7"/>
        <v>1.1040098420588951E-2</v>
      </c>
      <c r="P25" s="115">
        <f t="shared" si="8"/>
        <v>0.89522462312255258</v>
      </c>
      <c r="Q25" s="116">
        <f t="shared" si="4"/>
        <v>1</v>
      </c>
      <c r="R25" s="31">
        <f>IF(M25=Year_Open_to_Traffic?,Calculations!$J$5,Calculations!R24+(Calculations!R24*Calculations!O25*Q25))</f>
        <v>20003874.401854828</v>
      </c>
      <c r="S25" s="46">
        <f t="shared" si="0"/>
        <v>1</v>
      </c>
      <c r="T25" s="31">
        <f t="shared" si="5"/>
        <v>20003.874401854828</v>
      </c>
      <c r="U25" s="32">
        <f>T25/(1+Real_Discount_Rate)^(Calculations!M25-'Assumed Values'!$C$5)</f>
        <v>4831.1974535899053</v>
      </c>
    </row>
    <row r="26" spans="1:21" ht="15.75" x14ac:dyDescent="0.25">
      <c r="A26" s="134"/>
      <c r="B26" s="134"/>
      <c r="D26" s="124">
        <f>Calculations!E17</f>
        <v>1.0587749707582601</v>
      </c>
      <c r="E26" s="124">
        <f>Calculations!E18</f>
        <v>3.7735825880871325</v>
      </c>
      <c r="F26" s="124">
        <f>Calculations!E19</f>
        <v>18.514987950182906</v>
      </c>
      <c r="G26" s="124">
        <f>Calculations!E20</f>
        <v>29.184181886285366</v>
      </c>
      <c r="H26" s="124">
        <f>Calculations!E21</f>
        <v>275.74300969209349</v>
      </c>
      <c r="I26" s="124">
        <f>Calculations!E22</f>
        <v>9.1217535942250105</v>
      </c>
      <c r="J26" s="135"/>
      <c r="L26" s="107"/>
      <c r="M26" s="108">
        <f t="shared" si="1"/>
        <v>2040</v>
      </c>
      <c r="N26" s="113">
        <f t="shared" si="6"/>
        <v>117399.08604092753</v>
      </c>
      <c r="O26" s="114">
        <f t="shared" si="7"/>
        <v>1.1040098420588951E-2</v>
      </c>
      <c r="P26" s="115">
        <f t="shared" si="8"/>
        <v>0.90510799107036022</v>
      </c>
      <c r="Q26" s="116">
        <f t="shared" si="4"/>
        <v>1</v>
      </c>
      <c r="R26" s="31">
        <f>IF(M26=Year_Open_to_Traffic?,Calculations!$J$5,Calculations!R25+(Calculations!R25*Calculations!O26*Q26))</f>
        <v>20224719.144044407</v>
      </c>
      <c r="S26" s="46">
        <f t="shared" si="0"/>
        <v>1</v>
      </c>
      <c r="T26" s="31">
        <f t="shared" si="5"/>
        <v>20224.719144044408</v>
      </c>
      <c r="U26" s="32">
        <f>T26/(1+Real_Discount_Rate)^(Calculations!M26-'Assumed Values'!$C$5)</f>
        <v>4564.9853728662029</v>
      </c>
    </row>
    <row r="27" spans="1:21" ht="15.75" x14ac:dyDescent="0.25">
      <c r="A27" s="39" t="s">
        <v>127</v>
      </c>
      <c r="B27" s="40" t="s">
        <v>128</v>
      </c>
      <c r="D27" s="125">
        <f>D$26*'Value of Statistical Life'!D17*Appropriate_Crash_Reduction_Factor</f>
        <v>0</v>
      </c>
      <c r="E27" s="125">
        <f>E$26*'Value of Statistical Life'!E17*Appropriate_Crash_Reduction_Factor</f>
        <v>0.1037584268420438</v>
      </c>
      <c r="F27" s="125">
        <f>F$26*'Value of Statistical Life'!F17*Appropriate_Crash_Reduction_Factor</f>
        <v>1.2363568353614138</v>
      </c>
      <c r="G27" s="125">
        <f>G$26*'Value of Statistical Life'!G17*Appropriate_Crash_Reduction_Factor</f>
        <v>5.4719173669509615</v>
      </c>
      <c r="H27" s="125">
        <f>H$26*'Value of Statistical Life'!H17*Appropriate_Crash_Reduction_Factor</f>
        <v>204.12482927078545</v>
      </c>
      <c r="I27" s="125">
        <f>I$26*'Value of Statistical Life'!I17*Appropriate_Crash_Reduction_Factor</f>
        <v>3.1872136798509723</v>
      </c>
      <c r="J27" s="125">
        <f t="shared" ref="J27:J33" si="9">SUM(D27:I27)</f>
        <v>214.12407557979085</v>
      </c>
      <c r="K27" s="70"/>
      <c r="L27" s="107"/>
      <c r="M27" s="11">
        <f t="shared" si="1"/>
        <v>2041</v>
      </c>
      <c r="N27" s="113">
        <f t="shared" si="6"/>
        <v>118695.18350530656</v>
      </c>
      <c r="O27" s="114">
        <f t="shared" si="7"/>
        <v>1.1040098420588951E-2</v>
      </c>
      <c r="P27" s="115">
        <f t="shared" si="8"/>
        <v>0.91510047237303849</v>
      </c>
      <c r="Q27" s="116">
        <f t="shared" si="4"/>
        <v>1</v>
      </c>
      <c r="R27" s="31">
        <f>IF(M27=Year_Open_to_Traffic?,Calculations!$J$5,Calculations!R26+(Calculations!R26*Calculations!O27*Q27))</f>
        <v>20448002.033923425</v>
      </c>
      <c r="S27" s="46">
        <f t="shared" si="0"/>
        <v>1</v>
      </c>
      <c r="T27" s="31">
        <f t="shared" si="5"/>
        <v>20448.002033923425</v>
      </c>
      <c r="U27" s="32">
        <f>T27/(1+Real_Discount_Rate)^(Calculations!M27-'Assumed Values'!$C$5)</f>
        <v>4313.4422996927051</v>
      </c>
    </row>
    <row r="28" spans="1:21" ht="15.75" x14ac:dyDescent="0.25">
      <c r="A28" s="39" t="s">
        <v>129</v>
      </c>
      <c r="B28" s="40" t="s">
        <v>130</v>
      </c>
      <c r="D28" s="125">
        <f>D$26*'Value of Statistical Life'!D18*Appropriate_Crash_Reduction_Factor</f>
        <v>0</v>
      </c>
      <c r="E28" s="125">
        <f>E$26*'Value of Statistical Life'!E18*Appropriate_Crash_Reduction_Factor</f>
        <v>1.6739310474147473</v>
      </c>
      <c r="F28" s="125">
        <f>F$26*'Value of Statistical Life'!F18*Appropriate_Crash_Reduction_Factor</f>
        <v>11.381977752447241</v>
      </c>
      <c r="G28" s="125">
        <f>G$26*'Value of Statistical Life'!G18*Appropriate_Crash_Reduction_Factor</f>
        <v>16.097060834654648</v>
      </c>
      <c r="H28" s="125">
        <f>H$26*'Value of Statistical Life'!H18*Appropriate_Crash_Reduction_Factor</f>
        <v>16.008536170684177</v>
      </c>
      <c r="I28" s="125">
        <f>I$26*'Value of Statistical Life'!I18*Appropriate_Crash_Reduction_Factor</f>
        <v>3.0458629861548618</v>
      </c>
      <c r="J28" s="125">
        <f t="shared" si="9"/>
        <v>48.207368791355677</v>
      </c>
      <c r="K28" s="70"/>
      <c r="L28" s="107"/>
      <c r="M28" s="108">
        <f t="shared" si="1"/>
        <v>2042</v>
      </c>
      <c r="N28" s="113">
        <f t="shared" si="6"/>
        <v>120005.59001325502</v>
      </c>
      <c r="O28" s="114">
        <f t="shared" si="7"/>
        <v>1.1040098420588951E-2</v>
      </c>
      <c r="P28" s="115">
        <f t="shared" si="8"/>
        <v>0.92520327165276428</v>
      </c>
      <c r="Q28" s="116">
        <f t="shared" si="4"/>
        <v>1</v>
      </c>
      <c r="R28" s="31">
        <f>IF(M28=Year_Open_to_Traffic?,Calculations!$J$5,Calculations!R27+(Calculations!R27*Calculations!O28*Q28))</f>
        <v>20673749.988882344</v>
      </c>
      <c r="S28" s="46">
        <f t="shared" si="0"/>
        <v>1</v>
      </c>
      <c r="T28" s="31">
        <f t="shared" si="5"/>
        <v>20673.749988882344</v>
      </c>
      <c r="U28" s="32">
        <f>T28/(1+Real_Discount_Rate)^(Calculations!M28-'Assumed Values'!$C$5)</f>
        <v>4075.7599319746205</v>
      </c>
    </row>
    <row r="29" spans="1:21" ht="15.75" x14ac:dyDescent="0.25">
      <c r="A29" s="39" t="s">
        <v>131</v>
      </c>
      <c r="B29" s="40" t="s">
        <v>132</v>
      </c>
      <c r="D29" s="125">
        <f>D$26*'Value of Statistical Life'!D19*Appropriate_Crash_Reduction_Factor</f>
        <v>0</v>
      </c>
      <c r="E29" s="125">
        <f>E$26*'Value of Statistical Life'!E19*Appropriate_Crash_Reduction_Factor</f>
        <v>0.63118451801380615</v>
      </c>
      <c r="F29" s="125">
        <f>F$26*'Value of Statistical Life'!F19*Appropriate_Crash_Reduction_Factor</f>
        <v>1.6142107094487466</v>
      </c>
      <c r="G29" s="125">
        <f>G$26*'Value of Statistical Life'!G19*Appropriate_Crash_Reduction_Factor</f>
        <v>1.4921288514819981</v>
      </c>
      <c r="H29" s="125">
        <f>H$26*'Value of Statistical Life'!H19*Appropriate_Crash_Reduction_Factor</f>
        <v>0.43677692735227613</v>
      </c>
      <c r="I29" s="125">
        <f>I$26*'Value of Statistical Life'!I19*Appropriate_Crash_Reduction_Factor</f>
        <v>0.64742558310371434</v>
      </c>
      <c r="J29" s="125">
        <f t="shared" si="9"/>
        <v>4.8217265894005408</v>
      </c>
      <c r="K29" s="70"/>
      <c r="L29" s="107"/>
      <c r="M29" s="11">
        <f t="shared" si="1"/>
        <v>2043</v>
      </c>
      <c r="N29" s="113">
        <f t="shared" si="6"/>
        <v>121330.4635380222</v>
      </c>
      <c r="O29" s="114">
        <f t="shared" si="7"/>
        <v>1.1040098420588951E-2</v>
      </c>
      <c r="P29" s="115">
        <f t="shared" si="8"/>
        <v>0.93541760683086173</v>
      </c>
      <c r="Q29" s="116">
        <f t="shared" si="4"/>
        <v>1</v>
      </c>
      <c r="R29" s="31">
        <f>IF(M29=Year_Open_to_Traffic?,Calculations!$J$5,Calculations!R28+(Calculations!R28*Calculations!O29*Q29))</f>
        <v>20901990.223482255</v>
      </c>
      <c r="S29" s="46">
        <f t="shared" si="0"/>
        <v>1</v>
      </c>
      <c r="T29" s="31">
        <f t="shared" si="5"/>
        <v>20901.990223482255</v>
      </c>
      <c r="U29" s="32">
        <f>T29/(1+Real_Discount_Rate)^(Calculations!M29-'Assumed Values'!$C$5)</f>
        <v>3851.1745072544982</v>
      </c>
    </row>
    <row r="30" spans="1:21" ht="15.75" x14ac:dyDescent="0.25">
      <c r="A30" s="39" t="s">
        <v>133</v>
      </c>
      <c r="B30" s="40" t="s">
        <v>134</v>
      </c>
      <c r="D30" s="125">
        <f>D$26*'Value of Statistical Life'!D20*Appropriate_Crash_Reduction_Factor</f>
        <v>0</v>
      </c>
      <c r="E30" s="125">
        <f>E$26*'Value of Statistical Life'!E20*Appropriate_Crash_Reduction_Factor</f>
        <v>0.43583369459371152</v>
      </c>
      <c r="F30" s="125">
        <f>F$26*'Value of Statistical Life'!F20*Appropriate_Crash_Reduction_Factor</f>
        <v>0.47265061239226924</v>
      </c>
      <c r="G30" s="125">
        <f>G$26*'Value of Statistical Life'!G20*Appropriate_Crash_Reduction_Factor</f>
        <v>0.25005007040169303</v>
      </c>
      <c r="H30" s="125">
        <f>H$26*'Value of Statistical Life'!H20*Appropriate_Crash_Reduction_Factor</f>
        <v>1.7647552620293987E-2</v>
      </c>
      <c r="I30" s="125">
        <f>I$26*'Value of Statistical Life'!I20*Appropriate_Crash_Reduction_Factor</f>
        <v>0.351515896507055</v>
      </c>
      <c r="J30" s="125">
        <f t="shared" si="9"/>
        <v>1.5276978265150227</v>
      </c>
      <c r="K30" s="70"/>
      <c r="L30" s="107"/>
      <c r="M30" s="11">
        <f t="shared" si="1"/>
        <v>2044</v>
      </c>
      <c r="N30" s="113">
        <f t="shared" si="6"/>
        <v>122669.96379689765</v>
      </c>
      <c r="O30" s="114">
        <f t="shared" si="7"/>
        <v>1.1040098420588951E-2</v>
      </c>
      <c r="P30" s="115">
        <f t="shared" si="8"/>
        <v>0.94574470927462617</v>
      </c>
      <c r="Q30" s="116">
        <f t="shared" si="4"/>
        <v>1</v>
      </c>
      <c r="R30" s="31">
        <f>IF(M30=Year_Open_to_Traffic?,Calculations!$J$5,Calculations!R29+(Calculations!R29*Calculations!O30*Q30))</f>
        <v>21132750.252735686</v>
      </c>
      <c r="S30" s="46">
        <f t="shared" si="0"/>
        <v>1</v>
      </c>
      <c r="T30" s="31">
        <f t="shared" si="5"/>
        <v>21132.750252735685</v>
      </c>
      <c r="U30" s="32">
        <f>T30/(1+Real_Discount_Rate)^(Calculations!M30-'Assumed Values'!$C$5)</f>
        <v>3638.9643484574308</v>
      </c>
    </row>
    <row r="31" spans="1:21" ht="15.75" x14ac:dyDescent="0.25">
      <c r="A31" s="39" t="s">
        <v>135</v>
      </c>
      <c r="B31" s="40" t="s">
        <v>136</v>
      </c>
      <c r="D31" s="125">
        <f>D$26*'Value of Statistical Life'!D21*Appropriate_Crash_Reduction_Factor</f>
        <v>0</v>
      </c>
      <c r="E31" s="125">
        <f>E$26*'Value of Statistical Life'!E21*Appropriate_Crash_Reduction_Factor</f>
        <v>0.12033200156892249</v>
      </c>
      <c r="F31" s="125">
        <f>F$26*'Value of Statistical Life'!F21*Appropriate_Crash_Reduction_Factor</f>
        <v>9.1834340232907208E-2</v>
      </c>
      <c r="G31" s="125">
        <f>G$26*'Value of Statistical Life'!G21*Appropriate_Crash_Reduction_Factor</f>
        <v>3.3153230622820183E-2</v>
      </c>
      <c r="H31" s="125">
        <f>H$26*'Value of Statistical Life'!H21*Appropriate_Crash_Reduction_Factor</f>
        <v>0</v>
      </c>
      <c r="I31" s="125">
        <f>I$26*'Value of Statistical Life'!I21*Appropriate_Crash_Reduction_Factor</f>
        <v>4.5024975741094653E-2</v>
      </c>
      <c r="J31" s="125">
        <f t="shared" si="9"/>
        <v>0.29034454816574451</v>
      </c>
      <c r="K31" s="70"/>
      <c r="L31" s="107"/>
      <c r="M31" s="11">
        <f t="shared" si="1"/>
        <v>2045</v>
      </c>
      <c r="N31" s="113">
        <f t="shared" si="6"/>
        <v>124024.25227046548</v>
      </c>
      <c r="O31" s="114">
        <f t="shared" si="7"/>
        <v>1.1040098420588951E-2</v>
      </c>
      <c r="P31" s="115">
        <f t="shared" si="8"/>
        <v>0.95618582394576934</v>
      </c>
      <c r="Q31" s="116">
        <f t="shared" si="4"/>
        <v>1</v>
      </c>
      <c r="R31" s="31">
        <f>IF(M31=Year_Open_to_Traffic?,Calculations!$J$5,Calculations!R30+(Calculations!R30*Calculations!O31*Q31))</f>
        <v>21366057.895423613</v>
      </c>
      <c r="S31" s="46">
        <f t="shared" si="0"/>
        <v>1</v>
      </c>
      <c r="T31" s="31">
        <f t="shared" si="5"/>
        <v>21366.057895423615</v>
      </c>
      <c r="U31" s="32">
        <f>T31/(1+Real_Discount_Rate)^(Calculations!M31-'Assumed Values'!$C$5)</f>
        <v>3438.4475448723501</v>
      </c>
    </row>
    <row r="32" spans="1:21" ht="15.75" x14ac:dyDescent="0.25">
      <c r="A32" s="39" t="s">
        <v>137</v>
      </c>
      <c r="B32" s="40" t="s">
        <v>138</v>
      </c>
      <c r="D32" s="125">
        <f>D$26*'Value of Statistical Life'!D22*Appropriate_Crash_Reduction_Factor</f>
        <v>0</v>
      </c>
      <c r="E32" s="125">
        <f>E$26*'Value of Statistical Life'!E22*Appropriate_Crash_Reduction_Factor</f>
        <v>5.3826382036474857E-2</v>
      </c>
      <c r="F32" s="125">
        <f>F$26*'Value of Statistical Life'!F22*Appropriate_Crash_Reduction_Factor</f>
        <v>1.496011026374779E-2</v>
      </c>
      <c r="G32" s="125">
        <f>G$26*'Value of Statistical Life'!G22*Appropriate_Crash_Reduction_Factor</f>
        <v>3.0351549161736781E-3</v>
      </c>
      <c r="H32" s="125">
        <f>H$26*'Value of Statistical Life'!H22*Appropriate_Crash_Reduction_Factor</f>
        <v>6.6178322326102441E-3</v>
      </c>
      <c r="I32" s="125">
        <f>I$26*'Value of Statistical Life'!I22*Appropriate_Crash_Reduction_Factor</f>
        <v>2.0359754022310224E-2</v>
      </c>
      <c r="J32" s="125">
        <f t="shared" si="9"/>
        <v>9.8799233471316777E-2</v>
      </c>
      <c r="K32" s="70"/>
      <c r="L32" s="107"/>
      <c r="M32" s="11">
        <f t="shared" si="1"/>
        <v>2046</v>
      </c>
      <c r="N32" s="113">
        <f t="shared" si="6"/>
        <v>125393.49222207138</v>
      </c>
      <c r="O32" s="114">
        <f t="shared" si="7"/>
        <v>1.1040098420588951E-2</v>
      </c>
      <c r="P32" s="115">
        <f t="shared" si="8"/>
        <v>0.96674220955050261</v>
      </c>
      <c r="Q32" s="116">
        <f t="shared" si="4"/>
        <v>1</v>
      </c>
      <c r="R32" s="31">
        <f>IF(M32=Year_Open_to_Traffic?,Calculations!$J$5,Calculations!R31+(Calculations!R31*Calculations!O32*Q32))</f>
        <v>21601941.27744909</v>
      </c>
      <c r="S32" s="46">
        <f t="shared" si="0"/>
        <v>1</v>
      </c>
      <c r="T32" s="31">
        <f t="shared" si="5"/>
        <v>21601.941277449088</v>
      </c>
      <c r="U32" s="32">
        <f>T32/(1+Real_Discount_Rate)^(Calculations!M32-'Assumed Values'!$C$5)</f>
        <v>3248.9797609175453</v>
      </c>
    </row>
    <row r="33" spans="1:21" ht="15.75" x14ac:dyDescent="0.25">
      <c r="A33" s="39" t="s">
        <v>139</v>
      </c>
      <c r="B33" s="40" t="s">
        <v>140</v>
      </c>
      <c r="D33" s="125">
        <f>D$26*'Value of Statistical Life'!D23*Appropriate_Crash_Reduction_Factor</f>
        <v>0.8470199766066081</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0.8470199766066081</v>
      </c>
      <c r="K33" s="70"/>
      <c r="L33" s="107"/>
      <c r="M33" s="11">
        <f t="shared" si="1"/>
        <v>2047</v>
      </c>
      <c r="N33" s="113">
        <f t="shared" si="6"/>
        <v>126777.8487175044</v>
      </c>
      <c r="O33" s="114">
        <f t="shared" si="7"/>
        <v>1.1040098420588951E-2</v>
      </c>
      <c r="P33" s="115">
        <f t="shared" si="8"/>
        <v>0.97741513869127783</v>
      </c>
      <c r="Q33" s="116">
        <f t="shared" si="4"/>
        <v>1</v>
      </c>
      <c r="R33" s="31">
        <f>IF(M33=Year_Open_to_Traffic?,Calculations!$J$5,Calculations!R32+(Calculations!R32*Calculations!O33*Q33))</f>
        <v>21840428.83522791</v>
      </c>
      <c r="S33" s="46">
        <f t="shared" si="0"/>
        <v>1</v>
      </c>
      <c r="T33" s="31">
        <f t="shared" si="5"/>
        <v>21840.428835227911</v>
      </c>
      <c r="U33" s="32">
        <f>T33/(1+Real_Discount_Rate)^(Calculations!M33-'Assumed Values'!$C$5)</f>
        <v>3069.952165649137</v>
      </c>
    </row>
    <row r="34" spans="1:21" ht="15.75" x14ac:dyDescent="0.25">
      <c r="J34" s="126"/>
      <c r="L34" s="107"/>
      <c r="M34" s="11">
        <f t="shared" si="1"/>
        <v>2048</v>
      </c>
      <c r="N34" s="113">
        <f t="shared" si="6"/>
        <v>128177.48864489619</v>
      </c>
      <c r="O34" s="114">
        <f t="shared" si="7"/>
        <v>1.1040098420588951E-2</v>
      </c>
      <c r="P34" s="115">
        <f t="shared" si="8"/>
        <v>0.98820589802020309</v>
      </c>
      <c r="Q34" s="116">
        <f t="shared" si="4"/>
        <v>1</v>
      </c>
      <c r="R34" s="31">
        <f>IF(M34=Year_Open_to_Traffic?,Calculations!$J$5,Calculations!R33+(Calculations!R33*Calculations!O34*Q34))</f>
        <v>22081549.319116697</v>
      </c>
      <c r="S34" s="46">
        <f t="shared" si="0"/>
        <v>1</v>
      </c>
      <c r="T34" s="31">
        <f t="shared" si="5"/>
        <v>22081.549319116697</v>
      </c>
      <c r="U34" s="32">
        <f>T34/(1+Real_Discount_Rate)^(Calculations!M34-'Assumed Values'!$C$5)</f>
        <v>2900.7894763592558</v>
      </c>
    </row>
    <row r="35" spans="1:21" ht="15.75" x14ac:dyDescent="0.25">
      <c r="G35" s="42"/>
      <c r="H35" s="42"/>
      <c r="L35" s="107"/>
      <c r="M35" s="11">
        <f t="shared" si="1"/>
        <v>2049</v>
      </c>
      <c r="N35" s="113">
        <f t="shared" si="6"/>
        <v>129592.58073483976</v>
      </c>
      <c r="O35" s="114">
        <f t="shared" si="7"/>
        <v>1.1040098420588951E-2</v>
      </c>
      <c r="P35" s="115">
        <f t="shared" si="8"/>
        <v>0.9991157883941526</v>
      </c>
      <c r="Q35" s="116">
        <f t="shared" si="4"/>
        <v>1</v>
      </c>
      <c r="R35" s="31">
        <f>IF(M35=Year_Open_to_Traffic?,Calculations!$J$5,Calculations!R34+(Calculations!R34*Calculations!O35*Q35))</f>
        <v>22325331.796878833</v>
      </c>
      <c r="S35" s="46">
        <f t="shared" si="0"/>
        <v>1</v>
      </c>
      <c r="T35" s="31">
        <f t="shared" si="5"/>
        <v>22325.331796878832</v>
      </c>
      <c r="U35" s="32">
        <f>T35/(1+Real_Discount_Rate)^(Calculations!M35-'Assumed Values'!$C$5)</f>
        <v>2740.9481099772615</v>
      </c>
    </row>
    <row r="36" spans="1:21" ht="15.75" x14ac:dyDescent="0.25">
      <c r="G36" s="42"/>
      <c r="H36" s="42"/>
      <c r="L36" s="107"/>
      <c r="M36" s="11">
        <f t="shared" si="1"/>
        <v>2050</v>
      </c>
      <c r="N36" s="113">
        <f t="shared" si="6"/>
        <v>131023.29558073051</v>
      </c>
      <c r="O36" s="114">
        <f t="shared" si="7"/>
        <v>1.1040098420588951E-2</v>
      </c>
      <c r="P36" s="115">
        <f t="shared" si="8"/>
        <v>1.0101461250315884</v>
      </c>
      <c r="Q36" s="116">
        <f t="shared" si="4"/>
        <v>0</v>
      </c>
      <c r="R36" s="31">
        <f>IF(M36=Year_Open_to_Traffic?,Calculations!$J$5,Calculations!R35+(Calculations!R35*Calculations!O36*Q36))</f>
        <v>22325331.796878833</v>
      </c>
      <c r="S36" s="46">
        <f t="shared" si="0"/>
        <v>1</v>
      </c>
      <c r="T36" s="31">
        <f t="shared" si="5"/>
        <v>22325.331796878832</v>
      </c>
      <c r="U36" s="32">
        <f>T36/(1+Real_Discount_Rate)^(Calculations!M36-'Assumed Values'!$C$5)</f>
        <v>2561.6337476423009</v>
      </c>
    </row>
    <row r="37" spans="1:21" x14ac:dyDescent="0.25">
      <c r="M37" s="40"/>
      <c r="N37" s="40"/>
      <c r="O37" s="119"/>
      <c r="P37" s="121"/>
      <c r="Q37" s="40"/>
      <c r="R37" s="40"/>
      <c r="S37" s="40"/>
      <c r="T37" s="40"/>
      <c r="U37" s="32">
        <f>SUM(U4:U36)</f>
        <v>171304.17190192008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8" t="s">
        <v>147</v>
      </c>
      <c r="C12" s="139"/>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0"/>
      <c r="T12" s="140"/>
      <c r="U12" s="140"/>
      <c r="V12" s="140"/>
      <c r="W12" s="140"/>
      <c r="X12" s="140"/>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0"/>
      <c r="T26" s="140"/>
      <c r="U26" s="140"/>
      <c r="V26" s="140"/>
      <c r="W26" s="140"/>
      <c r="X26" s="140"/>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4799D2-5A44-48AA-A907-27BC5A8F1BE4}">
  <ds:schemaRefs>
    <ds:schemaRef ds:uri="http://schemas.microsoft.com/sharepoint/v3/contenttype/forms"/>
  </ds:schemaRefs>
</ds:datastoreItem>
</file>

<file path=customXml/itemProps2.xml><?xml version="1.0" encoding="utf-8"?>
<ds:datastoreItem xmlns:ds="http://schemas.openxmlformats.org/officeDocument/2006/customXml" ds:itemID="{300BEAD7-BBD1-41E5-8A90-C123CBE22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0B3582-82C0-4D1B-BEFC-CA29C4F165A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b691747-8bc2-4259-b27e-e7a3fc70b31c"/>
    <ds:schemaRef ds:uri="B5D90540-3F5E-474C-9A86-D177C8B4CD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2018-10-29T20:45:43Z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