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2_HW_FM1314/"/>
    </mc:Choice>
  </mc:AlternateContent>
  <xr:revisionPtr revIDLastSave="12" documentId="10_ncr:100000_{31829A98-364B-4B96-8B43-F9425F1A2E1C}" xr6:coauthVersionLast="40" xr6:coauthVersionMax="40" xr10:uidLastSave="{38D5DD8D-DB56-4AF6-859B-B8A7792723D4}"/>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N4" i="12"/>
  <c r="B11" i="12"/>
  <c r="B9" i="12"/>
  <c r="B10" i="12"/>
  <c r="O10" i="12"/>
  <c r="O35"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3" i="12"/>
  <c r="B15" i="12"/>
  <c r="B14" i="12"/>
  <c r="I24" i="9"/>
  <c r="H24" i="9"/>
  <c r="G24" i="9"/>
  <c r="F24" i="9"/>
  <c r="E24" i="9"/>
  <c r="D24" i="9"/>
  <c r="B16" i="12"/>
  <c r="P4" i="12"/>
  <c r="B17" i="12"/>
  <c r="O15" i="12"/>
  <c r="O33" i="12"/>
  <c r="O34" i="12"/>
  <c r="O30" i="12"/>
  <c r="O24" i="12"/>
  <c r="O17" i="12"/>
  <c r="O28" i="12"/>
  <c r="O20" i="12"/>
  <c r="O29" i="12"/>
  <c r="O21" i="12"/>
  <c r="O13" i="12"/>
  <c r="O16" i="12"/>
  <c r="O27" i="12"/>
  <c r="O25" i="12"/>
  <c r="O26" i="12"/>
  <c r="O18" i="12"/>
  <c r="O19" i="12"/>
  <c r="O12" i="12"/>
  <c r="O22" i="12"/>
  <c r="O14"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O5" i="12"/>
  <c r="N5" i="12"/>
  <c r="O6" i="12"/>
  <c r="N6" i="12"/>
  <c r="O7" i="12"/>
  <c r="N7" i="12"/>
  <c r="O8" i="12"/>
  <c r="N8" i="12"/>
  <c r="O9" i="12"/>
  <c r="N9" i="12"/>
  <c r="N10" i="12"/>
  <c r="E4" i="12"/>
  <c r="E5" i="12"/>
  <c r="E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P5" i="12"/>
  <c r="O31" i="12"/>
  <c r="O36" i="12"/>
  <c r="E21" i="12"/>
  <c r="H26" i="12"/>
  <c r="E18" i="12"/>
  <c r="E26" i="12"/>
  <c r="E20" i="12"/>
  <c r="G26" i="12"/>
  <c r="E17" i="12"/>
  <c r="D26" i="12"/>
  <c r="E19" i="12"/>
  <c r="F26" i="12"/>
  <c r="E22" i="12"/>
  <c r="I26" i="12"/>
  <c r="Q5" i="12"/>
  <c r="P6" i="12"/>
  <c r="Q4" i="12"/>
  <c r="O11" i="12"/>
  <c r="O32" i="12"/>
  <c r="E32" i="12"/>
  <c r="E29" i="12"/>
  <c r="E31" i="12"/>
  <c r="E27" i="12"/>
  <c r="E28" i="12"/>
  <c r="E33" i="12"/>
  <c r="E30" i="12"/>
  <c r="Q6" i="12"/>
  <c r="P7" i="12"/>
  <c r="I30" i="12"/>
  <c r="I29" i="12"/>
  <c r="I33" i="12"/>
  <c r="I32" i="12"/>
  <c r="I31" i="12"/>
  <c r="I27" i="12"/>
  <c r="I28" i="12"/>
  <c r="F32" i="12"/>
  <c r="F30" i="12"/>
  <c r="F33" i="12"/>
  <c r="F27" i="12"/>
  <c r="F28" i="12"/>
  <c r="F29" i="12"/>
  <c r="F31" i="12"/>
  <c r="D31" i="12"/>
  <c r="G31" i="12"/>
  <c r="H31" i="12"/>
  <c r="J31" i="12"/>
  <c r="D33" i="12"/>
  <c r="G33" i="12"/>
  <c r="H33" i="12"/>
  <c r="J33" i="12"/>
  <c r="D32" i="12"/>
  <c r="G32" i="12"/>
  <c r="H32" i="12"/>
  <c r="J32" i="12"/>
  <c r="D30" i="12"/>
  <c r="G30" i="12"/>
  <c r="H30" i="12"/>
  <c r="J30" i="12"/>
  <c r="D27" i="12"/>
  <c r="G27" i="12"/>
  <c r="H27" i="12"/>
  <c r="J27" i="12"/>
  <c r="D28" i="12"/>
  <c r="G28" i="12"/>
  <c r="H28" i="12"/>
  <c r="J28" i="12"/>
  <c r="D29" i="12"/>
  <c r="G29" i="12"/>
  <c r="H29" i="12"/>
  <c r="J29" i="12"/>
  <c r="J5"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R5" i="12"/>
  <c r="Q7" i="12"/>
  <c r="P8" i="12"/>
  <c r="R6" i="12"/>
  <c r="T5" i="12"/>
  <c r="U5" i="12"/>
  <c r="Q8" i="12"/>
  <c r="P9" i="12"/>
  <c r="T6" i="12"/>
  <c r="U6" i="12"/>
  <c r="R7" i="12"/>
  <c r="T7" i="12"/>
  <c r="U7" i="12"/>
  <c r="R8" i="12"/>
  <c r="P10" i="12"/>
  <c r="Q9" i="12"/>
  <c r="Q10" i="12"/>
  <c r="P11" i="12"/>
  <c r="T8" i="12"/>
  <c r="U8" i="12"/>
  <c r="R9" i="12"/>
  <c r="R10" i="12"/>
  <c r="T9" i="12"/>
  <c r="U9" i="12"/>
  <c r="Q11" i="12"/>
  <c r="P12" i="12"/>
  <c r="P13" i="12"/>
  <c r="Q12" i="12"/>
  <c r="T10" i="12"/>
  <c r="U10" i="12"/>
  <c r="R11" i="12"/>
  <c r="T11" i="12"/>
  <c r="U11" i="12"/>
  <c r="R12" i="12"/>
  <c r="Q13" i="12"/>
  <c r="P14" i="12"/>
  <c r="P15" i="12"/>
  <c r="Q14" i="12"/>
  <c r="R13" i="12"/>
  <c r="T12" i="12"/>
  <c r="U12" i="12"/>
  <c r="R14" i="12"/>
  <c r="T13" i="12"/>
  <c r="U13" i="12"/>
  <c r="P16" i="12"/>
  <c r="Q15" i="12"/>
  <c r="Q16" i="12"/>
  <c r="P17" i="12"/>
  <c r="T14" i="12"/>
  <c r="U14" i="12"/>
  <c r="R15" i="12"/>
  <c r="T15" i="12"/>
  <c r="U15" i="12"/>
  <c r="R16" i="12"/>
  <c r="P18" i="12"/>
  <c r="Q17" i="12"/>
  <c r="P19" i="12"/>
  <c r="Q18" i="12"/>
  <c r="T16" i="12"/>
  <c r="U16" i="12"/>
  <c r="R17" i="12"/>
  <c r="T17" i="12"/>
  <c r="U17" i="12"/>
  <c r="R18" i="12"/>
  <c r="Q19" i="12"/>
  <c r="P20" i="12"/>
  <c r="P21" i="12"/>
  <c r="Q20" i="12"/>
  <c r="T18" i="12"/>
  <c r="U18" i="12"/>
  <c r="R19" i="12"/>
  <c r="T19" i="12"/>
  <c r="U19" i="12"/>
  <c r="R20" i="12"/>
  <c r="P22" i="12"/>
  <c r="Q21" i="12"/>
  <c r="P23" i="12"/>
  <c r="Q22" i="12"/>
  <c r="R21" i="12"/>
  <c r="T20" i="12"/>
  <c r="U20" i="12"/>
  <c r="R22" i="12"/>
  <c r="T21" i="12"/>
  <c r="U21" i="12"/>
  <c r="P24" i="12"/>
  <c r="Q23" i="12"/>
  <c r="Q24" i="12"/>
  <c r="P25" i="12"/>
  <c r="T22" i="12"/>
  <c r="U22" i="12"/>
  <c r="R23" i="12"/>
  <c r="R24" i="12"/>
  <c r="T23" i="12"/>
  <c r="U23" i="12"/>
  <c r="P26" i="12"/>
  <c r="Q25" i="12"/>
  <c r="Q26" i="12"/>
  <c r="P27" i="12"/>
  <c r="T24" i="12"/>
  <c r="U24" i="12"/>
  <c r="R25" i="12"/>
  <c r="R26" i="12"/>
  <c r="T25" i="12"/>
  <c r="U25" i="12"/>
  <c r="P28" i="12"/>
  <c r="Q27" i="12"/>
  <c r="Q28" i="12"/>
  <c r="P29" i="12"/>
  <c r="T26" i="12"/>
  <c r="U26" i="12"/>
  <c r="R27" i="12"/>
  <c r="R28" i="12"/>
  <c r="T27" i="12"/>
  <c r="U27" i="12"/>
  <c r="Q29" i="12"/>
  <c r="P30" i="12"/>
  <c r="P31" i="12"/>
  <c r="Q30" i="12"/>
  <c r="R29" i="12"/>
  <c r="T28" i="12"/>
  <c r="U28" i="12"/>
  <c r="T29" i="12"/>
  <c r="U29" i="12"/>
  <c r="R30" i="12"/>
  <c r="P32" i="12"/>
  <c r="Q31" i="12"/>
  <c r="T30" i="12"/>
  <c r="U30" i="12"/>
  <c r="R31" i="12"/>
  <c r="P33" i="12"/>
  <c r="Q32" i="12"/>
  <c r="R32" i="12"/>
  <c r="T31" i="12"/>
  <c r="U31" i="12"/>
  <c r="P34" i="12"/>
  <c r="Q33" i="12"/>
  <c r="Q34" i="12"/>
  <c r="P35" i="12"/>
  <c r="T32" i="12"/>
  <c r="U32" i="12"/>
  <c r="R33" i="12"/>
  <c r="T33" i="12"/>
  <c r="U33" i="12"/>
  <c r="R34" i="12"/>
  <c r="Q35" i="12"/>
  <c r="P36" i="12"/>
  <c r="Q36" i="12"/>
  <c r="R35" i="12"/>
  <c r="T34" i="12"/>
  <c r="U34"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<sst xmlns="http://schemas.openxmlformats.org/spreadsheetml/2006/main" count="441" uniqueCount="286">
  <si>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</si>
  <si>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</si>
  <si>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</si>
  <si>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</si>
  <si>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</si>
  <si>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</si>
  <si>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</si>
  <si>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</si>
  <si>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</si>
  <si>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</si>
  <si>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</si>
  <si>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</si>
  <si>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</si>
  <si>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</si>
  <si>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</si>
  <si>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</si>
  <si>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</si>
  <si>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</si>
  <si>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</si>
  <si>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</si>
  <si>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</si>
  <si>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</si>
  <si>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</si>
  <si>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</si>
  <si>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</si>
  <si>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</si>
  <si>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</si>
  <si>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</si>
  <si>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</si>
  <si>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</si>
  <si>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</si>
  <si>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</si>
  <si>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</si>
  <si>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</si>
  <si>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</si>
  <si>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</si>
  <si>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</si>
  <si>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</si>
  <si>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</si>
  <si>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</si>
  <si>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</si>
  <si>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</si>
  <si>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</si>
  <si>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</si>
  <si>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</si>
  <si>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</si>
  <si>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</si>
  <si>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</si>
  <si>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332 Widening</t>
  </si>
  <si>
    <t>County</t>
  </si>
  <si>
    <t>Brazoria</t>
  </si>
  <si>
    <t>Data entered by the sponsors</t>
  </si>
  <si>
    <t>Facility Type</t>
  </si>
  <si>
    <t>Non-Freeway</t>
  </si>
  <si>
    <t>HGAC regional travel demand model data provided by HGAC upon request</t>
  </si>
  <si>
    <t>Street Name:</t>
  </si>
  <si>
    <t>SH 332</t>
  </si>
  <si>
    <t>Populated based on selection in cell "C18"</t>
  </si>
  <si>
    <t>Limits (From)</t>
  </si>
  <si>
    <t>E of FM 521</t>
  </si>
  <si>
    <t>Benefits calculated by the template</t>
  </si>
  <si>
    <t>Limits (To)</t>
  </si>
  <si>
    <t>SH 288</t>
  </si>
  <si>
    <t>Length (in Miles)</t>
  </si>
  <si>
    <t>Application ID Number:</t>
  </si>
  <si>
    <t>Sponsor ID Number (CSJ, etc.):</t>
  </si>
  <si>
    <t>1524-01-047</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</si>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</sst>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1" zoomScaleNormal="100" workbookViewId="0" xr3:uid="{51F8DEE0-4D01-5F28-A812-FC0BD7CAC4A5}">
      <selection activeCell="F31" sqref="F31"/>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1.02</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2024</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43311</v>
      </c>
      <c r="D25" s="82"/>
      <c r="I25" s="41"/>
    </row>
    <row r="26" spans="2:13">
      <c r="I26" s="41"/>
    </row>
    <row r="27" spans="2:13">
      <c r="B27" s="73" t="s">
        <v>76</v>
      </c>
      <c r="C27" s="74">
        <v>24060</v>
      </c>
      <c r="D27" s="82"/>
      <c r="I27" s="41"/>
    </row>
    <row r="28" spans="2:13">
      <c r="B28" s="73" t="s">
        <v>77</v>
      </c>
      <c r="C28" s="74">
        <v>10878</v>
      </c>
      <c r="D28" s="82"/>
      <c r="I28" s="41"/>
    </row>
    <row r="29" spans="2:13">
      <c r="B29" s="73" t="s">
        <v>78</v>
      </c>
      <c r="C29" s="75">
        <v>25634</v>
      </c>
      <c r="D29" s="58"/>
      <c r="I29" s="41"/>
    </row>
    <row r="30" spans="2:13">
      <c r="B30" s="73" t="s">
        <v>79</v>
      </c>
      <c r="C30" s="75">
        <v>22438</v>
      </c>
      <c r="D30" s="58"/>
      <c r="I30" s="41"/>
    </row>
    <row r="31" spans="2:13">
      <c r="B31" s="73" t="s">
        <v>80</v>
      </c>
      <c r="C31" s="74">
        <v>29870</v>
      </c>
      <c r="D31" s="82"/>
      <c r="H31" s="59"/>
    </row>
    <row r="32" spans="2:13">
      <c r="B32" s="73" t="s">
        <v>81</v>
      </c>
      <c r="C32" s="74">
        <v>14342</v>
      </c>
      <c r="D32" s="82"/>
    </row>
    <row r="34" spans="2:9" ht="18.75">
      <c r="B34" s="43" t="s">
        <v>82</v>
      </c>
      <c r="C34" s="44"/>
      <c r="D34" s="44"/>
      <c r="E34" s="44"/>
      <c r="F34" s="44"/>
      <c r="I34" s="59"/>
    </row>
    <row r="36" spans="2:9">
      <c r="B36" s="9" t="s">
        <v>83</v>
      </c>
    </row>
    <row r="37" spans="2:9">
      <c r="B37" s="8" t="s">
        <v>84</v>
      </c>
      <c r="C37" s="34">
        <f>Calculations!U37</f>
        <v>18845.760951248711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45728.550088578035</v>
      </c>
      <c r="G4" s="136" t="s">
        <v>95</v>
      </c>
      <c r="H4" s="136"/>
      <c r="I4" s="136"/>
      <c r="J4" s="136"/>
      <c r="L4" s="106"/>
      <c r="M4" s="107">
        <v>2018</v>
      </c>
      <c r="N4" s="108">
        <f>_2018_Volume_ADT</f>
        <v>43311</v>
      </c>
      <c r="O4" s="109" t="s">
        <v>96</v>
      </c>
      <c r="P4" s="110">
        <f>MIN(B12,1)</f>
        <v>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46643.121090349596</v>
      </c>
      <c r="G5" s="137" t="s">
        <v>99</v>
      </c>
      <c r="H5" s="137"/>
      <c r="I5" s="137"/>
      <c r="J5" s="111">
        <f>SUMPRODUCT(Possible_Crash_Reductions,'Value of Statistical Life'!E5:E11)</f>
        <v>2354109.6346415775</v>
      </c>
      <c r="L5" s="106"/>
      <c r="M5" s="11">
        <f t="shared" ref="M5:M36" si="1">M4+1</f>
        <v>2019</v>
      </c>
      <c r="N5" s="112">
        <f>N4+(N4*O5)</f>
        <v>43704.861460017615</v>
      </c>
      <c r="O5" s="113">
        <f t="shared" ref="O5:O11" si="2">IF(ISERROR(_2025_2045_Demand_Growth),_2018_2045_Demand_Growth,_2018_2025_Demand_Growth)</f>
        <v>9.0937974190763438E-3</v>
      </c>
      <c r="P5" s="114">
        <f t="shared" ref="P5:P11" si="3">P4*(1+IFERROR(_2018_2025_V_C_Growth,_2018_2045_V_C_Growth))</f>
        <v>0.909938914002278</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12127211.483490895</v>
      </c>
      <c r="L6" s="106"/>
      <c r="M6" s="107">
        <f t="shared" si="1"/>
        <v>2020</v>
      </c>
      <c r="N6" s="112">
        <f t="shared" ref="N6:N36" si="6">N5+(N5*O6)</f>
        <v>44102.304616363814</v>
      </c>
      <c r="O6" s="113">
        <f t="shared" si="2"/>
        <v>9.0937974190763438E-3</v>
      </c>
      <c r="P6" s="114">
        <f t="shared" si="3"/>
        <v>0.82798882721564504</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44503.362040259424</v>
      </c>
      <c r="O7" s="113">
        <f t="shared" si="2"/>
        <v>9.0937974190763438E-3</v>
      </c>
      <c r="P7" s="114">
        <f t="shared" si="3"/>
        <v>0.7534192542426239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44908.066599121354</v>
      </c>
      <c r="O8" s="113">
        <f t="shared" si="2"/>
        <v>9.0937974190763438E-3</v>
      </c>
      <c r="P8" s="114">
        <f t="shared" si="3"/>
        <v>0.6855654979939394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9.0937974190763438E-3</v>
      </c>
      <c r="D9" s="39" t="s">
        <v>104</v>
      </c>
      <c r="E9" s="119">
        <f>IF('Inputs &amp; Outputs'!$C$8='CRASH RATES'!$D$3, VLOOKUP('Inputs &amp; Outputs'!$C$7,'CRASH RATES'!$C$14:$J$21,3,FALSE), VLOOKUP('Inputs &amp; Outputs'!$C$7,'CRASH RATES'!$C$28:$J$35,3,FALSE))</f>
        <v>2.3625405586197226</v>
      </c>
      <c r="F9" s="85"/>
      <c r="L9" s="106"/>
      <c r="M9" s="11">
        <f t="shared" si="1"/>
        <v>2023</v>
      </c>
      <c r="N9" s="112">
        <f t="shared" si="6"/>
        <v>45316.451459256154</v>
      </c>
      <c r="O9" s="113">
        <f t="shared" si="2"/>
        <v>9.0937974190763438E-3</v>
      </c>
      <c r="P9" s="114">
        <f t="shared" si="3"/>
        <v>0.62382272472203615</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7.6760629167789141E-3</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45728.550088578035</v>
      </c>
      <c r="O10" s="113">
        <f t="shared" si="2"/>
        <v>9.0937974190763438E-3</v>
      </c>
      <c r="P10" s="114">
        <f t="shared" si="3"/>
        <v>0.56764057266351164</v>
      </c>
      <c r="Q10" s="115">
        <f t="shared" si="4"/>
        <v>1</v>
      </c>
      <c r="R10" s="30">
        <f>IF(M10=Year_Open_to_Traffic?,Calculations!$J$5,Calculations!R9+(Calculations!R9*Calculations!O10*Q10))</f>
        <v>2354109.6346415775</v>
      </c>
      <c r="S10" s="45">
        <f t="shared" si="0"/>
        <v>1</v>
      </c>
      <c r="T10" s="30">
        <f t="shared" si="5"/>
        <v>2354.1096346415775</v>
      </c>
      <c r="U10" s="31">
        <f>T10/(1+Real_Discount_Rate)^(Calculations!M10-'Assumed Values'!$C$5)</f>
        <v>1568.6426490549466</v>
      </c>
    </row>
    <row r="11" spans="1:21" ht="15.75">
      <c r="A11" s="39" t="s">
        <v>107</v>
      </c>
      <c r="B11" s="118">
        <f>(_2045_Peak_Period_Volume/'Inputs &amp; Outputs'!$C$27)^(1/(2045-2018))-1</f>
        <v>8.0434323387434947E-3</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46144.396259351648</v>
      </c>
      <c r="O11" s="113">
        <f t="shared" si="2"/>
        <v>9.0937974190763438E-3</v>
      </c>
      <c r="P11" s="114">
        <f t="shared" si="3"/>
        <v>0.51651824623306697</v>
      </c>
      <c r="Q11" s="115">
        <f t="shared" si="4"/>
        <v>1</v>
      </c>
      <c r="R11" s="30">
        <f>IF(M11=Year_Open_to_Traffic?,Calculations!$J$5,Calculations!R10+(Calculations!R10*Calculations!O11*Q11))</f>
        <v>2375517.4307613038</v>
      </c>
      <c r="S11" s="45">
        <f t="shared" si="0"/>
        <v>1</v>
      </c>
      <c r="T11" s="30">
        <f t="shared" si="5"/>
        <v>2375.5174307613038</v>
      </c>
      <c r="U11" s="31">
        <f>T11/(1+Real_Discount_Rate)^(Calculations!M11-'Assumed Values'!$C$5)</f>
        <v>1479.3528668489489</v>
      </c>
    </row>
    <row r="12" spans="1:21" ht="15.75">
      <c r="A12" s="39" t="s">
        <v>109</v>
      </c>
      <c r="B12" s="120">
        <f>'Inputs &amp; Outputs'!C27/_2018_Peak_Period_Capacity</f>
        <v>2.2118036403750692</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46498.603548295207</v>
      </c>
      <c r="O12" s="113">
        <f t="shared" ref="O12:O36" si="7">IFERROR(_2025_2045_Demand_Growth,_2018_2045_Demand_Growth)</f>
        <v>7.6760629167789141E-3</v>
      </c>
      <c r="P12" s="114">
        <f t="shared" ref="P12:P36" si="8">P11*(1+IFERROR(_2025_2040_V_C_Growth,_2018_2045_V_C_Growth))</f>
        <v>0.53226184026010037</v>
      </c>
      <c r="Q12" s="115">
        <f t="shared" si="4"/>
        <v>1</v>
      </c>
      <c r="R12" s="30">
        <f>IF(M12=Year_Open_to_Traffic?,Calculations!$J$5,Calculations!R11+(Calculations!R11*Calculations!O12*Q12))</f>
        <v>2393752.0520197325</v>
      </c>
      <c r="S12" s="45">
        <f t="shared" si="0"/>
        <v>1</v>
      </c>
      <c r="T12" s="30">
        <f t="shared" si="5"/>
        <v>2393.7520520197327</v>
      </c>
      <c r="U12" s="31">
        <f>T12/(1+Real_Discount_Rate)^(Calculations!M12-'Assumed Values'!$C$5)</f>
        <v>1393.1854883467279</v>
      </c>
    </row>
    <row r="13" spans="1:21" ht="15.75">
      <c r="A13" s="39" t="s">
        <v>111</v>
      </c>
      <c r="B13" s="120">
        <f>_2025_Peak_Period_Volume/_2025_Peak_Period_Capacity</f>
        <v>1.1424369373384438</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46855.52975467428</v>
      </c>
      <c r="O13" s="113">
        <f t="shared" si="7"/>
        <v>7.6760629167789141E-3</v>
      </c>
      <c r="P13" s="114">
        <f t="shared" si="8"/>
        <v>0.54848530262614348</v>
      </c>
      <c r="Q13" s="115">
        <f t="shared" si="4"/>
        <v>1</v>
      </c>
      <c r="R13" s="30">
        <f>IF(M13=Year_Open_to_Traffic?,Calculations!$J$5,Calculations!R12+(Calculations!R12*Calculations!O13*Q13))</f>
        <v>2412126.6433782047</v>
      </c>
      <c r="S13" s="45">
        <f t="shared" si="0"/>
        <v>1</v>
      </c>
      <c r="T13" s="30">
        <f t="shared" si="5"/>
        <v>2412.1266433782048</v>
      </c>
      <c r="U13" s="31">
        <f>T13/(1+Real_Discount_Rate)^(Calculations!M13-'Assumed Values'!$C$5)</f>
        <v>1312.0370727196455</v>
      </c>
    </row>
    <row r="14" spans="1:21" ht="15.75">
      <c r="A14" s="39" t="s">
        <v>113</v>
      </c>
      <c r="B14" s="120">
        <f>_2045_Peak_Period_Volume/_2045_Peak_Period_Capacity</f>
        <v>2.0826941849114489</v>
      </c>
      <c r="D14" s="39" t="s">
        <v>114</v>
      </c>
      <c r="E14" s="119">
        <f>IF('Inputs &amp; Outputs'!$C$8='CRASH RATES'!$D$3, VLOOKUP('Inputs &amp; Outputs'!$C$7,'CRASH RATES'!$C$14:$J$21,8,FALSE), VLOOKUP('Inputs &amp; Outputs'!$C$7,'CRASH RATES'!$C$28:$J$35,8,FALSE))</f>
        <v>20.354195581954531</v>
      </c>
      <c r="F14" s="85"/>
      <c r="L14" s="106"/>
      <c r="M14" s="107">
        <f>M13+1</f>
        <v>2028</v>
      </c>
      <c r="N14" s="112">
        <f t="shared" si="6"/>
        <v>47215.195749070168</v>
      </c>
      <c r="O14" s="113">
        <f t="shared" si="7"/>
        <v>7.6760629167789141E-3</v>
      </c>
      <c r="P14" s="114">
        <f>P13*(1+IFERROR(_2025_2040_V_C_Growth,_2018_2045_V_C_Growth))</f>
        <v>0.56520325982768671</v>
      </c>
      <c r="Q14" s="115">
        <f t="shared" si="4"/>
        <v>1</v>
      </c>
      <c r="R14" s="30">
        <f>IF(M14=Year_Open_to_Traffic?,Calculations!$J$5,Calculations!R13+(Calculations!R13*Calculations!O14*Q14))</f>
        <v>2430642.2792560146</v>
      </c>
      <c r="S14" s="45">
        <f t="shared" si="0"/>
        <v>1</v>
      </c>
      <c r="T14" s="30">
        <f t="shared" si="5"/>
        <v>2430.6422792560147</v>
      </c>
      <c r="U14" s="31">
        <f>T14/(1+Real_Discount_Rate)^(Calculations!M14-'Assumed Values'!$C$5)</f>
        <v>1235.6152820925122</v>
      </c>
    </row>
    <row r="15" spans="1:21" ht="15.75">
      <c r="A15" s="39" t="s">
        <v>115</v>
      </c>
      <c r="B15" s="118">
        <f>(B13/B12)^(1/(2025-2018))-1</f>
        <v>-9.0061085997722001E-2</v>
      </c>
      <c r="L15" s="106"/>
      <c r="M15" s="11">
        <f>M14+1</f>
        <v>2029</v>
      </c>
      <c r="N15" s="112">
        <f t="shared" si="6"/>
        <v>47577.622562268065</v>
      </c>
      <c r="O15" s="113">
        <f t="shared" si="7"/>
        <v>7.6760629167789141E-3</v>
      </c>
      <c r="P15" s="114">
        <f>P14*(1+IFERROR(_2025_2040_V_C_Growth,_2018_2045_V_C_Growth))</f>
        <v>0.58243078418017169</v>
      </c>
      <c r="Q15" s="115">
        <f t="shared" si="4"/>
        <v>1</v>
      </c>
      <c r="R15" s="30">
        <f>IF(M15=Year_Open_to_Traffic?,Calculations!$J$5,Calculations!R14+(Calculations!R14*Calculations!O15*Q15))</f>
        <v>2449300.0423197667</v>
      </c>
      <c r="S15" s="45">
        <f t="shared" si="0"/>
        <v>1</v>
      </c>
      <c r="T15" s="30">
        <f t="shared" si="5"/>
        <v>2449.3000423197668</v>
      </c>
      <c r="U15" s="31">
        <f>T15/(1+Real_Discount_Rate)^(Calculations!M15-'Assumed Values'!$C$5)</f>
        <v>1163.6448062979323</v>
      </c>
    </row>
    <row r="16" spans="1:21" ht="15.75">
      <c r="A16" s="39" t="s">
        <v>116</v>
      </c>
      <c r="B16" s="118">
        <f>(B14/B13)^(1/(2045-2025))-1</f>
        <v>3.0480228223979333E-2</v>
      </c>
      <c r="D16" s="121" t="s">
        <v>117</v>
      </c>
      <c r="E16" s="57"/>
      <c r="L16" s="106"/>
      <c r="M16" s="107">
        <f t="shared" si="1"/>
        <v>2030</v>
      </c>
      <c r="N16" s="112">
        <f t="shared" si="6"/>
        <v>47942.831386486796</v>
      </c>
      <c r="O16" s="113">
        <f t="shared" si="7"/>
        <v>7.6760629167789141E-3</v>
      </c>
      <c r="P16" s="114">
        <f t="shared" si="8"/>
        <v>0.60018340740665455</v>
      </c>
      <c r="Q16" s="115">
        <f t="shared" si="4"/>
        <v>1</v>
      </c>
      <c r="R16" s="30">
        <f>IF(M16=Year_Open_to_Traffic?,Calculations!$J$5,Calculations!R15+(Calculations!R15*Calculations!O16*Q16))</f>
        <v>2468101.0235466827</v>
      </c>
      <c r="S16" s="45">
        <f t="shared" si="0"/>
        <v>1</v>
      </c>
      <c r="T16" s="30">
        <f t="shared" si="5"/>
        <v>2468.1010235466829</v>
      </c>
      <c r="U16" s="31">
        <f>T16/(1+Real_Discount_Rate)^(Calculations!M16-'Assumed Values'!$C$5)</f>
        <v>1095.8663710690269</v>
      </c>
    </row>
    <row r="17" spans="1:21" ht="15.75">
      <c r="A17" s="39" t="s">
        <v>118</v>
      </c>
      <c r="B17" s="118">
        <f>(B14/B12)^(1/(2045-2018))-1</f>
        <v>-2.2251492981202325E-3</v>
      </c>
      <c r="D17" s="39" t="s">
        <v>119</v>
      </c>
      <c r="E17" s="122">
        <f>($E$6*Death_Rate)/100000000</f>
        <v>0.28651028992706096</v>
      </c>
      <c r="L17" s="106"/>
      <c r="M17" s="11">
        <f t="shared" si="1"/>
        <v>2031</v>
      </c>
      <c r="N17" s="112">
        <f t="shared" si="6"/>
        <v>48310.84357661799</v>
      </c>
      <c r="O17" s="113">
        <f t="shared" si="7"/>
        <v>7.6760629167789141E-3</v>
      </c>
      <c r="P17" s="114">
        <f t="shared" si="8"/>
        <v>0.6184771346406549</v>
      </c>
      <c r="Q17" s="115">
        <f t="shared" si="4"/>
        <v>1</v>
      </c>
      <c r="R17" s="30">
        <f>IF(M17=Year_Open_to_Traffic?,Calculations!$J$5,Calculations!R16+(Calculations!R16*Calculations!O17*Q17))</f>
        <v>2487046.3222883935</v>
      </c>
      <c r="S17" s="45">
        <f t="shared" si="0"/>
        <v>1</v>
      </c>
      <c r="T17" s="30">
        <f t="shared" si="5"/>
        <v>2487.0463222883936</v>
      </c>
      <c r="U17" s="31">
        <f>T17/(1+Real_Discount_Rate)^(Calculations!M17-'Assumed Values'!$C$5)</f>
        <v>1032.0358040016213</v>
      </c>
    </row>
    <row r="18" spans="1:21" ht="15.75">
      <c r="D18" s="39" t="s">
        <v>120</v>
      </c>
      <c r="E18" s="122">
        <f>($E$6*Incap_Injry_Rate)/100000000</f>
        <v>1.021152058970807</v>
      </c>
      <c r="L18" s="106"/>
      <c r="M18" s="107">
        <f t="shared" si="1"/>
        <v>2032</v>
      </c>
      <c r="N18" s="112">
        <f t="shared" si="6"/>
        <v>48681.680651474773</v>
      </c>
      <c r="O18" s="113">
        <f t="shared" si="7"/>
        <v>7.6760629167789141E-3</v>
      </c>
      <c r="P18" s="114">
        <f t="shared" si="8"/>
        <v>0.63732845885581491</v>
      </c>
      <c r="Q18" s="115">
        <f t="shared" si="4"/>
        <v>1</v>
      </c>
      <c r="R18" s="30">
        <f>IF(M18=Year_Open_to_Traffic?,Calculations!$J$5,Calculations!R17+(Calculations!R17*Calculations!O18*Q18))</f>
        <v>2506137.0463352227</v>
      </c>
      <c r="S18" s="45">
        <f t="shared" si="0"/>
        <v>1</v>
      </c>
      <c r="T18" s="30">
        <f t="shared" si="5"/>
        <v>2506.1370463352227</v>
      </c>
      <c r="U18" s="31">
        <f>T18/(1+Real_Discount_Rate)^(Calculations!M18-'Assumed Values'!$C$5)</f>
        <v>971.92315492103387</v>
      </c>
    </row>
    <row r="19" spans="1:21" ht="15.75">
      <c r="D19" s="39" t="s">
        <v>121</v>
      </c>
      <c r="E19" s="122">
        <f>($E$6*Nonincap_Injry_Rate)/100000000</f>
        <v>5.0102568648783476</v>
      </c>
      <c r="L19" s="106"/>
      <c r="M19" s="11">
        <f t="shared" si="1"/>
        <v>2033</v>
      </c>
      <c r="N19" s="112">
        <f t="shared" si="6"/>
        <v>49055.364295050029</v>
      </c>
      <c r="O19" s="113">
        <f t="shared" si="7"/>
        <v>7.6760629167789141E-3</v>
      </c>
      <c r="P19" s="114">
        <f t="shared" si="8"/>
        <v>0.6567543757353772</v>
      </c>
      <c r="Q19" s="115">
        <f t="shared" si="4"/>
        <v>1</v>
      </c>
      <c r="R19" s="30">
        <f>IF(M19=Year_Open_to_Traffic?,Calculations!$J$5,Calculations!R18+(Calculations!R18*Calculations!O19*Q19))</f>
        <v>2525374.3119809623</v>
      </c>
      <c r="S19" s="45">
        <f t="shared" si="0"/>
        <v>1</v>
      </c>
      <c r="T19" s="30">
        <f t="shared" si="5"/>
        <v>2525.3743119809624</v>
      </c>
      <c r="U19" s="31">
        <f>T19/(1+Real_Discount_Rate)^(Calculations!M19-'Assumed Values'!$C$5)</f>
        <v>915.31186748456241</v>
      </c>
    </row>
    <row r="20" spans="1:21" ht="15.75">
      <c r="D20" s="39" t="s">
        <v>122</v>
      </c>
      <c r="E20" s="122">
        <f>($E$6*Poss_Injry_Rate/100000000)</f>
        <v>7.8973990172202679</v>
      </c>
      <c r="L20" s="106"/>
      <c r="M20" s="107">
        <f t="shared" si="1"/>
        <v>2034</v>
      </c>
      <c r="N20" s="112">
        <f t="shared" si="6"/>
        <v>49431.916357784343</v>
      </c>
      <c r="O20" s="113">
        <f t="shared" si="7"/>
        <v>7.6760629167789141E-3</v>
      </c>
      <c r="P20" s="114">
        <f t="shared" si="8"/>
        <v>0.67677239899488861</v>
      </c>
      <c r="Q20" s="115">
        <f t="shared" si="4"/>
        <v>1</v>
      </c>
      <c r="R20" s="30">
        <f>IF(M20=Year_Open_to_Traffic?,Calculations!$J$5,Calculations!R19+(Calculations!R19*Calculations!O20*Q20))</f>
        <v>2544759.2440881454</v>
      </c>
      <c r="S20" s="45">
        <f t="shared" si="0"/>
        <v>1</v>
      </c>
      <c r="T20" s="30">
        <f t="shared" si="5"/>
        <v>2544.7592440881454</v>
      </c>
      <c r="U20" s="31">
        <f>T20/(1+Real_Discount_Rate)^(Calculations!M20-'Assumed Values'!$C$5)</f>
        <v>861.99799903537235</v>
      </c>
    </row>
    <row r="21" spans="1:21" ht="15.75">
      <c r="D21" s="39" t="s">
        <v>123</v>
      </c>
      <c r="E21" s="122">
        <f>($E$6*Non_Injry_Rate)/100000000</f>
        <v>74.617564481773272</v>
      </c>
      <c r="L21" s="106"/>
      <c r="M21" s="11">
        <f>M20+1</f>
        <v>2035</v>
      </c>
      <c r="N21" s="112">
        <f t="shared" si="6"/>
        <v>49811.358857843647</v>
      </c>
      <c r="O21" s="113">
        <f t="shared" si="7"/>
        <v>7.6760629167789141E-3</v>
      </c>
      <c r="P21" s="114">
        <f>P20*(1+IFERROR(_2025_2040_V_C_Growth,_2018_2045_V_C_Growth))</f>
        <v>0.69740057617194284</v>
      </c>
      <c r="Q21" s="115">
        <f t="shared" si="4"/>
        <v>1</v>
      </c>
      <c r="R21" s="30">
        <f>IF(M21=Year_Open_to_Traffic?,Calculations!$J$5,Calculations!R20+(Calculations!R20*Calculations!O21*Q21))</f>
        <v>2564292.9761538208</v>
      </c>
      <c r="S21" s="45">
        <f t="shared" si="0"/>
        <v>1</v>
      </c>
      <c r="T21" s="30">
        <f t="shared" si="5"/>
        <v>2564.2929761538207</v>
      </c>
      <c r="U21" s="31">
        <f>T21/(1+Real_Discount_Rate)^(Calculations!M21-'Assumed Values'!$C$5)</f>
        <v>811.78948589729475</v>
      </c>
    </row>
    <row r="22" spans="1:21" ht="15.75">
      <c r="D22" s="39" t="s">
        <v>124</v>
      </c>
      <c r="E22" s="122">
        <f>($E$6*Unkn_Injry_Rate)/100000000</f>
        <v>2.4683963439869867</v>
      </c>
      <c r="L22" s="106"/>
      <c r="M22" s="107">
        <f>M21+1</f>
        <v>2036</v>
      </c>
      <c r="N22" s="112">
        <f t="shared" si="6"/>
        <v>50193.713982406705</v>
      </c>
      <c r="O22" s="113">
        <f t="shared" si="7"/>
        <v>7.6760629167789141E-3</v>
      </c>
      <c r="P22" s="114">
        <f t="shared" si="8"/>
        <v>0.71865750489719837</v>
      </c>
      <c r="Q22" s="115">
        <f t="shared" si="4"/>
        <v>1</v>
      </c>
      <c r="R22" s="30">
        <f>IF(M22=Year_Open_to_Traffic?,Calculations!$J$5,Calculations!R21+(Calculations!R21*Calculations!O22*Q22))</f>
        <v>2583976.6503758319</v>
      </c>
      <c r="S22" s="45">
        <f t="shared" si="0"/>
        <v>1</v>
      </c>
      <c r="T22" s="30">
        <f t="shared" si="5"/>
        <v>2583.9766503758319</v>
      </c>
      <c r="U22" s="31">
        <f>T22/(1+Real_Discount_Rate)^(Calculations!M22-'Assumed Values'!$C$5)</f>
        <v>764.50545146375896</v>
      </c>
    </row>
    <row r="23" spans="1:21" ht="15.75">
      <c r="L23" s="106"/>
      <c r="M23" s="11">
        <f t="shared" si="1"/>
        <v>2037</v>
      </c>
      <c r="N23" s="112">
        <f t="shared" si="6"/>
        <v>50579.004088962465</v>
      </c>
      <c r="O23" s="113">
        <f t="shared" si="7"/>
        <v>7.6760629167789141E-3</v>
      </c>
      <c r="P23" s="114">
        <f t="shared" si="8"/>
        <v>0.74056234966134049</v>
      </c>
      <c r="Q23" s="115">
        <f t="shared" si="4"/>
        <v>1</v>
      </c>
      <c r="R23" s="30">
        <f>IF(M23=Year_Open_to_Traffic?,Calculations!$J$5,Calculations!R22+(Calculations!R22*Calculations!O23*Q23))</f>
        <v>2603811.4177196044</v>
      </c>
      <c r="S23" s="45">
        <f t="shared" si="0"/>
        <v>1</v>
      </c>
      <c r="T23" s="30">
        <f t="shared" si="5"/>
        <v>2603.8114177196044</v>
      </c>
      <c r="U23" s="31">
        <f>T23/(1+Real_Discount_Rate)^(Calculations!M23-'Assumed Values'!$C$5)</f>
        <v>719.97555458823842</v>
      </c>
    </row>
    <row r="24" spans="1:21" ht="15.75">
      <c r="L24" s="106"/>
      <c r="M24" s="107">
        <f t="shared" si="1"/>
        <v>2038</v>
      </c>
      <c r="N24" s="112">
        <f t="shared" si="6"/>
        <v>50967.25170661736</v>
      </c>
      <c r="O24" s="113">
        <f t="shared" si="7"/>
        <v>7.6760629167789141E-3</v>
      </c>
      <c r="P24" s="114">
        <f t="shared" si="8"/>
        <v>0.76313485909310452</v>
      </c>
      <c r="Q24" s="115">
        <f t="shared" si="4"/>
        <v>1</v>
      </c>
      <c r="R24" s="30">
        <f>IF(M24=Year_Open_to_Traffic?,Calculations!$J$5,Calculations!R23+(Calculations!R23*Calculations!O24*Q24))</f>
        <v>2623798.4379854472</v>
      </c>
      <c r="S24" s="45">
        <f t="shared" si="0"/>
        <v>1</v>
      </c>
      <c r="T24" s="30">
        <f t="shared" si="5"/>
        <v>2623.7984379854474</v>
      </c>
      <c r="U24" s="31">
        <f>T24/(1+Real_Discount_Rate)^(Calculations!M24-'Assumed Values'!$C$5)</f>
        <v>678.0393759287856</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51358.479537412662</v>
      </c>
      <c r="O25" s="113">
        <f t="shared" si="7"/>
        <v>7.6760629167789141E-3</v>
      </c>
      <c r="P25" s="114">
        <f t="shared" si="8"/>
        <v>0.7863953837639367</v>
      </c>
      <c r="Q25" s="115">
        <f t="shared" si="4"/>
        <v>1</v>
      </c>
      <c r="R25" s="30">
        <f>IF(M25=Year_Open_to_Traffic?,Calculations!$J$5,Calculations!R24+(Calculations!R24*Calculations!O25*Q25))</f>
        <v>2643938.8798763696</v>
      </c>
      <c r="S25" s="45">
        <f t="shared" si="0"/>
        <v>1</v>
      </c>
      <c r="T25" s="30">
        <f t="shared" si="5"/>
        <v>2643.9388798763698</v>
      </c>
      <c r="U25" s="31">
        <f>T25/(1+Real_Discount_Rate)^(Calculations!M25-'Assumed Values'!$C$5)</f>
        <v>638.54584003595176</v>
      </c>
    </row>
    <row r="26" spans="1:21" ht="15.75">
      <c r="A26" s="134"/>
      <c r="B26" s="134"/>
      <c r="D26" s="123">
        <f>Calculations!E17</f>
        <v>0.28651028992706096</v>
      </c>
      <c r="E26" s="123">
        <f>Calculations!E18</f>
        <v>1.021152058970807</v>
      </c>
      <c r="F26" s="123">
        <f>Calculations!E19</f>
        <v>5.0102568648783476</v>
      </c>
      <c r="G26" s="123">
        <f>Calculations!E20</f>
        <v>7.8973990172202679</v>
      </c>
      <c r="H26" s="123">
        <f>Calculations!E21</f>
        <v>74.617564481773272</v>
      </c>
      <c r="I26" s="123">
        <f>Calculations!E22</f>
        <v>2.4683963439869867</v>
      </c>
      <c r="J26" s="135"/>
      <c r="L26" s="106"/>
      <c r="M26" s="107">
        <f t="shared" si="1"/>
        <v>2040</v>
      </c>
      <c r="N26" s="112">
        <f t="shared" si="6"/>
        <v>51752.710457651941</v>
      </c>
      <c r="O26" s="113">
        <f t="shared" si="7"/>
        <v>7.6760629167789141E-3</v>
      </c>
      <c r="P26" s="114">
        <f t="shared" si="8"/>
        <v>0.81036489453534533</v>
      </c>
      <c r="Q26" s="115">
        <f t="shared" si="4"/>
        <v>1</v>
      </c>
      <c r="R26" s="30">
        <f>IF(M26=Year_Open_to_Traffic?,Calculations!$J$5,Calculations!R25+(Calculations!R25*Calculations!O26*Q26))</f>
        <v>2664233.9210664188</v>
      </c>
      <c r="S26" s="45">
        <f t="shared" si="0"/>
        <v>1</v>
      </c>
      <c r="T26" s="30">
        <f t="shared" si="5"/>
        <v>2664.2339210664186</v>
      </c>
      <c r="U26" s="31">
        <f>T26/(1+Real_Discount_Rate)^(Calculations!M26-'Assumed Values'!$C$5)</f>
        <v>601.35267110216375</v>
      </c>
    </row>
    <row r="27" spans="1:21" ht="15.75">
      <c r="A27" s="38" t="s">
        <v>127</v>
      </c>
      <c r="B27" s="39" t="s">
        <v>128</v>
      </c>
      <c r="D27" s="124">
        <f>D$26*'Value of Statistical Life'!D17*Appropriate_Crash_Reduction_Factor</f>
        <v>0</v>
      </c>
      <c r="E27" s="124">
        <f>E$26*'Value of Statistical Life'!E17*Appropriate_Crash_Reduction_Factor</f>
        <v>1.5793648320071987E-2</v>
      </c>
      <c r="F27" s="124">
        <f>F$26*'Value of Statistical Life'!F17*Appropriate_Crash_Reduction_Factor</f>
        <v>0.18819276323012807</v>
      </c>
      <c r="G27" s="124">
        <f>G$26*'Value of Statistical Life'!G17*Appropriate_Crash_Reduction_Factor</f>
        <v>0.83291103344966144</v>
      </c>
      <c r="H27" s="124">
        <f>H$26*'Value of Statistical Life'!H17*Appropriate_Crash_Reduction_Factor</f>
        <v>31.070977702903839</v>
      </c>
      <c r="I27" s="124">
        <f>I$26*'Value of Statistical Life'!I17*Appropriate_Crash_Reduction_Factor</f>
        <v>0.48514355423989031</v>
      </c>
      <c r="J27" s="124">
        <f t="shared" ref="J27:J33" si="9">SUM(D27:I27)</f>
        <v>32.593018702143588</v>
      </c>
      <c r="K27" s="69"/>
      <c r="L27" s="106"/>
      <c r="M27" s="11">
        <f t="shared" si="1"/>
        <v>2041</v>
      </c>
      <c r="N27" s="112">
        <f t="shared" si="6"/>
        <v>52149.967519238722</v>
      </c>
      <c r="O27" s="113">
        <f t="shared" si="7"/>
        <v>7.6760629167789141E-3</v>
      </c>
      <c r="P27" s="114">
        <f t="shared" si="8"/>
        <v>0.83506500146548357</v>
      </c>
      <c r="Q27" s="115">
        <f t="shared" si="4"/>
        <v>1</v>
      </c>
      <c r="R27" s="30">
        <f>IF(M27=Year_Open_to_Traffic?,Calculations!$J$5,Calculations!R26+(Calculations!R26*Calculations!O27*Q27))</f>
        <v>2684684.7482695412</v>
      </c>
      <c r="S27" s="45">
        <f t="shared" si="0"/>
        <v>1</v>
      </c>
      <c r="T27" s="30">
        <f t="shared" si="5"/>
        <v>2684.6847482695412</v>
      </c>
      <c r="U27" s="31">
        <f>T27/(1+Real_Discount_Rate)^(Calculations!M27-'Assumed Values'!$C$5)</f>
        <v>566.32588041188501</v>
      </c>
    </row>
    <row r="28" spans="1:21" ht="15.75">
      <c r="A28" s="38" t="s">
        <v>129</v>
      </c>
      <c r="B28" s="39" t="s">
        <v>130</v>
      </c>
      <c r="D28" s="124">
        <f>D$26*'Value of Statistical Life'!D18*Appropriate_Crash_Reduction_Factor</f>
        <v>0</v>
      </c>
      <c r="E28" s="124">
        <f>E$26*'Value of Statistical Life'!E18*Appropriate_Crash_Reduction_Factor</f>
        <v>0.25479837233042529</v>
      </c>
      <c r="F28" s="124">
        <f>F$26*'Value of Statistical Life'!F18*Appropriate_Crash_Reduction_Factor</f>
        <v>1.7325142572053107</v>
      </c>
      <c r="G28" s="124">
        <f>G$26*'Value of Statistical Life'!G18*Appropriate_Crash_Reduction_Factor</f>
        <v>2.4502233268857085</v>
      </c>
      <c r="H28" s="124">
        <f>H$26*'Value of Statistical Life'!H18*Appropriate_Crash_Reduction_Factor</f>
        <v>2.4367484944990285</v>
      </c>
      <c r="I28" s="124">
        <f>I$26*'Value of Statistical Life'!I18*Appropriate_Crash_Reduction_Factor</f>
        <v>0.46362777750752771</v>
      </c>
      <c r="J28" s="124">
        <f t="shared" si="9"/>
        <v>7.3379122284280012</v>
      </c>
      <c r="K28" s="69"/>
      <c r="L28" s="106"/>
      <c r="M28" s="107">
        <f t="shared" si="1"/>
        <v>2042</v>
      </c>
      <c r="N28" s="112">
        <f t="shared" si="6"/>
        <v>52550.273951024377</v>
      </c>
      <c r="O28" s="113">
        <f t="shared" si="7"/>
        <v>7.6760629167789141E-3</v>
      </c>
      <c r="P28" s="114">
        <f t="shared" si="8"/>
        <v>0.86051797329200919</v>
      </c>
      <c r="Q28" s="115">
        <f t="shared" si="4"/>
        <v>1</v>
      </c>
      <c r="R28" s="30">
        <f>IF(M28=Year_Open_to_Traffic?,Calculations!$J$5,Calculations!R27+(Calculations!R27*Calculations!O28*Q28))</f>
        <v>2705292.5573089751</v>
      </c>
      <c r="S28" s="45">
        <f t="shared" si="0"/>
        <v>1</v>
      </c>
      <c r="T28" s="30">
        <f t="shared" si="5"/>
        <v>2705.2925573089751</v>
      </c>
      <c r="U28" s="31">
        <f>T28/(1+Real_Discount_Rate)^(Calculations!M28-'Assumed Values'!$C$5)</f>
        <v>533.33928364609994</v>
      </c>
    </row>
    <row r="29" spans="1:21" ht="15.75">
      <c r="A29" s="38" t="s">
        <v>131</v>
      </c>
      <c r="B29" s="39" t="s">
        <v>132</v>
      </c>
      <c r="D29" s="124">
        <f>D$26*'Value of Statistical Life'!D19*Appropriate_Crash_Reduction_Factor</f>
        <v>0</v>
      </c>
      <c r="E29" s="124">
        <f>E$26*'Value of Statistical Life'!E19*Appropriate_Crash_Reduction_Factor</f>
        <v>9.607611262032735E-2</v>
      </c>
      <c r="F29" s="124">
        <f>F$26*'Value of Statistical Life'!F19*Appropriate_Crash_Reduction_Factor</f>
        <v>0.24570800691049904</v>
      </c>
      <c r="G29" s="124">
        <f>G$26*'Value of Statistical Life'!G19*Appropriate_Crash_Reduction_Factor</f>
        <v>0.2271252470357463</v>
      </c>
      <c r="H29" s="124">
        <f>H$26*'Value of Statistical Life'!H19*Appropriate_Crash_Reduction_Factor</f>
        <v>6.6484249953259994E-2</v>
      </c>
      <c r="I29" s="124">
        <f>I$26*'Value of Statistical Life'!I19*Appropriate_Crash_Reduction_Factor</f>
        <v>9.8548255637336449E-2</v>
      </c>
      <c r="J29" s="124">
        <f t="shared" si="9"/>
        <v>0.73394187215716911</v>
      </c>
      <c r="K29" s="69"/>
      <c r="L29" s="106"/>
      <c r="M29" s="11">
        <f t="shared" si="1"/>
        <v>2043</v>
      </c>
      <c r="N29" s="112">
        <f t="shared" si="6"/>
        <v>52953.65316016641</v>
      </c>
      <c r="O29" s="113">
        <f t="shared" si="7"/>
        <v>7.6760629167789141E-3</v>
      </c>
      <c r="P29" s="114">
        <f t="shared" si="8"/>
        <v>0.88674675750878573</v>
      </c>
      <c r="Q29" s="115">
        <f t="shared" si="4"/>
        <v>1</v>
      </c>
      <c r="R29" s="30">
        <f>IF(M29=Year_Open_to_Traffic?,Calculations!$J$5,Calculations!R28+(Calculations!R28*Calculations!O29*Q29))</f>
        <v>2726058.5531871724</v>
      </c>
      <c r="S29" s="45">
        <f t="shared" si="0"/>
        <v>1</v>
      </c>
      <c r="T29" s="30">
        <f t="shared" si="5"/>
        <v>2726.0585531871725</v>
      </c>
      <c r="U29" s="31">
        <f>T29/(1+Real_Discount_Rate)^(Calculations!M29-'Assumed Values'!$C$5)</f>
        <v>502.27404630220292</v>
      </c>
    </row>
    <row r="30" spans="1:21" ht="15.75">
      <c r="A30" s="38" t="s">
        <v>133</v>
      </c>
      <c r="B30" s="39" t="s">
        <v>134</v>
      </c>
      <c r="D30" s="124">
        <f>D$26*'Value of Statistical Life'!D20*Appropriate_Crash_Reduction_Factor</f>
        <v>0</v>
      </c>
      <c r="E30" s="124">
        <f>E$26*'Value of Statistical Life'!E20*Appropriate_Crash_Reduction_Factor</f>
        <v>6.6340675239126928E-2</v>
      </c>
      <c r="F30" s="124">
        <f>F$26*'Value of Statistical Life'!F20*Appropriate_Crash_Reduction_Factor</f>
        <v>7.1944783451220629E-2</v>
      </c>
      <c r="G30" s="124">
        <f>G$26*'Value of Statistical Life'!G20*Appropriate_Crash_Reduction_Factor</f>
        <v>3.8061514563493083E-2</v>
      </c>
      <c r="H30" s="124">
        <f>H$26*'Value of Statistical Life'!H20*Appropriate_Crash_Reduction_Factor</f>
        <v>2.686232321343838E-3</v>
      </c>
      <c r="I30" s="124">
        <f>I$26*'Value of Statistical Life'!I20*Appropriate_Crash_Reduction_Factor</f>
        <v>5.3506193350433918E-2</v>
      </c>
      <c r="J30" s="124">
        <f t="shared" si="9"/>
        <v>0.2325393989256184</v>
      </c>
      <c r="K30" s="69"/>
      <c r="L30" s="106"/>
      <c r="M30" s="11">
        <f t="shared" si="1"/>
        <v>2044</v>
      </c>
      <c r="N30" s="112">
        <f t="shared" si="6"/>
        <v>53360.128733497135</v>
      </c>
      <c r="O30" s="113">
        <f t="shared" si="7"/>
        <v>7.6760629167789141E-3</v>
      </c>
      <c r="P30" s="114">
        <f t="shared" si="8"/>
        <v>0.91377500105452714</v>
      </c>
      <c r="Q30" s="115">
        <f t="shared" si="4"/>
        <v>1</v>
      </c>
      <c r="R30" s="30">
        <f>IF(M30=Year_Open_to_Traffic?,Calculations!$J$5,Calculations!R29+(Calculations!R29*Calculations!O30*Q30))</f>
        <v>2746983.9501562603</v>
      </c>
      <c r="S30" s="45">
        <f t="shared" si="0"/>
        <v>0</v>
      </c>
      <c r="T30" s="30">
        <f t="shared" si="5"/>
        <v>0</v>
      </c>
      <c r="U30" s="31">
        <f>T30/(1+Real_Discount_Rate)^(Calculations!M30-'Assumed Values'!$C$5)</f>
        <v>0</v>
      </c>
    </row>
    <row r="31" spans="1:21" ht="15.75">
      <c r="A31" s="38" t="s">
        <v>135</v>
      </c>
      <c r="B31" s="39" t="s">
        <v>136</v>
      </c>
      <c r="D31" s="124">
        <f>D$26*'Value of Statistical Life'!D21*Appropriate_Crash_Reduction_Factor</f>
        <v>0</v>
      </c>
      <c r="E31" s="124">
        <f>E$26*'Value of Statistical Life'!E21*Appropriate_Crash_Reduction_Factor</f>
        <v>1.8316404481759366E-2</v>
      </c>
      <c r="F31" s="124">
        <f>F$26*'Value of Statistical Life'!F21*Appropriate_Crash_Reduction_Factor</f>
        <v>1.3978616653010589E-2</v>
      </c>
      <c r="G31" s="124">
        <f>G$26*'Value of Statistical Life'!G21*Appropriate_Crash_Reduction_Factor</f>
        <v>5.0464379720037518E-3</v>
      </c>
      <c r="H31" s="124">
        <f>H$26*'Value of Statistical Life'!H21*Appropriate_Crash_Reduction_Factor</f>
        <v>0</v>
      </c>
      <c r="I31" s="124">
        <f>I$26*'Value of Statistical Life'!I21*Appropriate_Crash_Reduction_Factor</f>
        <v>6.8535024490798688E-3</v>
      </c>
      <c r="J31" s="124">
        <f t="shared" si="9"/>
        <v>4.4194961555853569E-2</v>
      </c>
      <c r="K31" s="69"/>
      <c r="L31" s="106"/>
      <c r="M31" s="11">
        <f t="shared" si="1"/>
        <v>2045</v>
      </c>
      <c r="N31" s="112">
        <f t="shared" si="6"/>
        <v>53769.724438902878</v>
      </c>
      <c r="O31" s="113">
        <f t="shared" si="7"/>
        <v>7.6760629167789141E-3</v>
      </c>
      <c r="P31" s="114">
        <f t="shared" si="8"/>
        <v>0.94162707163203607</v>
      </c>
      <c r="Q31" s="115">
        <f t="shared" si="4"/>
        <v>1</v>
      </c>
      <c r="R31" s="30">
        <f>IF(M31=Year_Open_to_Traffic?,Calculations!$J$5,Calculations!R30+(Calculations!R30*Calculations!O31*Q31))</f>
        <v>2768069.9717890415</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8.1932135451522684E-3</v>
      </c>
      <c r="F32" s="124">
        <f>F$26*'Value of Statistical Life'!F22*Appropriate_Crash_Reduction_Factor</f>
        <v>2.2771617450872091E-3</v>
      </c>
      <c r="G32" s="124">
        <f>G$26*'Value of Statistical Life'!G22*Appropriate_Crash_Reduction_Factor</f>
        <v>4.6199784250738565E-4</v>
      </c>
      <c r="H32" s="124">
        <f>H$26*'Value of Statistical Life'!H22*Appropriate_Crash_Reduction_Factor</f>
        <v>1.0073371205039392E-3</v>
      </c>
      <c r="I32" s="124">
        <f>I$26*'Value of Statistical Life'!I22*Appropriate_Crash_Reduction_Factor</f>
        <v>3.0990716098756618E-3</v>
      </c>
      <c r="J32" s="124">
        <f t="shared" si="9"/>
        <v>1.5038781863126464E-2</v>
      </c>
      <c r="K32" s="69"/>
      <c r="L32" s="106"/>
      <c r="M32" s="11">
        <f t="shared" si="1"/>
        <v>2046</v>
      </c>
      <c r="N32" s="112">
        <f t="shared" si="6"/>
        <v>54182.464226713761</v>
      </c>
      <c r="O32" s="113">
        <f t="shared" si="7"/>
        <v>7.6760629167789141E-3</v>
      </c>
      <c r="P32" s="114">
        <f t="shared" si="8"/>
        <v>0.97032807967725787</v>
      </c>
      <c r="Q32" s="115">
        <f t="shared" si="4"/>
        <v>1</v>
      </c>
      <c r="R32" s="30">
        <f>IF(M32=Year_Open_to_Traffic?,Calculations!$J$5,Calculations!R31+(Calculations!R31*Calculations!O32*Q32))</f>
        <v>2789317.8510505408</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0.12892963046717743</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0.12892963046717743</v>
      </c>
      <c r="K33" s="69"/>
      <c r="L33" s="106"/>
      <c r="M33" s="11">
        <f t="shared" si="1"/>
        <v>2047</v>
      </c>
      <c r="N33" s="112">
        <f t="shared" si="6"/>
        <v>54598.372231104135</v>
      </c>
      <c r="O33" s="113">
        <f t="shared" si="7"/>
        <v>7.6760629167789141E-3</v>
      </c>
      <c r="P33" s="114">
        <f t="shared" si="8"/>
        <v>0.99990390099795634</v>
      </c>
      <c r="Q33" s="115">
        <f t="shared" si="4"/>
        <v>1</v>
      </c>
      <c r="R33" s="30">
        <f>IF(M33=Year_Open_to_Traffic?,Calculations!$J$5,Calculations!R32+(Calculations!R32*Calculations!O33*Q33))</f>
        <v>2810728.8303700993</v>
      </c>
      <c r="S33" s="45">
        <f t="shared" si="0"/>
        <v>0</v>
      </c>
      <c r="T33" s="30">
        <f t="shared" si="5"/>
        <v>0</v>
      </c>
      <c r="U33" s="31">
        <f>T33/(1+Real_Discount_Rate)^(Calculations!M33-'Assumed Values'!$C$5)</f>
        <v>0</v>
      </c>
    </row>
    <row r="34" spans="1:21" ht="15.75">
      <c r="J34" s="125"/>
      <c r="L34" s="106"/>
      <c r="M34" s="11">
        <f t="shared" si="1"/>
        <v>2048</v>
      </c>
      <c r="N34" s="112">
        <f t="shared" si="6"/>
        <v>55017.472771503803</v>
      </c>
      <c r="O34" s="113">
        <f t="shared" si="7"/>
        <v>7.6760629167789141E-3</v>
      </c>
      <c r="P34" s="114">
        <f t="shared" si="8"/>
        <v>1.0303812001024213</v>
      </c>
      <c r="Q34" s="115">
        <f t="shared" si="4"/>
        <v>0</v>
      </c>
      <c r="R34" s="30">
        <f>IF(M34=Year_Open_to_Traffic?,Calculations!$J$5,Calculations!R33+(Calculations!R33*Calculations!O34*Q34))</f>
        <v>2810728.8303700993</v>
      </c>
      <c r="S34" s="45">
        <f t="shared" si="0"/>
        <v>0</v>
      </c>
      <c r="T34" s="30">
        <f t="shared" si="5"/>
        <v>0</v>
      </c>
      <c r="U34" s="31">
        <f>T34/(1+Real_Discount_Rate)^(Calculations!M34-'Assumed Values'!$C$5)</f>
        <v>0</v>
      </c>
    </row>
    <row r="35" spans="1:21" ht="15.75">
      <c r="G35" s="41"/>
      <c r="H35" s="41"/>
      <c r="L35" s="106"/>
      <c r="M35" s="11">
        <f t="shared" si="1"/>
        <v>2049</v>
      </c>
      <c r="N35" s="112">
        <f t="shared" si="6"/>
        <v>55439.790354020035</v>
      </c>
      <c r="O35" s="113">
        <f t="shared" si="7"/>
        <v>7.6760629167789141E-3</v>
      </c>
      <c r="P35" s="114">
        <f t="shared" si="8"/>
        <v>1.0617874542392407</v>
      </c>
      <c r="Q35" s="115">
        <f t="shared" si="4"/>
        <v>0</v>
      </c>
      <c r="R35" s="30">
        <f>IF(M35=Year_Open_to_Traffic?,Calculations!$J$5,Calculations!R34+(Calculations!R34*Calculations!O35*Q35))</f>
        <v>2810728.8303700993</v>
      </c>
      <c r="S35" s="45">
        <f t="shared" si="0"/>
        <v>0</v>
      </c>
      <c r="T35" s="30">
        <f t="shared" si="5"/>
        <v>0</v>
      </c>
      <c r="U35" s="31">
        <f>T35/(1+Real_Discount_Rate)^(Calculations!M35-'Assumed Values'!$C$5)</f>
        <v>0</v>
      </c>
    </row>
    <row r="36" spans="1:21" ht="15.75">
      <c r="G36" s="41"/>
      <c r="H36" s="41"/>
      <c r="L36" s="106"/>
      <c r="M36" s="11">
        <f t="shared" si="1"/>
        <v>2050</v>
      </c>
      <c r="N36" s="112">
        <f t="shared" si="6"/>
        <v>55865.349672870529</v>
      </c>
      <c r="O36" s="113">
        <f t="shared" si="7"/>
        <v>7.6760629167789141E-3</v>
      </c>
      <c r="P36" s="114">
        <f t="shared" si="8"/>
        <v>1.0941509781698107</v>
      </c>
      <c r="Q36" s="115">
        <f t="shared" si="4"/>
        <v>0</v>
      </c>
      <c r="R36" s="30">
        <f>IF(M36=Year_Open_to_Traffic?,Calculations!$J$5,Calculations!R35+(Calculations!R35*Calculations!O36*Q36))</f>
        <v>2810728.8303700993</v>
      </c>
      <c r="S36" s="45">
        <f t="shared" si="0"/>
        <v>0</v>
      </c>
      <c r="T36" s="30">
        <f t="shared" si="5"/>
        <v>0</v>
      </c>
      <c r="U36" s="31">
        <f>T36/(1+Real_Discount_Rate)^(Calculations!M36-'Assumed Values'!$C$5)</f>
        <v>0</v>
      </c>
    </row>
    <row r="37" spans="1:21">
      <c r="M37" s="39"/>
      <c r="N37" s="39"/>
      <c r="O37" s="118"/>
      <c r="P37" s="120"/>
      <c r="Q37" s="39"/>
      <c r="R37" s="39"/>
      <c r="S37" s="39"/>
      <c r="T37" s="39"/>
      <c r="U37" s="31">
        <f>SUM(U4:U36)</f>
        <v>18845.760951248711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50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261</v>
      </c>
      <c r="D59" s="92">
        <v>514</v>
      </c>
      <c r="E59" s="93">
        <v>0.8</v>
      </c>
      <c r="F59" s="94">
        <v>30</v>
      </c>
    </row>
    <row r="60" spans="3:6">
      <c r="C60" s="71" t="s">
        <v>262</v>
      </c>
      <c r="D60" s="92">
        <v>515</v>
      </c>
      <c r="E60" s="93">
        <v>0.65</v>
      </c>
      <c r="F60" s="94">
        <v>30</v>
      </c>
    </row>
    <row r="61" spans="3:6">
      <c r="C61" s="72" t="s">
        <v>263</v>
      </c>
      <c r="D61" s="92">
        <v>516</v>
      </c>
      <c r="E61" s="93">
        <v>0.95</v>
      </c>
      <c r="F61" s="94">
        <v>20</v>
      </c>
    </row>
    <row r="62" spans="3:6">
      <c r="C62" s="71" t="s">
        <v>264</v>
      </c>
      <c r="D62" s="92">
        <v>517</v>
      </c>
      <c r="E62" s="95">
        <v>0.28000000000000003</v>
      </c>
      <c r="F62" s="94">
        <v>20</v>
      </c>
    </row>
    <row r="63" spans="3:6">
      <c r="C63" s="71" t="s">
        <v>265</v>
      </c>
      <c r="D63" s="92">
        <v>518</v>
      </c>
      <c r="E63" s="93">
        <v>0.45</v>
      </c>
      <c r="F63" s="94">
        <v>10</v>
      </c>
    </row>
    <row r="64" spans="3:6">
      <c r="C64" s="71" t="s">
        <v>266</v>
      </c>
      <c r="D64" s="92">
        <v>519</v>
      </c>
      <c r="E64" s="93">
        <v>0.25</v>
      </c>
      <c r="F64" s="94">
        <v>10</v>
      </c>
    </row>
    <row r="65" spans="3:6">
      <c r="C65" s="71" t="s">
        <v>267</v>
      </c>
      <c r="D65" s="92">
        <v>520</v>
      </c>
      <c r="E65" s="93">
        <v>0.4</v>
      </c>
      <c r="F65" s="94">
        <v>10</v>
      </c>
    </row>
    <row r="66" spans="3:6">
      <c r="C66" s="71" t="s">
        <v>268</v>
      </c>
      <c r="D66" s="92">
        <v>521</v>
      </c>
      <c r="E66" s="93">
        <v>0.25</v>
      </c>
      <c r="F66" s="94">
        <v>10</v>
      </c>
    </row>
    <row r="67" spans="3:6">
      <c r="C67" s="71" t="s">
        <v>269</v>
      </c>
      <c r="D67" s="92">
        <v>522</v>
      </c>
      <c r="E67" s="93">
        <v>0.4</v>
      </c>
      <c r="F67" s="94">
        <v>10</v>
      </c>
    </row>
    <row r="68" spans="3:6">
      <c r="C68" s="71" t="s">
        <v>270</v>
      </c>
      <c r="D68" s="92">
        <v>523</v>
      </c>
      <c r="E68" s="93">
        <v>0.95</v>
      </c>
      <c r="F68" s="94">
        <v>10</v>
      </c>
    </row>
    <row r="69" spans="3:6">
      <c r="C69" s="71" t="s">
        <v>271</v>
      </c>
      <c r="D69" s="92">
        <v>524</v>
      </c>
      <c r="E69" s="93">
        <v>0.1</v>
      </c>
      <c r="F69" s="94">
        <v>10</v>
      </c>
    </row>
    <row r="70" spans="3:6">
      <c r="C70" s="72" t="s">
        <v>272</v>
      </c>
      <c r="D70" s="92">
        <v>525</v>
      </c>
      <c r="E70" s="93">
        <v>0.25</v>
      </c>
      <c r="F70" s="94">
        <v>10</v>
      </c>
    </row>
    <row r="71" spans="3:6">
      <c r="C71" s="71" t="s">
        <v>273</v>
      </c>
      <c r="D71" s="92">
        <v>526</v>
      </c>
      <c r="E71" s="95">
        <v>0.5</v>
      </c>
      <c r="F71" s="94">
        <v>10</v>
      </c>
    </row>
    <row r="72" spans="3:6">
      <c r="C72" s="71" t="s">
        <v>274</v>
      </c>
      <c r="D72" s="92">
        <v>527</v>
      </c>
      <c r="E72" s="93">
        <v>0.95</v>
      </c>
      <c r="F72" s="94">
        <v>10</v>
      </c>
    </row>
    <row r="73" spans="3:6">
      <c r="C73" s="71" t="s">
        <v>275</v>
      </c>
      <c r="D73" s="92">
        <v>528</v>
      </c>
      <c r="E73" s="93">
        <v>0.2</v>
      </c>
      <c r="F73" s="94">
        <v>10</v>
      </c>
    </row>
    <row r="74" spans="3:6">
      <c r="C74" s="71" t="s">
        <v>276</v>
      </c>
      <c r="D74" s="92">
        <v>529</v>
      </c>
      <c r="E74" s="93">
        <v>0.35</v>
      </c>
      <c r="F74" s="94">
        <v>10</v>
      </c>
    </row>
    <row r="75" spans="3:6">
      <c r="C75" s="71" t="s">
        <v>277</v>
      </c>
      <c r="D75" s="92">
        <v>532</v>
      </c>
      <c r="E75" s="95">
        <v>0.25</v>
      </c>
      <c r="F75" s="94">
        <v>10</v>
      </c>
    </row>
    <row r="76" spans="3:6">
      <c r="C76" s="71" t="s">
        <v>278</v>
      </c>
      <c r="D76" s="92">
        <v>533</v>
      </c>
      <c r="E76" s="93">
        <v>0.15</v>
      </c>
      <c r="F76" s="94">
        <v>5</v>
      </c>
    </row>
    <row r="77" spans="3:6">
      <c r="C77" s="71" t="s">
        <v>279</v>
      </c>
      <c r="D77" s="92">
        <v>535</v>
      </c>
      <c r="E77" s="93">
        <v>0.2</v>
      </c>
      <c r="F77" s="94">
        <v>10</v>
      </c>
    </row>
    <row r="78" spans="3:6">
      <c r="C78" s="71" t="s">
        <v>280</v>
      </c>
      <c r="D78" s="92">
        <v>536</v>
      </c>
      <c r="E78" s="93">
        <v>0.4</v>
      </c>
      <c r="F78" s="94">
        <v>20</v>
      </c>
    </row>
    <row r="79" spans="3:6">
      <c r="C79" s="71" t="s">
        <v>281</v>
      </c>
      <c r="D79" s="92">
        <v>537</v>
      </c>
      <c r="E79" s="93">
        <v>0.4</v>
      </c>
      <c r="F79" s="94">
        <v>20</v>
      </c>
    </row>
    <row r="80" spans="3:6">
      <c r="C80" s="71" t="s">
        <v>70</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E6CD1-D2A2-480D-BB33-A3C71B3F7265}"/>
</file>

<file path=customXml/itemProps2.xml><?xml version="1.0" encoding="utf-8"?>
<ds:datastoreItem xmlns:ds="http://schemas.openxmlformats.org/officeDocument/2006/customXml" ds:itemID="{0191EE4C-36D7-48EE-BF55-3A0350B6DF21}"/>
</file>

<file path=customXml/itemProps3.xml><?xml version="1.0" encoding="utf-8"?>
<ds:datastoreItem xmlns:ds="http://schemas.openxmlformats.org/officeDocument/2006/customXml" ds:itemID="{0551A01E-BF17-45E8-8C3D-260DAEE63C2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2018-10-30T17:36:48Z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