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8_AM_FM1640/"/>
    </mc:Choice>
  </mc:AlternateContent>
  <xr:revisionPtr revIDLastSave="15" documentId="8_{4AE19A85-D305-4FA9-9E07-0E9FEB5DF888}" xr6:coauthVersionLast="40" xr6:coauthVersionMax="40" xr10:uidLastSave="{F72B398D-94B3-4E78-A4DF-DFC02F4DF45F}"/>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<sst xmlns="http://schemas.openxmlformats.org/spreadsheetml/2006/main" count="292" uniqueCount="238">
  <si>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</si>
  <si>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</si>
  <si>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</si>
  <si>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</si>
  <si>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</si>
  <si>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</si>
  <si>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</si>
  <si>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</si>
  <si>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</si>
  <si>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</si>
  <si>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</si>
  <si>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</si>
  <si>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</si>
  <si>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</si>
  <si>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</si>
  <si>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</si>
  <si>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</si>
  <si>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</si>
  <si>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</si>
  <si>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</si>
  <si>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</si>
  <si>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</si>
  <si>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</si>
  <si>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</si>
  <si>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</si>
  <si>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</si>
  <si>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</si>
  <si>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</si>
  <si>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</si>
  <si>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</si>
  <si>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</si>
  <si>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</si>
  <si>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</si>
  <si>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</si>
  <si>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</si>
  <si>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</si>
  <si>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</si>
  <si>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</si>
  <si>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</si>
  <si>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</si>
  <si>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</si>
  <si>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</si>
  <si>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</si>
  <si>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</si>
  <si>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</si>
  <si>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</si>
  <si>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</si>
  <si>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</si>
  <si>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</si>
  <si>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1640 Access Management</t>
  </si>
  <si>
    <t>Data entered by the sponsors</t>
  </si>
  <si>
    <t>County</t>
  </si>
  <si>
    <t>Fort Bend</t>
  </si>
  <si>
    <t>HGAC regional travel demand model data provided by HGAC</t>
  </si>
  <si>
    <t>Facility Type</t>
  </si>
  <si>
    <t>Non Freeway</t>
  </si>
  <si>
    <t>Data populated/calculated based on inputs</t>
  </si>
  <si>
    <t>Street Name:</t>
  </si>
  <si>
    <t>FM 1640</t>
  </si>
  <si>
    <t>Benefits calculated by the template</t>
  </si>
  <si>
    <t>Limits (From)</t>
  </si>
  <si>
    <t>Bamore Rd</t>
  </si>
  <si>
    <t>Limits (To)</t>
  </si>
  <si>
    <t>FM 762</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</si>
  <si>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</si>
  <si>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</si>
  <si>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</si>
  <si>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</si>
  <si>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</si>
  <si>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</si>
  <si>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</si>
  <si>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</si>
  <si>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</si>
  <si>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</si>
  <si>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</si>
  <si>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</si>
  <si>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</si>
  <si>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</si>
  <si>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</si>
  <si>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</si>
  <si>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</si>
  <si>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</si>
  <si>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</si>
  <si>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</si>
  <si>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</si>
  <si>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</si>
  <si>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</si>
  <si>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</si>
  <si>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</si>
  <si>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</si>
  <si>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</si>
  <si>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</si>
  <si>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</si>
  <si>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</si>
  <si>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</si>
  <si>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</si>
  <si>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</si>
  <si>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</si>
  <si>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</si>
  <si>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</si>
  <si>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</si>
  <si>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</si>
  <si>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</si>
  <si>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</si>
  <si>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</si>
  <si>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</si>
  <si>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</si>
  <si>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</si>
  <si>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</si>
  <si>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</si>
  <si>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</si>
  <si>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</si>
  <si>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</si>
  <si>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</si>
  <si>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</si>
  <si>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</si>
  <si>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</si>
  <si>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</si>
  <si>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</si>
  <si>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</si>
  <si>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</si>
  <si>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</si>
  <si>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</si>
  <si>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</si>
  <si>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</si>
  <si>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</si>
  <si>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</si>
  <si>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</si>
  <si>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</si>
  <si>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</si>
  <si>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</si>
  <si>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</si>
  <si>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</si>
  <si>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</si>
  <si>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</si>
  <si>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</si>
  <si>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</si>
  <si>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</si>
  <si>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</si>
  <si>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</si>
  <si>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</si>
  <si>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</si>
  <si>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</si>
  <si>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</si>
  <si>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</si>
  <si>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</si>
  <si>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</si>
  <si>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</si>
  <si>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</si>
  <si>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</si>
  <si>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</si>
  <si>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</si>
  <si>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</si>
  <si>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</si>
  <si>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</si>
  <si>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</si>
  <si>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</si>
  <si>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</si>
  <si>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</si>
  <si>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</si>
  <si>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 xml:space="preserve">Freight Shuttle System </t>
  </si>
  <si>
    <t>Galveston</t>
  </si>
  <si>
    <t xml:space="preserve">Grade Separation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</si>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</sst>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3.79</v>
      </c>
    </row>
    <row r="13" spans="1:7">
      <c r="A13" s="7" t="s">
        <v>65</v>
      </c>
      <c r="B13" s="117">
        <v>226</v>
      </c>
      <c r="F13" s="100"/>
    </row>
    <row r="14" spans="1:7">
      <c r="A14" s="7" t="s">
        <v>66</v>
      </c>
      <c r="B14" s="117" t="s">
        <v>67</v>
      </c>
    </row>
    <row r="17" spans="1:7">
      <c r="A17" s="99" t="s">
        <v>68</v>
      </c>
      <c r="E17" s="130" t="s">
        <v>69</v>
      </c>
      <c r="F17" s="131"/>
    </row>
    <row r="18" spans="1:7">
      <c r="A18" s="7" t="s">
        <v>70</v>
      </c>
      <c r="B18" s="118">
        <v>2025</v>
      </c>
      <c r="E18" s="88" t="s">
        <v>71</v>
      </c>
      <c r="F18" s="123">
        <f>$B$12/$B$32</f>
        <v>0.1184375</v>
      </c>
    </row>
    <row r="19" spans="1:7" ht="30">
      <c r="A19" s="7" t="s">
        <v>72</v>
      </c>
      <c r="B19" s="119" t="s">
        <v>73</v>
      </c>
      <c r="E19" s="90" t="s">
        <v>74</v>
      </c>
      <c r="F19" s="124">
        <f>$B$12/$B$33</f>
        <v>0.15160000000000001</v>
      </c>
    </row>
    <row r="20" spans="1:7" ht="30">
      <c r="A20" s="114" t="s">
        <v>75</v>
      </c>
      <c r="B20" s="115">
        <f>VLOOKUP(B19,'Delay Reduction Factors'!B4:C80,2, FALSE)</f>
        <v>0.3</v>
      </c>
      <c r="E20" s="90" t="s">
        <v>76</v>
      </c>
      <c r="F20" s="123">
        <f>$F$19-$F$18</f>
        <v>3.3162500000000011E-2</v>
      </c>
    </row>
    <row r="21" spans="1:7">
      <c r="A21" s="7" t="s">
        <v>77</v>
      </c>
      <c r="B21" s="64">
        <v>20</v>
      </c>
      <c r="D21" s="101"/>
      <c r="E21" s="88" t="s">
        <v>78</v>
      </c>
      <c r="F21" s="123">
        <f>$F$20*$B$20</f>
        <v>9.9487500000000027E-3</v>
      </c>
      <c r="G21" s="102"/>
    </row>
    <row r="22" spans="1:7">
      <c r="D22" s="101"/>
      <c r="E22" s="88" t="s">
        <v>79</v>
      </c>
      <c r="F22" s="123">
        <f>$F$20-$F$21</f>
        <v>2.3213750000000009E-2</v>
      </c>
      <c r="G22" s="102"/>
    </row>
    <row r="23" spans="1:7">
      <c r="E23" s="88" t="s">
        <v>80</v>
      </c>
      <c r="F23" s="123">
        <f>$F$18+$F$22</f>
        <v>0.14165125000000001</v>
      </c>
    </row>
    <row r="24" spans="1:7">
      <c r="A24" s="99" t="s">
        <v>81</v>
      </c>
      <c r="B24" s="103"/>
      <c r="D24" s="101"/>
    </row>
    <row r="25" spans="1:7">
      <c r="A25" s="7" t="s">
        <v>82</v>
      </c>
      <c r="B25" s="127">
        <v>15319</v>
      </c>
      <c r="D25" s="101"/>
    </row>
    <row r="28" spans="1:7">
      <c r="A28" s="88" t="s">
        <v>83</v>
      </c>
      <c r="B28" s="113">
        <f>IF(FacilityType='Delay Reduction Factors'!N5,'Inputs &amp; Outputs'!B25*45%, B25*43%)</f>
        <v>6587.17</v>
      </c>
      <c r="D28" s="101"/>
      <c r="E28" s="104" t="s">
        <v>84</v>
      </c>
      <c r="F28" s="105" t="s">
        <v>2</v>
      </c>
      <c r="G28" s="106" t="s">
        <v>85</v>
      </c>
    </row>
    <row r="29" spans="1:7">
      <c r="A29" s="88" t="s">
        <v>86</v>
      </c>
      <c r="B29" s="96">
        <f>VLOOKUP(Year_Open_to_Traffic?,Calculations!H4:I36,2)</f>
        <v>9677.9999999999927</v>
      </c>
      <c r="D29" s="101"/>
      <c r="E29" s="90" t="s">
        <v>87</v>
      </c>
      <c r="F29" s="84">
        <f>$B$29*$F$23</f>
        <v>1370.900797499999</v>
      </c>
      <c r="G29" s="85">
        <f>$B$29*$F$19</f>
        <v>1467.1847999999991</v>
      </c>
    </row>
    <row r="30" spans="1:7">
      <c r="B30" s="83"/>
      <c r="D30" s="101"/>
    </row>
    <row r="32" spans="1:7">
      <c r="A32" s="107" t="s">
        <v>88</v>
      </c>
      <c r="B32" s="120">
        <v>32</v>
      </c>
      <c r="D32" s="101"/>
    </row>
    <row r="33" spans="1:7" ht="30">
      <c r="A33" s="108" t="s">
        <v>89</v>
      </c>
      <c r="B33" s="121">
        <v>25</v>
      </c>
      <c r="D33" s="101"/>
      <c r="E33" s="101"/>
      <c r="F33" s="109"/>
    </row>
    <row r="34" spans="1:7">
      <c r="A34" s="110"/>
      <c r="B34" s="122"/>
      <c r="F34" s="109"/>
      <c r="G34" s="109"/>
    </row>
    <row r="35" spans="1:7">
      <c r="A35" s="88" t="s">
        <v>90</v>
      </c>
      <c r="B35" s="126">
        <f>$B$28</f>
        <v>6587.17</v>
      </c>
    </row>
    <row r="36" spans="1:7">
      <c r="A36" s="107" t="s">
        <v>91</v>
      </c>
      <c r="B36" s="120">
        <v>23841</v>
      </c>
    </row>
    <row r="37" spans="1:7">
      <c r="A37" s="107" t="s">
        <v>92</v>
      </c>
      <c r="B37" s="120">
        <v>9678</v>
      </c>
    </row>
    <row r="38" spans="1:7">
      <c r="A38" s="107" t="s">
        <v>93</v>
      </c>
      <c r="B38" s="120">
        <v>23841</v>
      </c>
    </row>
    <row r="39" spans="1:7">
      <c r="A39" s="107" t="s">
        <v>94</v>
      </c>
      <c r="B39" s="120">
        <v>14957</v>
      </c>
    </row>
    <row r="40" spans="1:7">
      <c r="A40" s="107" t="s">
        <v>95</v>
      </c>
      <c r="B40" s="120">
        <v>23841</v>
      </c>
      <c r="G40" s="111"/>
    </row>
    <row r="42" spans="1:7" ht="18.75">
      <c r="A42" s="97" t="s">
        <v>96</v>
      </c>
      <c r="B42" s="95"/>
    </row>
    <row r="43" spans="1:7">
      <c r="C43" s="98"/>
      <c r="D43" s="98"/>
      <c r="E43" s="98"/>
      <c r="F43" s="98"/>
      <c r="G43" s="98"/>
    </row>
    <row r="44" spans="1:7" hidden="1">
      <c r="A44" s="112" t="s">
        <v>97</v>
      </c>
    </row>
    <row r="45" spans="1:7">
      <c r="A45" s="112" t="s">
        <v>97</v>
      </c>
    </row>
    <row r="46" spans="1:7">
      <c r="A46" s="89" t="s">
        <v>98</v>
      </c>
      <c r="B46" s="40">
        <f>Calculations!$T$37</f>
        <v>7295.0552045286186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356434.20734999975</v>
      </c>
      <c r="F4" s="21">
        <f>'Inputs &amp; Outputs'!G29*Annual_Days_of_Travel</f>
        <v>381468.04799999978</v>
      </c>
      <c r="H4" s="49">
        <v>2018</v>
      </c>
      <c r="I4" s="50">
        <f>'Inputs &amp; Outputs'!B28</f>
        <v>6587.17</v>
      </c>
      <c r="J4" s="50">
        <f>IF(H4=Year_Open_to_Traffic?,$F$4,0)</f>
        <v>0</v>
      </c>
      <c r="K4" s="50">
        <f>IF(H4=Year_Open_to_Traffic?,Calculations!$E$4,0)</f>
        <v>0</v>
      </c>
      <c r="L4" s="50">
        <f>IF(AND(H4&gt;=Year_Open_to_Traffic?, Calculations!H4&lt;Year_Open_to_Traffic?+'Inputs &amp; Outputs'!B$21), 1, 0)</f>
        <v>0</v>
      </c>
      <c r="M4" s="66" t="s">
        <v>111</v>
      </c>
      <c r="N4" s="67">
        <f>MIN(E8,1)</f>
        <v>0.27629587685080326</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5.6500082122846296E-2</v>
      </c>
      <c r="F5" s="26"/>
      <c r="H5" s="14">
        <f t="shared" ref="H5:H36" si="3">H4+1</f>
        <v>2019</v>
      </c>
      <c r="I5" s="80">
        <f>(I4*M5)+I4</f>
        <v>6959.3456459571498</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5.6500082122846296E-2</v>
      </c>
      <c r="N5" s="72">
        <f t="shared" ref="N5:N11" si="6">N4*(1+IFERROR(_2018_2025_V_C_Growth,_2018_2045_V_C_Growth))</f>
        <v>0.29190661658307748</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2.2004819440197387E-2</v>
      </c>
      <c r="F6" s="26"/>
      <c r="H6" s="49">
        <f t="shared" si="3"/>
        <v>2020</v>
      </c>
      <c r="I6" s="80">
        <f t="shared" ref="I6:I36" si="10">(I5*M6)+I5</f>
        <v>7352.5492464750014</v>
      </c>
      <c r="J6" s="50">
        <f t="shared" si="4"/>
        <v>0</v>
      </c>
      <c r="K6" s="50">
        <f>IF(H6=Year_Open_to_Traffic?,Calculations!$E$4,K5+(K5*M6))</f>
        <v>0</v>
      </c>
      <c r="L6" s="50">
        <f>IF(AND(H6&gt;=Year_Open_to_Traffic?, Calculations!H6&lt;Year_Open_to_Traffic?+'Inputs &amp; Outputs'!B$21), 1, 0)</f>
        <v>0</v>
      </c>
      <c r="M6" s="66">
        <f t="shared" si="5"/>
        <v>5.6500082122846296E-2</v>
      </c>
      <c r="N6" s="72">
        <f t="shared" si="6"/>
        <v>0.30839936439222354</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3.083837722456817E-2</v>
      </c>
      <c r="F7" s="26"/>
      <c r="H7" s="14">
        <f t="shared" si="3"/>
        <v>2021</v>
      </c>
      <c r="I7" s="80">
        <f t="shared" si="10"/>
        <v>7767.9688827131104</v>
      </c>
      <c r="J7" s="50">
        <f t="shared" si="4"/>
        <v>0</v>
      </c>
      <c r="K7" s="50">
        <f>IF(H7=Year_Open_to_Traffic?,Calculations!$E$4,K6+(K6*M7))</f>
        <v>0</v>
      </c>
      <c r="L7" s="50">
        <f>IF(AND(H7&gt;=Year_Open_to_Traffic?, Calculations!H7&lt;Year_Open_to_Traffic?+'Inputs &amp; Outputs'!B$21), 1, 0)</f>
        <v>0</v>
      </c>
      <c r="M7" s="66">
        <f t="shared" si="5"/>
        <v>5.6500082122846296E-2</v>
      </c>
      <c r="N7" s="72">
        <f t="shared" si="6"/>
        <v>0.32582395380701779</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0.27629587685080326</v>
      </c>
      <c r="F8" s="26"/>
      <c r="H8" s="49">
        <f t="shared" si="3"/>
        <v>2022</v>
      </c>
      <c r="I8" s="80">
        <f t="shared" si="10"/>
        <v>8206.8597625141156</v>
      </c>
      <c r="J8" s="50">
        <f t="shared" si="4"/>
        <v>0</v>
      </c>
      <c r="K8" s="50">
        <f>IF(H8=Year_Open_to_Traffic?,Calculations!$E$4,K7+(K7*M8))</f>
        <v>0</v>
      </c>
      <c r="L8" s="50">
        <f>IF(AND(H8&gt;=Year_Open_to_Traffic?, Calculations!H8&lt;Year_Open_to_Traffic?+'Inputs &amp; Outputs'!B$21), 1, 0)</f>
        <v>0</v>
      </c>
      <c r="M8" s="66">
        <f t="shared" si="5"/>
        <v>5.6500082122846296E-2</v>
      </c>
      <c r="N8" s="72">
        <f t="shared" si="6"/>
        <v>0.34423303395470478</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0.4059393481817038</v>
      </c>
      <c r="F9" s="26"/>
      <c r="H9" s="14">
        <f t="shared" si="3"/>
        <v>2023</v>
      </c>
      <c r="I9" s="80">
        <f t="shared" si="10"/>
        <v>8670.5480130668457</v>
      </c>
      <c r="J9" s="50">
        <f t="shared" si="4"/>
        <v>0</v>
      </c>
      <c r="K9" s="50">
        <f>IF(H9=Year_Open_to_Traffic?,Calculations!$E$4,K8+(K8*M9))</f>
        <v>0</v>
      </c>
      <c r="L9" s="50">
        <f>IF(AND(H9&gt;=Year_Open_to_Traffic?, Calculations!H9&lt;Year_Open_to_Traffic?+'Inputs &amp; Outputs'!B$21), 1, 0)</f>
        <v>0</v>
      </c>
      <c r="M9" s="66">
        <f t="shared" si="5"/>
        <v>5.6500082122846296E-2</v>
      </c>
      <c r="N9" s="72">
        <f t="shared" si="6"/>
        <v>0.36368222864254213</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0.62736462396711545</v>
      </c>
      <c r="F10" s="26"/>
      <c r="H10" s="49">
        <f t="shared" si="3"/>
        <v>2024</v>
      </c>
      <c r="I10" s="80">
        <f t="shared" si="10"/>
        <v>9160.4346878552042</v>
      </c>
      <c r="J10" s="50">
        <f t="shared" si="4"/>
        <v>0</v>
      </c>
      <c r="K10" s="50">
        <f>IF(H10=Year_Open_to_Traffic?,Calculations!$E$4,K9+(K9*M10))</f>
        <v>0</v>
      </c>
      <c r="L10" s="50">
        <f>IF(AND(H10&gt;=Year_Open_to_Traffic?, Calculations!H10&lt;Year_Open_to_Traffic?+'Inputs &amp; Outputs'!B$21), 1, 0)</f>
        <v>0</v>
      </c>
      <c r="M10" s="66">
        <f t="shared" si="5"/>
        <v>5.6500082122846296E-2</v>
      </c>
      <c r="N10" s="72">
        <f t="shared" si="6"/>
        <v>0.38423030442746553</v>
      </c>
      <c r="O10" s="73">
        <f t="shared" si="7"/>
        <v>1</v>
      </c>
      <c r="P10" s="69">
        <f>(J10-K10)*L10</f>
        <v>0</v>
      </c>
      <c r="Q10" s="70">
        <f t="shared" si="0"/>
        <v>0</v>
      </c>
      <c r="R10" s="71">
        <f t="shared" si="1"/>
        <v>20.320200961804083</v>
      </c>
      <c r="S10" s="78">
        <f t="shared" si="2"/>
        <v>0</v>
      </c>
      <c r="T10" s="65">
        <f t="shared" si="9"/>
        <v>0</v>
      </c>
      <c r="W10" s="59"/>
    </row>
    <row r="11" spans="1:24" ht="30" customHeight="1">
      <c r="A11" s="132" t="s">
        <v>121</v>
      </c>
      <c r="B11" s="133"/>
      <c r="D11" s="17" t="s">
        <v>122</v>
      </c>
      <c r="E11" s="39">
        <f>(E9/E8)^(1/(2025-2018))-1</f>
        <v>5.6500082122846296E-2</v>
      </c>
      <c r="F11" s="26"/>
      <c r="H11" s="14">
        <f t="shared" si="3"/>
        <v>2025</v>
      </c>
      <c r="I11" s="80">
        <f t="shared" si="10"/>
        <v>9677.9999999999927</v>
      </c>
      <c r="J11" s="50">
        <f t="shared" si="4"/>
        <v>381468.04799999978</v>
      </c>
      <c r="K11" s="50">
        <f>IF(H11=Year_Open_to_Traffic?,Calculations!$E$4,K10+(K10*M11))</f>
        <v>356434.20734999975</v>
      </c>
      <c r="L11" s="50">
        <f>IF(AND(H11&gt;=Year_Open_to_Traffic?, Calculations!H11&lt;Year_Open_to_Traffic?+'Inputs &amp; Outputs'!B$21), 1, 0)</f>
        <v>1</v>
      </c>
      <c r="M11" s="66">
        <f t="shared" si="5"/>
        <v>5.6500082122846296E-2</v>
      </c>
      <c r="N11" s="72">
        <f t="shared" si="6"/>
        <v>0.40593934818170357</v>
      </c>
      <c r="O11" s="73">
        <f t="shared" si="7"/>
        <v>1</v>
      </c>
      <c r="P11" s="69">
        <f t="shared" si="8"/>
        <v>25033.840650000027</v>
      </c>
      <c r="Q11" s="70">
        <f t="shared" si="0"/>
        <v>1</v>
      </c>
      <c r="R11" s="71">
        <f t="shared" si="1"/>
        <v>20.787565583925574</v>
      </c>
      <c r="S11" s="78">
        <f t="shared" si="2"/>
        <v>723.34572001789047</v>
      </c>
      <c r="T11" s="65">
        <f t="shared" si="9"/>
        <v>450.46336043446502</v>
      </c>
      <c r="W11" s="59"/>
    </row>
    <row r="12" spans="1:24">
      <c r="A12" s="17" t="s">
        <v>123</v>
      </c>
      <c r="B12" s="18">
        <v>0.45</v>
      </c>
      <c r="D12" s="17" t="s">
        <v>124</v>
      </c>
      <c r="E12" s="39">
        <f>(E10/E9)^(1/(2045-2025))-1</f>
        <v>2.2004819440197387E-2</v>
      </c>
      <c r="F12" s="26"/>
      <c r="H12" s="49">
        <v>2026</v>
      </c>
      <c r="I12" s="80">
        <f t="shared" si="10"/>
        <v>9890.962642542223</v>
      </c>
      <c r="J12" s="50">
        <f t="shared" si="4"/>
        <v>389862.1835184443</v>
      </c>
      <c r="K12" s="50">
        <f>IF(H12=Year_Open_to_Traffic?,Calculations!$E$4,K11+(K11*M12))</f>
        <v>364277.4777250464</v>
      </c>
      <c r="L12" s="50">
        <f>IF(AND(H12&gt;=Year_Open_to_Traffic?, Calculations!H12&lt;Year_Open_to_Traffic?+'Inputs &amp; Outputs'!B$21), 1, 0)</f>
        <v>1</v>
      </c>
      <c r="M12" s="66">
        <f t="shared" ref="M12:M36" si="11">IFERROR(_2025_2045_Demand_Growth,_2018_2045_Demand_Growth)</f>
        <v>2.2004819440197387E-2</v>
      </c>
      <c r="N12" s="72">
        <f t="shared" ref="N12:N36" si="12">N11*(1+IFERROR(_2025_2045_V_C_Growth,_2018_2045_V_C_Growth))</f>
        <v>0.41487197024211336</v>
      </c>
      <c r="O12" s="73">
        <f t="shared" si="7"/>
        <v>1</v>
      </c>
      <c r="P12" s="69">
        <f t="shared" si="8"/>
        <v>25584.705793397909</v>
      </c>
      <c r="Q12" s="70">
        <f t="shared" si="0"/>
        <v>1</v>
      </c>
      <c r="R12" s="71">
        <f t="shared" si="1"/>
        <v>21.265679592355859</v>
      </c>
      <c r="S12" s="78">
        <f t="shared" si="2"/>
        <v>756.2658566552559</v>
      </c>
      <c r="T12" s="65">
        <f t="shared" si="9"/>
        <v>440.15361404503722</v>
      </c>
      <c r="W12" s="59"/>
    </row>
    <row r="13" spans="1:24">
      <c r="A13" s="17" t="s">
        <v>55</v>
      </c>
      <c r="B13" s="18">
        <v>0.43</v>
      </c>
      <c r="D13" s="17" t="s">
        <v>125</v>
      </c>
      <c r="E13" s="39">
        <f>(E10/E8)^(1/(2045-2018))-1</f>
        <v>3.083837722456817E-2</v>
      </c>
      <c r="F13" s="26"/>
      <c r="H13" s="14">
        <f t="shared" si="3"/>
        <v>2027</v>
      </c>
      <c r="I13" s="80">
        <f t="shared" si="10"/>
        <v>10108.611489581102</v>
      </c>
      <c r="J13" s="50">
        <f t="shared" si="4"/>
        <v>398441.03047332878</v>
      </c>
      <c r="K13" s="50">
        <f>IF(H13=Year_Open_to_Traffic?,Calculations!$E$4,K12+(K12*M13))</f>
        <v>372293.33784851659</v>
      </c>
      <c r="L13" s="50">
        <f>IF(AND(H13&gt;=Year_Open_to_Traffic?, Calculations!H13&lt;Year_Open_to_Traffic?+'Inputs &amp; Outputs'!B$21), 1, 0)</f>
        <v>1</v>
      </c>
      <c r="M13" s="66">
        <f t="shared" si="11"/>
        <v>2.2004819440197387E-2</v>
      </c>
      <c r="N13" s="72">
        <f t="shared" si="12"/>
        <v>0.42400115303809</v>
      </c>
      <c r="O13" s="73">
        <f t="shared" si="7"/>
        <v>1</v>
      </c>
      <c r="P13" s="69">
        <f t="shared" si="8"/>
        <v>26147.692624812189</v>
      </c>
      <c r="Q13" s="70">
        <f t="shared" si="0"/>
        <v>1</v>
      </c>
      <c r="R13" s="71">
        <f t="shared" si="1"/>
        <v>21.754790222980041</v>
      </c>
      <c r="S13" s="78">
        <f t="shared" si="2"/>
        <v>790.68421933617469</v>
      </c>
      <c r="T13" s="65">
        <f t="shared" si="9"/>
        <v>430.07982662575085</v>
      </c>
      <c r="W13" s="59"/>
    </row>
    <row r="14" spans="1:24">
      <c r="H14" s="49">
        <f>H13+1</f>
        <v>2028</v>
      </c>
      <c r="I14" s="80">
        <f t="shared" si="10"/>
        <v>10331.049660200439</v>
      </c>
      <c r="J14" s="50">
        <f t="shared" si="4"/>
        <v>407208.65340646054</v>
      </c>
      <c r="K14" s="50">
        <f>IF(H14=Year_Open_to_Traffic?,Calculations!$E$4,K13+(K13*M14))</f>
        <v>380485.5855266616</v>
      </c>
      <c r="L14" s="50">
        <f>IF(AND(H14&gt;=Year_Open_to_Traffic?, Calculations!H14&lt;Year_Open_to_Traffic?+'Inputs &amp; Outputs'!B$21), 1, 0)</f>
        <v>1</v>
      </c>
      <c r="M14" s="66">
        <f t="shared" si="11"/>
        <v>2.2004819440197387E-2</v>
      </c>
      <c r="N14" s="72">
        <f t="shared" si="12"/>
        <v>0.43333122185312867</v>
      </c>
      <c r="O14" s="73">
        <f t="shared" si="7"/>
        <v>1</v>
      </c>
      <c r="P14" s="69">
        <f t="shared" si="8"/>
        <v>26723.067879798939</v>
      </c>
      <c r="Q14" s="70">
        <f t="shared" si="0"/>
        <v>1</v>
      </c>
      <c r="R14" s="71">
        <f t="shared" si="1"/>
        <v>22.255150398108579</v>
      </c>
      <c r="S14" s="78">
        <f t="shared" si="2"/>
        <v>826.6689937216679</v>
      </c>
      <c r="T14" s="65">
        <f t="shared" si="9"/>
        <v>420.23659778812936</v>
      </c>
      <c r="W14" s="59"/>
    </row>
    <row r="15" spans="1:24">
      <c r="H15" s="14">
        <f t="shared" si="3"/>
        <v>2029</v>
      </c>
      <c r="I15" s="80">
        <f t="shared" si="10"/>
        <v>10558.382542600863</v>
      </c>
      <c r="J15" s="50">
        <f t="shared" si="4"/>
        <v>416169.2062991556</v>
      </c>
      <c r="K15" s="50">
        <f>IF(H15=Year_Open_to_Traffic?,Calculations!$E$4,K14+(K14*M15))</f>
        <v>388858.10213577357</v>
      </c>
      <c r="L15" s="50">
        <f>IF(AND(H15&gt;=Year_Open_to_Traffic?, Calculations!H15&lt;Year_Open_to_Traffic?+'Inputs &amp; Outputs'!B$21), 1, 0)</f>
        <v>1</v>
      </c>
      <c r="M15" s="66">
        <f t="shared" si="11"/>
        <v>2.2004819440197387E-2</v>
      </c>
      <c r="N15" s="72">
        <f t="shared" si="12"/>
        <v>0.44286659714780691</v>
      </c>
      <c r="O15" s="73">
        <f t="shared" si="7"/>
        <v>1</v>
      </c>
      <c r="P15" s="69">
        <f t="shared" si="8"/>
        <v>27311.104163382028</v>
      </c>
      <c r="Q15" s="70">
        <f t="shared" si="0"/>
        <v>1</v>
      </c>
      <c r="R15" s="71">
        <f t="shared" si="1"/>
        <v>22.767018857265079</v>
      </c>
      <c r="S15" s="78">
        <f t="shared" si="2"/>
        <v>864.29146866562462</v>
      </c>
      <c r="T15" s="65">
        <f t="shared" si="9"/>
        <v>410.61865074228581</v>
      </c>
      <c r="W15" s="59"/>
    </row>
    <row r="16" spans="1:24">
      <c r="H16" s="49">
        <f t="shared" si="3"/>
        <v>2030</v>
      </c>
      <c r="I16" s="80">
        <f t="shared" si="10"/>
        <v>10790.717844031327</v>
      </c>
      <c r="J16" s="50">
        <f t="shared" si="4"/>
        <v>425326.93454033876</v>
      </c>
      <c r="K16" s="50">
        <f>IF(H16=Year_Open_to_Traffic?,Calculations!$E$4,K15+(K15*M16))</f>
        <v>397414.85446112911</v>
      </c>
      <c r="L16" s="50">
        <f>IF(AND(H16&gt;=Year_Open_to_Traffic?, Calculations!H16&lt;Year_Open_to_Traffic?+'Inputs &amp; Outputs'!B$21), 1, 0)</f>
        <v>1</v>
      </c>
      <c r="M16" s="66">
        <f t="shared" si="11"/>
        <v>2.2004819440197387E-2</v>
      </c>
      <c r="N16" s="72">
        <f t="shared" si="12"/>
        <v>0.45261179665413903</v>
      </c>
      <c r="O16" s="73">
        <f t="shared" si="7"/>
        <v>1</v>
      </c>
      <c r="P16" s="69">
        <f t="shared" si="8"/>
        <v>27912.080079209642</v>
      </c>
      <c r="Q16" s="70">
        <f t="shared" si="0"/>
        <v>1</v>
      </c>
      <c r="R16" s="71">
        <f t="shared" si="1"/>
        <v>23.290660290982171</v>
      </c>
      <c r="S16" s="78">
        <f t="shared" si="2"/>
        <v>903.62617744399188</v>
      </c>
      <c r="T16" s="65">
        <f t="shared" si="9"/>
        <v>401.22082946812316</v>
      </c>
      <c r="W16" s="59"/>
    </row>
    <row r="17" spans="1:23">
      <c r="A17" s="27"/>
      <c r="H17" s="14">
        <f t="shared" si="3"/>
        <v>2031</v>
      </c>
      <c r="I17" s="80">
        <f t="shared" si="10"/>
        <v>11028.165641819352</v>
      </c>
      <c r="J17" s="50">
        <f t="shared" si="4"/>
        <v>434686.17693795159</v>
      </c>
      <c r="K17" s="50">
        <f>IF(H17=Year_Open_to_Traffic?,Calculations!$E$4,K16+(K16*M17))</f>
        <v>406159.89657639858</v>
      </c>
      <c r="L17" s="50">
        <f>IF(AND(H17&gt;=Year_Open_to_Traffic?, Calculations!H17&lt;Year_Open_to_Traffic?+'Inputs &amp; Outputs'!B$21), 1, 0)</f>
        <v>1</v>
      </c>
      <c r="M17" s="66">
        <f t="shared" si="11"/>
        <v>2.2004819440197387E-2</v>
      </c>
      <c r="N17" s="72">
        <f t="shared" si="12"/>
        <v>0.4625714375160167</v>
      </c>
      <c r="O17" s="73">
        <f t="shared" si="7"/>
        <v>1</v>
      </c>
      <c r="P17" s="69">
        <f t="shared" si="8"/>
        <v>28526.280361553014</v>
      </c>
      <c r="Q17" s="70">
        <f t="shared" si="0"/>
        <v>1</v>
      </c>
      <c r="R17" s="71">
        <f t="shared" si="1"/>
        <v>23.82634547767476</v>
      </c>
      <c r="S17" s="78">
        <f t="shared" si="2"/>
        <v>944.75104541144572</v>
      </c>
      <c r="T17" s="65">
        <f t="shared" si="9"/>
        <v>392.03809595127927</v>
      </c>
      <c r="W17" s="59"/>
    </row>
    <row r="18" spans="1:23">
      <c r="H18" s="49">
        <f t="shared" si="3"/>
        <v>2032</v>
      </c>
      <c r="I18" s="80">
        <f t="shared" si="10"/>
        <v>11270.838435524176</v>
      </c>
      <c r="J18" s="50">
        <f t="shared" si="4"/>
        <v>444251.36777462089</v>
      </c>
      <c r="K18" s="50">
        <f>IF(H18=Year_Open_to_Traffic?,Calculations!$E$4,K17+(K17*M18))</f>
        <v>415097.37176441145</v>
      </c>
      <c r="L18" s="50">
        <f>IF(AND(H18&gt;=Year_Open_to_Traffic?, Calculations!H18&lt;Year_Open_to_Traffic?+'Inputs &amp; Outputs'!B$21), 1, 0)</f>
        <v>1</v>
      </c>
      <c r="M18" s="66">
        <f t="shared" si="11"/>
        <v>2.2004819440197387E-2</v>
      </c>
      <c r="N18" s="72">
        <f t="shared" si="12"/>
        <v>0.47275023847674918</v>
      </c>
      <c r="O18" s="73">
        <f t="shared" si="7"/>
        <v>1</v>
      </c>
      <c r="P18" s="69">
        <f t="shared" si="8"/>
        <v>29153.996010209434</v>
      </c>
      <c r="Q18" s="70">
        <f t="shared" si="0"/>
        <v>1</v>
      </c>
      <c r="R18" s="71">
        <f t="shared" si="1"/>
        <v>24.374351423661277</v>
      </c>
      <c r="S18" s="78">
        <f t="shared" si="2"/>
        <v>987.74754437804029</v>
      </c>
      <c r="T18" s="65">
        <f t="shared" si="9"/>
        <v>383.06552748232929</v>
      </c>
      <c r="W18" s="59"/>
    </row>
    <row r="19" spans="1:23">
      <c r="H19" s="14">
        <f t="shared" si="3"/>
        <v>2033</v>
      </c>
      <c r="I19" s="80">
        <f t="shared" si="10"/>
        <v>11518.851200237523</v>
      </c>
      <c r="J19" s="50">
        <f t="shared" si="4"/>
        <v>454027.03890856216</v>
      </c>
      <c r="K19" s="50">
        <f>IF(H19=Year_Open_to_Traffic?,Calculations!$E$4,K18+(K18*M19))</f>
        <v>424231.51448018779</v>
      </c>
      <c r="L19" s="50">
        <f>IF(AND(H19&gt;=Year_Open_to_Traffic?, Calculations!H19&lt;Year_Open_to_Traffic?+'Inputs &amp; Outputs'!B$21), 1, 0)</f>
        <v>1</v>
      </c>
      <c r="M19" s="66">
        <f t="shared" si="11"/>
        <v>2.2004819440197387E-2</v>
      </c>
      <c r="N19" s="72">
        <f t="shared" si="12"/>
        <v>0.48315302211474032</v>
      </c>
      <c r="O19" s="73">
        <f t="shared" si="7"/>
        <v>1</v>
      </c>
      <c r="P19" s="69">
        <f t="shared" si="8"/>
        <v>29795.524428374367</v>
      </c>
      <c r="Q19" s="70">
        <f t="shared" si="0"/>
        <v>1</v>
      </c>
      <c r="R19" s="71">
        <f t="shared" si="1"/>
        <v>24.934961506405479</v>
      </c>
      <c r="S19" s="78">
        <f t="shared" si="2"/>
        <v>1032.7008540117035</v>
      </c>
      <c r="T19" s="65">
        <f t="shared" si="9"/>
        <v>374.29831401780751</v>
      </c>
      <c r="W19" s="59"/>
    </row>
    <row r="20" spans="1:23">
      <c r="H20" s="49">
        <f t="shared" si="3"/>
        <v>2034</v>
      </c>
      <c r="I20" s="80">
        <f t="shared" si="10"/>
        <v>11772.321441057251</v>
      </c>
      <c r="J20" s="50">
        <f t="shared" si="4"/>
        <v>464017.82192071254</v>
      </c>
      <c r="K20" s="50">
        <f>IF(H20=Year_Open_to_Traffic?,Calculations!$E$4,K19+(K19*M20))</f>
        <v>433566.65235716582</v>
      </c>
      <c r="L20" s="50">
        <f>IF(AND(H20&gt;=Year_Open_to_Traffic?, Calculations!H20&lt;Year_Open_to_Traffic?+'Inputs &amp; Outputs'!B$21), 1, 0)</f>
        <v>1</v>
      </c>
      <c r="M20" s="66">
        <f t="shared" si="11"/>
        <v>2.2004819440197387E-2</v>
      </c>
      <c r="N20" s="72">
        <f t="shared" si="12"/>
        <v>0.49378471712836086</v>
      </c>
      <c r="O20" s="73">
        <f t="shared" si="7"/>
        <v>1</v>
      </c>
      <c r="P20" s="69">
        <f t="shared" si="8"/>
        <v>30451.169563546719</v>
      </c>
      <c r="Q20" s="70">
        <f t="shared" si="0"/>
        <v>1</v>
      </c>
      <c r="R20" s="71">
        <f t="shared" si="1"/>
        <v>25.508465621052807</v>
      </c>
      <c r="S20" s="78">
        <f t="shared" si="2"/>
        <v>1079.7000305862875</v>
      </c>
      <c r="T20" s="65">
        <f t="shared" si="9"/>
        <v>365.73175560162053</v>
      </c>
      <c r="W20" s="59"/>
    </row>
    <row r="21" spans="1:23">
      <c r="H21" s="14">
        <f t="shared" si="3"/>
        <v>2035</v>
      </c>
      <c r="I21" s="80">
        <f t="shared" si="10"/>
        <v>12031.36924875968</v>
      </c>
      <c r="J21" s="50">
        <f t="shared" si="4"/>
        <v>474228.4503091115</v>
      </c>
      <c r="K21" s="50">
        <f>IF(H21=Year_Open_to_Traffic?,Calculations!$E$4,K20+(K20*M21))</f>
        <v>443107.2082575761</v>
      </c>
      <c r="L21" s="50">
        <f>IF(AND(H21&gt;=Year_Open_to_Traffic?, Calculations!H21&lt;Year_Open_to_Traffic?+'Inputs &amp; Outputs'!B$21), 1, 0)</f>
        <v>1</v>
      </c>
      <c r="M21" s="66">
        <f t="shared" si="11"/>
        <v>2.2004819440197387E-2</v>
      </c>
      <c r="N21" s="72">
        <f t="shared" si="12"/>
        <v>0.50465036067109936</v>
      </c>
      <c r="O21" s="73">
        <f t="shared" si="7"/>
        <v>1</v>
      </c>
      <c r="P21" s="69">
        <f t="shared" si="8"/>
        <v>31121.242051535402</v>
      </c>
      <c r="Q21" s="70">
        <f t="shared" si="0"/>
        <v>1</v>
      </c>
      <c r="R21" s="71">
        <f t="shared" si="1"/>
        <v>26.095160330337016</v>
      </c>
      <c r="S21" s="78">
        <f t="shared" si="2"/>
        <v>1128.8381834095194</v>
      </c>
      <c r="T21" s="65">
        <f t="shared" si="9"/>
        <v>357.36125984548198</v>
      </c>
      <c r="W21" s="59"/>
    </row>
    <row r="22" spans="1:23">
      <c r="H22" s="49">
        <f>H21+1</f>
        <v>2036</v>
      </c>
      <c r="I22" s="80">
        <f t="shared" si="10"/>
        <v>12296.117356696979</v>
      </c>
      <c r="J22" s="50">
        <f t="shared" si="4"/>
        <v>484663.76173156814</v>
      </c>
      <c r="K22" s="50">
        <f>IF(H22=Year_Open_to_Traffic?,Calculations!$E$4,K21+(K21*M22))</f>
        <v>452857.70236793399</v>
      </c>
      <c r="L22" s="50">
        <f>IF(AND(H22&gt;=Year_Open_to_Traffic?, Calculations!H22&lt;Year_Open_to_Traffic?+'Inputs &amp; Outputs'!B$21), 1, 0)</f>
        <v>1</v>
      </c>
      <c r="M22" s="66">
        <f t="shared" si="11"/>
        <v>2.2004819440197387E-2</v>
      </c>
      <c r="N22" s="72">
        <f t="shared" si="12"/>
        <v>0.51575510073809738</v>
      </c>
      <c r="O22" s="73">
        <f t="shared" si="7"/>
        <v>1</v>
      </c>
      <c r="P22" s="69">
        <f t="shared" si="8"/>
        <v>31806.059363634151</v>
      </c>
      <c r="Q22" s="70">
        <f t="shared" si="0"/>
        <v>1</v>
      </c>
      <c r="R22" s="71">
        <f t="shared" si="1"/>
        <v>26.695349017934767</v>
      </c>
      <c r="S22" s="78">
        <f t="shared" si="2"/>
        <v>1180.2126592803384</v>
      </c>
      <c r="T22" s="65">
        <f t="shared" si="9"/>
        <v>349.182339467009</v>
      </c>
      <c r="W22" s="59"/>
    </row>
    <row r="23" spans="1:23">
      <c r="H23" s="14">
        <f t="shared" si="3"/>
        <v>2037</v>
      </c>
      <c r="I23" s="80">
        <f t="shared" si="10"/>
        <v>12566.691198946573</v>
      </c>
      <c r="J23" s="50">
        <f t="shared" si="4"/>
        <v>495328.70029767812</v>
      </c>
      <c r="K23" s="50">
        <f>IF(H23=Year_Open_to_Traffic?,Calculations!$E$4,K22+(K22*M23))</f>
        <v>462822.754340643</v>
      </c>
      <c r="L23" s="50">
        <f>IF(AND(H23&gt;=Year_Open_to_Traffic?, Calculations!H23&lt;Year_Open_to_Traffic?+'Inputs &amp; Outputs'!B$21), 1, 0)</f>
        <v>1</v>
      </c>
      <c r="M23" s="66">
        <f t="shared" si="11"/>
        <v>2.2004819440197387E-2</v>
      </c>
      <c r="N23" s="72">
        <f t="shared" si="12"/>
        <v>0.52710419860520008</v>
      </c>
      <c r="O23" s="73">
        <f t="shared" si="7"/>
        <v>1</v>
      </c>
      <c r="P23" s="69">
        <f t="shared" si="8"/>
        <v>32505.945957035117</v>
      </c>
      <c r="Q23" s="70">
        <f t="shared" si="0"/>
        <v>1</v>
      </c>
      <c r="R23" s="71">
        <f t="shared" si="1"/>
        <v>27.309342045347261</v>
      </c>
      <c r="S23" s="78">
        <f t="shared" si="2"/>
        <v>1233.9252353410604</v>
      </c>
      <c r="T23" s="65">
        <f t="shared" si="9"/>
        <v>341.19060988416442</v>
      </c>
      <c r="W23" s="59"/>
    </row>
    <row r="24" spans="1:23">
      <c r="H24" s="49">
        <f t="shared" si="3"/>
        <v>2038</v>
      </c>
      <c r="I24" s="80">
        <f t="shared" si="10"/>
        <v>12843.21896974011</v>
      </c>
      <c r="J24" s="50">
        <f t="shared" si="4"/>
        <v>506228.31891127618</v>
      </c>
      <c r="K24" s="50">
        <f>IF(H24=Year_Open_to_Traffic?,Calculations!$E$4,K23+(K23*M24))</f>
        <v>473007.08548272366</v>
      </c>
      <c r="L24" s="50">
        <f>IF(AND(H24&gt;=Year_Open_to_Traffic?, Calculations!H24&lt;Year_Open_to_Traffic?+'Inputs &amp; Outputs'!B$21), 1, 0)</f>
        <v>1</v>
      </c>
      <c r="M24" s="66">
        <f t="shared" si="11"/>
        <v>2.2004819440197387E-2</v>
      </c>
      <c r="N24" s="72">
        <f t="shared" si="12"/>
        <v>0.53870303132167741</v>
      </c>
      <c r="O24" s="73">
        <f t="shared" si="7"/>
        <v>1</v>
      </c>
      <c r="P24" s="69">
        <f>(J24-K24)*L24</f>
        <v>33221.233428552514</v>
      </c>
      <c r="Q24" s="70">
        <f t="shared" si="0"/>
        <v>1</v>
      </c>
      <c r="R24" s="71">
        <f t="shared" si="1"/>
        <v>27.93745691239025</v>
      </c>
      <c r="S24" s="78">
        <f t="shared" si="2"/>
        <v>1290.0823207064357</v>
      </c>
      <c r="T24" s="65">
        <f t="shared" si="9"/>
        <v>333.38178686475868</v>
      </c>
      <c r="W24" s="59"/>
    </row>
    <row r="25" spans="1:23">
      <c r="H25" s="14">
        <f t="shared" si="3"/>
        <v>2039</v>
      </c>
      <c r="I25" s="80">
        <f t="shared" si="10"/>
        <v>13125.831684200159</v>
      </c>
      <c r="J25" s="50">
        <f t="shared" si="4"/>
        <v>517367.78166443348</v>
      </c>
      <c r="K25" s="50">
        <f>IF(H25=Year_Open_to_Traffic?,Calculations!$E$4,K24+(K24*M25))</f>
        <v>483415.52099270502</v>
      </c>
      <c r="L25" s="50">
        <f>IF(AND(H25&gt;=Year_Open_to_Traffic?, Calculations!H25&lt;Year_Open_to_Traffic?+'Inputs &amp; Outputs'!B$21), 1, 0)</f>
        <v>1</v>
      </c>
      <c r="M25" s="66">
        <f t="shared" si="11"/>
        <v>2.2004819440197387E-2</v>
      </c>
      <c r="N25" s="72">
        <f t="shared" si="12"/>
        <v>0.55055709425779786</v>
      </c>
      <c r="O25" s="73">
        <f t="shared" si="7"/>
        <v>1</v>
      </c>
      <c r="P25" s="69">
        <f t="shared" si="8"/>
        <v>33952.260671728465</v>
      </c>
      <c r="Q25" s="70">
        <f t="shared" si="0"/>
        <v>1</v>
      </c>
      <c r="R25" s="71">
        <f t="shared" si="1"/>
        <v>28.580018421375218</v>
      </c>
      <c r="S25" s="78">
        <f t="shared" si="2"/>
        <v>1348.7951672690124</v>
      </c>
      <c r="T25" s="65">
        <f t="shared" si="9"/>
        <v>325.7516842297415</v>
      </c>
      <c r="W25" s="59"/>
    </row>
    <row r="26" spans="1:23">
      <c r="H26" s="49">
        <f t="shared" si="3"/>
        <v>2040</v>
      </c>
      <c r="I26" s="80">
        <f t="shared" si="10"/>
        <v>13414.663240413405</v>
      </c>
      <c r="J26" s="50">
        <f t="shared" si="4"/>
        <v>528752.3662841348</v>
      </c>
      <c r="K26" s="50">
        <f>IF(H26=Year_Open_to_Traffic?,Calculations!$E$4,K25+(K25*M26))</f>
        <v>494052.99224673846</v>
      </c>
      <c r="L26" s="50">
        <f>IF(AND(H26&gt;=Year_Open_to_Traffic?, Calculations!H26&lt;Year_Open_to_Traffic?+'Inputs &amp; Outputs'!B$21), 1, 0)</f>
        <v>1</v>
      </c>
      <c r="M26" s="66">
        <f t="shared" si="11"/>
        <v>2.2004819440197387E-2</v>
      </c>
      <c r="N26" s="72">
        <f t="shared" si="12"/>
        <v>0.56267200370846049</v>
      </c>
      <c r="O26" s="73">
        <f t="shared" si="7"/>
        <v>1</v>
      </c>
      <c r="P26" s="69">
        <f t="shared" si="8"/>
        <v>34699.374037396337</v>
      </c>
      <c r="Q26" s="70">
        <f t="shared" si="0"/>
        <v>1</v>
      </c>
      <c r="R26" s="71">
        <f t="shared" si="1"/>
        <v>29.237358845066851</v>
      </c>
      <c r="S26" s="78">
        <f t="shared" si="2"/>
        <v>1410.1800900984683</v>
      </c>
      <c r="T26" s="65">
        <f t="shared" si="9"/>
        <v>318.2962116090643</v>
      </c>
      <c r="W26" s="59"/>
    </row>
    <row r="27" spans="1:23">
      <c r="H27" s="14">
        <f t="shared" si="3"/>
        <v>2041</v>
      </c>
      <c r="I27" s="80">
        <f t="shared" si="10"/>
        <v>13709.850482869755</v>
      </c>
      <c r="J27" s="50">
        <f t="shared" si="4"/>
        <v>540387.46663279424</v>
      </c>
      <c r="K27" s="50">
        <f>IF(H27=Year_Open_to_Traffic?,Calculations!$E$4,K26+(K26*M27))</f>
        <v>504924.5391350172</v>
      </c>
      <c r="L27" s="50">
        <f>IF(AND(H27&gt;=Year_Open_to_Traffic?, Calculations!H27&lt;Year_Open_to_Traffic?+'Inputs &amp; Outputs'!B$21), 1, 0)</f>
        <v>1</v>
      </c>
      <c r="M27" s="66">
        <f t="shared" si="11"/>
        <v>2.2004819440197387E-2</v>
      </c>
      <c r="N27" s="72">
        <f t="shared" si="12"/>
        <v>0.57505349955411922</v>
      </c>
      <c r="O27" s="73">
        <f t="shared" si="7"/>
        <v>1</v>
      </c>
      <c r="P27" s="69">
        <f t="shared" si="8"/>
        <v>35462.92749777704</v>
      </c>
      <c r="Q27" s="70">
        <f t="shared" si="0"/>
        <v>1</v>
      </c>
      <c r="R27" s="71">
        <f t="shared" si="1"/>
        <v>29.909818098503379</v>
      </c>
      <c r="S27" s="78">
        <f t="shared" si="2"/>
        <v>1474.3586978715055</v>
      </c>
      <c r="T27" s="65">
        <f t="shared" si="9"/>
        <v>311.01137224889931</v>
      </c>
      <c r="W27" s="59"/>
    </row>
    <row r="28" spans="1:23">
      <c r="H28" s="49">
        <f t="shared" si="3"/>
        <v>2042</v>
      </c>
      <c r="I28" s="80">
        <f t="shared" si="10"/>
        <v>14011.533267297407</v>
      </c>
      <c r="J28" s="50">
        <f t="shared" si="4"/>
        <v>552278.59526379453</v>
      </c>
      <c r="K28" s="50">
        <f>IF(H28=Year_Open_to_Traffic?,Calculations!$E$4,K27+(K27*M28))</f>
        <v>516035.31244960811</v>
      </c>
      <c r="L28" s="50">
        <f>IF(AND(H28&gt;=Year_Open_to_Traffic?, Calculations!H28&lt;Year_Open_to_Traffic?+'Inputs &amp; Outputs'!B$21), 1, 0)</f>
        <v>1</v>
      </c>
      <c r="M28" s="66">
        <f t="shared" si="11"/>
        <v>2.2004819440197387E-2</v>
      </c>
      <c r="N28" s="72">
        <f t="shared" si="12"/>
        <v>0.5877074479802612</v>
      </c>
      <c r="O28" s="73">
        <f t="shared" si="7"/>
        <v>1</v>
      </c>
      <c r="P28" s="69">
        <f t="shared" si="8"/>
        <v>36243.282814186416</v>
      </c>
      <c r="Q28" s="70">
        <f t="shared" si="0"/>
        <v>1</v>
      </c>
      <c r="R28" s="71">
        <f t="shared" si="1"/>
        <v>30.597743914768959</v>
      </c>
      <c r="S28" s="78">
        <f t="shared" si="2"/>
        <v>1541.4581337888415</v>
      </c>
      <c r="T28" s="65">
        <f t="shared" si="9"/>
        <v>303.89326086904964</v>
      </c>
      <c r="W28" s="59"/>
    </row>
    <row r="29" spans="1:23">
      <c r="H29" s="14">
        <f t="shared" si="3"/>
        <v>2043</v>
      </c>
      <c r="I29" s="80">
        <f t="shared" si="10"/>
        <v>14319.854526924606</v>
      </c>
      <c r="J29" s="50">
        <f t="shared" si="4"/>
        <v>564431.38603326015</v>
      </c>
      <c r="K29" s="50">
        <f>IF(H29=Year_Open_to_Traffic?,Calculations!$E$4,K28+(K28*M29))</f>
        <v>527390.57632482762</v>
      </c>
      <c r="L29" s="50">
        <f>IF(AND(H29&gt;=Year_Open_to_Traffic?, Calculations!H29&lt;Year_Open_to_Traffic?+'Inputs &amp; Outputs'!B$21), 1, 0)</f>
        <v>1</v>
      </c>
      <c r="M29" s="66">
        <f t="shared" si="11"/>
        <v>2.2004819440197387E-2</v>
      </c>
      <c r="N29" s="72">
        <f t="shared" si="12"/>
        <v>0.60063984425672601</v>
      </c>
      <c r="O29" s="73">
        <f t="shared" si="7"/>
        <v>1</v>
      </c>
      <c r="P29" s="69">
        <f t="shared" si="8"/>
        <v>37040.809708432527</v>
      </c>
      <c r="Q29" s="70">
        <f t="shared" si="0"/>
        <v>1</v>
      </c>
      <c r="R29" s="71">
        <f t="shared" si="1"/>
        <v>31.301492024808638</v>
      </c>
      <c r="S29" s="78">
        <f t="shared" si="2"/>
        <v>1611.6113274565275</v>
      </c>
      <c r="T29" s="65">
        <f t="shared" si="9"/>
        <v>296.9380615693899</v>
      </c>
      <c r="W29" s="59"/>
    </row>
    <row r="30" spans="1:23">
      <c r="H30" s="14">
        <f t="shared" si="3"/>
        <v>2044</v>
      </c>
      <c r="I30" s="80">
        <f t="shared" si="10"/>
        <v>14634.960340199475</v>
      </c>
      <c r="J30" s="50">
        <f t="shared" si="4"/>
        <v>576851.59676930238</v>
      </c>
      <c r="K30" s="50">
        <f>IF(H30=Year_Open_to_Traffic?,Calculations!$E$4,K29+(K29*M30))</f>
        <v>538995.71073131706</v>
      </c>
      <c r="L30" s="50">
        <f>IF(AND(H30&gt;=Year_Open_to_Traffic?, Calculations!H30&lt;Year_Open_to_Traffic?+'Inputs &amp; Outputs'!B$21), 1, 0)</f>
        <v>1</v>
      </c>
      <c r="M30" s="66">
        <f t="shared" si="11"/>
        <v>2.2004819440197387E-2</v>
      </c>
      <c r="N30" s="72">
        <f t="shared" si="12"/>
        <v>0.6138568155781835</v>
      </c>
      <c r="O30" s="73">
        <f t="shared" si="7"/>
        <v>1</v>
      </c>
      <c r="P30" s="69">
        <f t="shared" si="8"/>
        <v>37855.886037985329</v>
      </c>
      <c r="Q30" s="70">
        <f t="shared" si="0"/>
        <v>1</v>
      </c>
      <c r="R30" s="71">
        <f t="shared" si="1"/>
        <v>32.021426341379232</v>
      </c>
      <c r="S30" s="78">
        <f t="shared" si="2"/>
        <v>1684.957258230661</v>
      </c>
      <c r="T30" s="65">
        <f t="shared" si="9"/>
        <v>290.14204578423096</v>
      </c>
      <c r="W30" s="59"/>
    </row>
    <row r="31" spans="1:23">
      <c r="H31" s="14">
        <f t="shared" si="3"/>
        <v>2045</v>
      </c>
      <c r="I31" s="80">
        <f t="shared" si="10"/>
        <v>14957.000000000015</v>
      </c>
      <c r="J31" s="50">
        <f t="shared" si="4"/>
        <v>589545.11200000043</v>
      </c>
      <c r="K31" s="50">
        <f>IF(H31=Year_Open_to_Traffic?,Calculations!$E$4,K30+(K30*M31))</f>
        <v>550856.21402500058</v>
      </c>
      <c r="L31" s="50">
        <f>IF(AND(H31&gt;=Year_Open_to_Traffic?, Calculations!H31&lt;Year_Open_to_Traffic?+'Inputs &amp; Outputs'!B$21), 1, 0)</f>
        <v>0</v>
      </c>
      <c r="M31" s="66">
        <f t="shared" si="11"/>
        <v>2.2004819440197387E-2</v>
      </c>
      <c r="N31" s="72">
        <f t="shared" si="12"/>
        <v>0.62736462396711601</v>
      </c>
      <c r="O31" s="73">
        <f t="shared" si="7"/>
        <v>1</v>
      </c>
      <c r="P31" s="69">
        <f t="shared" si="8"/>
        <v>0</v>
      </c>
      <c r="Q31" s="70">
        <f t="shared" si="0"/>
        <v>0</v>
      </c>
      <c r="R31" s="71">
        <f t="shared" si="1"/>
        <v>32.757919147230957</v>
      </c>
      <c r="S31" s="78">
        <f t="shared" si="2"/>
        <v>0</v>
      </c>
      <c r="T31" s="65">
        <f t="shared" si="9"/>
        <v>0</v>
      </c>
      <c r="W31" s="59"/>
    </row>
    <row r="32" spans="1:23">
      <c r="H32" s="14">
        <f t="shared" si="3"/>
        <v>2046</v>
      </c>
      <c r="I32" s="80">
        <f t="shared" si="10"/>
        <v>15286.126084367048</v>
      </c>
      <c r="J32" s="50">
        <f t="shared" si="4"/>
        <v>602517.94574141141</v>
      </c>
      <c r="K32" s="50">
        <f>IF(H32=Year_Open_to_Traffic?,Calculations!$E$4,K31+(K31*M32))</f>
        <v>562977.7055521314</v>
      </c>
      <c r="L32" s="50">
        <f>IF(AND(H32&gt;=Year_Open_to_Traffic?, Calculations!H32&lt;Year_Open_to_Traffic?+'Inputs &amp; Outputs'!B$21), 1, 0)</f>
        <v>0</v>
      </c>
      <c r="M32" s="66">
        <f t="shared" si="11"/>
        <v>2.2004819440197387E-2</v>
      </c>
      <c r="N32" s="72">
        <f t="shared" si="12"/>
        <v>0.64116966924067975</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15622.494528793637</v>
      </c>
      <c r="J33" s="50">
        <f t="shared" si="4"/>
        <v>615776.24434692983</v>
      </c>
      <c r="K33" s="50">
        <f>IF(H33=Year_Open_to_Traffic?,Calculations!$E$4,K32+(K32*M33))</f>
        <v>575365.92831166263</v>
      </c>
      <c r="L33" s="50">
        <f>IF(AND(H33&gt;=Year_Open_to_Traffic?, Calculations!H33&lt;Year_Open_to_Traffic?+'Inputs &amp; Outputs'!B$21), 1, 0)</f>
        <v>0</v>
      </c>
      <c r="M33" s="66">
        <f t="shared" si="11"/>
        <v>2.2004819440197387E-2</v>
      </c>
      <c r="N33" s="72">
        <f t="shared" si="12"/>
        <v>0.65527849204285205</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15966.264700105212</v>
      </c>
      <c r="J34" s="50">
        <f t="shared" si="4"/>
        <v>629326.28941934684</v>
      </c>
      <c r="K34" s="50">
        <f>IF(H34=Year_Open_to_Traffic?,Calculations!$E$4,K33+(K33*M34))</f>
        <v>588026.75167620229</v>
      </c>
      <c r="L34" s="50">
        <f>IF(AND(H34&gt;=Year_Open_to_Traffic?, Calculations!H34&lt;Year_Open_to_Traffic?+'Inputs &amp; Outputs'!B$21), 1, 0)</f>
        <v>0</v>
      </c>
      <c r="M34" s="66">
        <f t="shared" si="11"/>
        <v>2.2004819440197387E-2</v>
      </c>
      <c r="N34" s="72">
        <f t="shared" si="12"/>
        <v>0.66969777694329979</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16317.599471965425</v>
      </c>
      <c r="J35" s="50">
        <f t="shared" si="4"/>
        <v>643174.500786989</v>
      </c>
      <c r="K35" s="50">
        <f>IF(H35=Year_Open_to_Traffic?,Calculations!$E$4,K34+(K34*M35))</f>
        <v>600966.17417284288</v>
      </c>
      <c r="L35" s="50">
        <f>IF(AND(H35&gt;=Year_Open_to_Traffic?, Calculations!H35&lt;Year_Open_to_Traffic?+'Inputs &amp; Outputs'!B$21), 1, 0)</f>
        <v>0</v>
      </c>
      <c r="M35" s="66">
        <f t="shared" si="11"/>
        <v>2.2004819440197387E-2</v>
      </c>
      <c r="N35" s="72">
        <f t="shared" si="12"/>
        <v>0.68443435560443866</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16676.665302043482</v>
      </c>
      <c r="J36" s="50">
        <f t="shared" si="4"/>
        <v>657327.43954534573</v>
      </c>
      <c r="K36" s="50">
        <f>IF(H36=Year_Open_to_Traffic?,Calculations!$E$4,K35+(K35*M36))</f>
        <v>614190.32632518245</v>
      </c>
      <c r="L36" s="50">
        <f>IF(AND(H36&gt;=Year_Open_to_Traffic?, Calculations!H36&lt;Year_Open_to_Traffic?+'Inputs &amp; Outputs'!B$21), 1, 0)</f>
        <v>0</v>
      </c>
      <c r="M36" s="66">
        <f t="shared" si="11"/>
        <v>2.2004819440197387E-2</v>
      </c>
      <c r="N36" s="72">
        <f t="shared" si="12"/>
        <v>0.69949521001818216</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7295.0552045286186</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123</v>
      </c>
    </row>
    <row r="6" spans="2:14">
      <c r="B6" s="74" t="s">
        <v>73</v>
      </c>
      <c r="C6" s="82">
        <v>0.3</v>
      </c>
      <c r="D6" s="75">
        <v>0.2</v>
      </c>
      <c r="E6" s="75">
        <v>0.1</v>
      </c>
      <c r="F6" s="75">
        <v>0.3</v>
      </c>
      <c r="G6" s="92">
        <v>0.2</v>
      </c>
      <c r="H6" s="94"/>
      <c r="L6" s="44" t="s">
        <v>158</v>
      </c>
      <c r="N6" s="44" t="s">
        <v>55</v>
      </c>
    </row>
    <row r="7" spans="2:14">
      <c r="B7" s="74" t="s">
        <v>159</v>
      </c>
      <c r="C7" s="82">
        <v>0.3</v>
      </c>
      <c r="D7" s="75">
        <v>0.2</v>
      </c>
      <c r="E7" s="75">
        <v>0.15</v>
      </c>
      <c r="F7" s="75">
        <v>0.3</v>
      </c>
      <c r="G7" s="92">
        <v>0.25</v>
      </c>
      <c r="H7" s="94"/>
      <c r="L7" s="44" t="s">
        <v>52</v>
      </c>
    </row>
    <row r="8" spans="2:14">
      <c r="B8" s="74" t="s">
        <v>160</v>
      </c>
      <c r="C8" s="82">
        <v>0.2</v>
      </c>
      <c r="D8" s="75">
        <v>0.02</v>
      </c>
      <c r="E8" s="75">
        <v>0.02</v>
      </c>
      <c r="F8" s="75">
        <v>0.2</v>
      </c>
      <c r="G8" s="92">
        <v>0.15</v>
      </c>
      <c r="H8" s="94"/>
      <c r="L8" s="44" t="s">
        <v>161</v>
      </c>
    </row>
    <row r="9" spans="2:14">
      <c r="B9" s="74" t="s">
        <v>162</v>
      </c>
      <c r="C9" s="82">
        <v>0.2</v>
      </c>
      <c r="D9" s="75">
        <v>0.02</v>
      </c>
      <c r="E9" s="75">
        <v>0.02</v>
      </c>
      <c r="F9" s="75">
        <v>0.2</v>
      </c>
      <c r="G9" s="92">
        <v>0.15</v>
      </c>
      <c r="H9" s="94"/>
      <c r="L9" s="44" t="s">
        <v>163</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5F2E14-D088-40A5-8A7C-297196B80552}"/>
</file>

<file path=customXml/itemProps2.xml><?xml version="1.0" encoding="utf-8"?>
<ds:datastoreItem xmlns:ds="http://schemas.openxmlformats.org/officeDocument/2006/customXml" ds:itemID="{A2B217B2-FBBE-456B-82E7-A8B6274A524C}"/>
</file>

<file path=customXml/itemProps3.xml><?xml version="1.0" encoding="utf-8"?>
<ds:datastoreItem xmlns:ds="http://schemas.openxmlformats.org/officeDocument/2006/customXml" ds:itemID="{A37B8FB6-BD7C-4442-BD48-86B2BBAF71E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