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drawings/drawing3.xml" ContentType="application/vnd.openxmlformats-officedocument.drawing+xml"/>
  <Override PartName="/xl/ctrlProps/ctrlProp2.xml" ContentType="application/vnd.ms-excel.controlproperties+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24226"/>
  <mc:AlternateContent xmlns:mc="http://schemas.openxmlformats.org/markup-compatibility/2006">
    <mc:Choice Requires="x15">
      <x15ac:absPath xmlns:x15ac="http://schemas.microsoft.com/office/spreadsheetml/2010/11/ac" url="https://hgac-my.sharepoint.com/personal/lingala_h-gac_com/Documents/2021 Call/Jan 2023/Project Scoring/Five Investment Categories/Submitted Questionnaires/Scores/Benefits Calculators/Emissions Benefits Calculator/"/>
    </mc:Choice>
  </mc:AlternateContent>
  <xr:revisionPtr revIDLastSave="176" documentId="8_{302B6EA2-EB01-46D0-B2B0-EEBA3F0B68DF}" xr6:coauthVersionLast="47" xr6:coauthVersionMax="47" xr10:uidLastSave="{64F6ADA6-8AD0-4E22-ADC7-8A6F1BC58061}"/>
  <bookViews>
    <workbookView xWindow="-108" yWindow="-108" windowWidth="23256" windowHeight="12576" tabRatio="946" xr2:uid="{00000000-000D-0000-FFFF-FFFF00000000}"/>
  </bookViews>
  <sheets>
    <sheet name="Instructions" sheetId="8" r:id="rId1"/>
    <sheet name="ITS Delay Worksheet" sheetId="7" state="hidden" r:id="rId2"/>
    <sheet name="Emissions Reduction Worksheet" sheetId="5" state="hidden" r:id="rId3"/>
    <sheet name="Inputs &amp; Outputs" sheetId="15" r:id="rId4"/>
    <sheet name="Benefit Calculations" sheetId="18" r:id="rId5"/>
    <sheet name="Value of Emissions" sheetId="20" r:id="rId6"/>
    <sheet name="Emission Factors - NOx" sheetId="16" r:id="rId7"/>
    <sheet name="Emission Factors - VOC" sheetId="17" r:id="rId8"/>
    <sheet name="Service Life " sheetId="19" r:id="rId9"/>
    <sheet name="Assumed Values" sheetId="2" r:id="rId10"/>
    <sheet name="Growth Rates" sheetId="22" r:id="rId11"/>
  </sheets>
  <externalReferences>
    <externalReference r:id="rId12"/>
    <externalReference r:id="rId13"/>
  </externalReferences>
  <definedNames>
    <definedName name="_2018_2025_Demand_Growth">'[1]Benefit Calculations'!#REF!</definedName>
    <definedName name="_2018_2025_V_C_Growth">'[1]Benefit Calculations'!#REF!</definedName>
    <definedName name="_2018_2045_Demand_Growth">'[1]Benefit Calculations'!#REF!</definedName>
    <definedName name="_2018_2045_V_C_Growth">'[1]Benefit Calculations'!#REF!</definedName>
    <definedName name="_2018_Capacity">#REF!</definedName>
    <definedName name="_2018_V_C_Ratio">#REF!</definedName>
    <definedName name="_2018_Volume">#REF!</definedName>
    <definedName name="_2025_2045_Demand_Growth">'[1]Benefit Calculations'!#REF!</definedName>
    <definedName name="_2025_2045_V_C_Growth">'[1]Benefit Calculations'!#REF!</definedName>
    <definedName name="_2025_Capacity">#REF!</definedName>
    <definedName name="_2025_V_C_Ratio">#REF!</definedName>
    <definedName name="_2025_Volume">#REF!</definedName>
    <definedName name="_2045_Capacity">#REF!</definedName>
    <definedName name="_2045_V_C_Ratio">#REF!</definedName>
    <definedName name="_2045_Volume">#REF!</definedName>
    <definedName name="Annual_Days_of_Travel">'[1]Benefit Calculations'!#REF!</definedName>
    <definedName name="Application_ID_Number">#REF!</definedName>
    <definedName name="Base_Year">'[1]Benefit Calculations'!#REF!</definedName>
    <definedName name="Discount_Rate">#REF!</definedName>
    <definedName name="Name">#REF!</definedName>
    <definedName name="_xlnm.Print_Area" localSheetId="9">'Assumed Values'!$B$2:$C$17</definedName>
    <definedName name="_xlnm.Print_Area" localSheetId="2">'Emissions Reduction Worksheet'!$A$3:$K$33</definedName>
    <definedName name="_xlnm.Print_Area" localSheetId="0">Instructions!$A$1:$G$12</definedName>
    <definedName name="_xlnm.Print_Area" localSheetId="1">'ITS Delay Worksheet'!$A$3:$J$33</definedName>
    <definedName name="Real_wage_growth_rate">'[1]Benefit Calculations'!#REF!</definedName>
    <definedName name="Sponsor_ID_Number__CSJ__etc.">#REF!</definedName>
    <definedName name="Value_of_Delay_Savings__2015_____000s">[2]Calculations!$S$4:$S$36</definedName>
    <definedName name="Value_of_Delay_Savings__2018_____000s">#REF!+#REF!</definedName>
    <definedName name="Value_of_Travel_Time__VoTT___2018">'[1]Benefit Calculations'!#REF!</definedName>
    <definedName name="Vehicle_Occupancy">'[1]Benefit Calculations'!#REF!</definedName>
    <definedName name="Year_Open_to_Traffic?">#REF!</definedName>
    <definedName name="Years_to_include_in_BCA_Analysis">'[1]Benefit Calculations'!#REF!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9" i="18" l="1"/>
  <c r="F8" i="18" s="1"/>
  <c r="B10" i="18"/>
  <c r="F16" i="18" s="1"/>
  <c r="C16" i="22"/>
  <c r="D5" i="18"/>
  <c r="C14" i="15"/>
  <c r="F29" i="18" l="1"/>
  <c r="F24" i="18"/>
  <c r="F23" i="18"/>
  <c r="F31" i="18"/>
  <c r="F27" i="18"/>
  <c r="F9" i="18"/>
  <c r="F7" i="18"/>
  <c r="F22" i="18"/>
  <c r="F4" i="18"/>
  <c r="F26" i="18"/>
  <c r="F6" i="18"/>
  <c r="F21" i="18"/>
  <c r="F12" i="18"/>
  <c r="F10" i="18"/>
  <c r="F5" i="18"/>
  <c r="F20" i="18"/>
  <c r="F30" i="18"/>
  <c r="F28" i="18"/>
  <c r="F25" i="18"/>
  <c r="F14" i="18"/>
  <c r="F19" i="18"/>
  <c r="F15" i="18"/>
  <c r="F13" i="18"/>
  <c r="F11" i="18"/>
  <c r="F34" i="18"/>
  <c r="F18" i="18"/>
  <c r="F33" i="18"/>
  <c r="F17" i="18"/>
  <c r="F32" i="18"/>
  <c r="C9" i="2"/>
  <c r="C8" i="2"/>
  <c r="B34" i="15" l="1"/>
  <c r="B5" i="18" l="1"/>
  <c r="B4" i="18"/>
  <c r="G28" i="18" l="1"/>
  <c r="G20" i="18"/>
  <c r="G12" i="18"/>
  <c r="G4" i="18"/>
  <c r="H4" i="18" s="1"/>
  <c r="H5" i="18" s="1"/>
  <c r="H6" i="18" s="1"/>
  <c r="H7" i="18" s="1"/>
  <c r="H8" i="18" s="1"/>
  <c r="H9" i="18" s="1"/>
  <c r="H10" i="18" s="1"/>
  <c r="H11" i="18" s="1"/>
  <c r="H12" i="18" s="1"/>
  <c r="H13" i="18" s="1"/>
  <c r="H14" i="18" s="1"/>
  <c r="H15" i="18" s="1"/>
  <c r="H16" i="18" s="1"/>
  <c r="H17" i="18" s="1"/>
  <c r="H18" i="18" s="1"/>
  <c r="H19" i="18" s="1"/>
  <c r="H20" i="18" s="1"/>
  <c r="H21" i="18" s="1"/>
  <c r="H22" i="18" s="1"/>
  <c r="H23" i="18" s="1"/>
  <c r="H24" i="18" s="1"/>
  <c r="H25" i="18" s="1"/>
  <c r="H26" i="18" s="1"/>
  <c r="H27" i="18" s="1"/>
  <c r="H28" i="18" s="1"/>
  <c r="H29" i="18" s="1"/>
  <c r="H30" i="18" s="1"/>
  <c r="H31" i="18" s="1"/>
  <c r="H32" i="18" s="1"/>
  <c r="H33" i="18" s="1"/>
  <c r="H34" i="18" s="1"/>
  <c r="G32" i="18"/>
  <c r="G24" i="18"/>
  <c r="G16" i="18"/>
  <c r="G8" i="18"/>
  <c r="G23" i="18"/>
  <c r="G7" i="18"/>
  <c r="G22" i="18"/>
  <c r="G27" i="18"/>
  <c r="G10" i="18"/>
  <c r="G17" i="18"/>
  <c r="G31" i="18"/>
  <c r="G15" i="18"/>
  <c r="G30" i="18"/>
  <c r="G14" i="18"/>
  <c r="G6" i="18"/>
  <c r="G11" i="18"/>
  <c r="G26" i="18"/>
  <c r="G25" i="18"/>
  <c r="G29" i="18"/>
  <c r="G21" i="18"/>
  <c r="G13" i="18"/>
  <c r="G5" i="18"/>
  <c r="G19" i="18"/>
  <c r="G34" i="18"/>
  <c r="G18" i="18"/>
  <c r="G33" i="18"/>
  <c r="G9" i="18"/>
  <c r="M30" i="18"/>
  <c r="M22" i="18"/>
  <c r="M14" i="18"/>
  <c r="M6" i="18"/>
  <c r="M29" i="18"/>
  <c r="M28" i="18"/>
  <c r="M4" i="18"/>
  <c r="N4" i="18" s="1"/>
  <c r="M34" i="18"/>
  <c r="M26" i="18"/>
  <c r="M18" i="18"/>
  <c r="M10" i="18"/>
  <c r="M9" i="18"/>
  <c r="M24" i="18"/>
  <c r="M8" i="18"/>
  <c r="M12" i="18"/>
  <c r="M11" i="18"/>
  <c r="M33" i="18"/>
  <c r="M25" i="18"/>
  <c r="M17" i="18"/>
  <c r="M16" i="18"/>
  <c r="M20" i="18"/>
  <c r="M19" i="18"/>
  <c r="M32" i="18"/>
  <c r="M31" i="18"/>
  <c r="M23" i="18"/>
  <c r="M15" i="18"/>
  <c r="M7" i="18"/>
  <c r="M21" i="18"/>
  <c r="M13" i="18"/>
  <c r="M5" i="18"/>
  <c r="M27" i="18"/>
  <c r="N5" i="18" l="1"/>
  <c r="N6" i="18" s="1"/>
  <c r="N7" i="18" s="1"/>
  <c r="N8" i="18" s="1"/>
  <c r="N9" i="18" s="1"/>
  <c r="N10" i="18" s="1"/>
  <c r="N11" i="18" s="1"/>
  <c r="N12" i="18" s="1"/>
  <c r="N13" i="18" s="1"/>
  <c r="N14" i="18" s="1"/>
  <c r="N15" i="18" s="1"/>
  <c r="N16" i="18" s="1"/>
  <c r="N17" i="18" s="1"/>
  <c r="N18" i="18" s="1"/>
  <c r="N19" i="18" s="1"/>
  <c r="N20" i="18" s="1"/>
  <c r="N21" i="18" s="1"/>
  <c r="N22" i="18" s="1"/>
  <c r="N23" i="18" s="1"/>
  <c r="N24" i="18" s="1"/>
  <c r="N25" i="18" s="1"/>
  <c r="N26" i="18" s="1"/>
  <c r="N27" i="18" s="1"/>
  <c r="N28" i="18" s="1"/>
  <c r="N29" i="18" s="1"/>
  <c r="N30" i="18" s="1"/>
  <c r="N31" i="18" s="1"/>
  <c r="N32" i="18" s="1"/>
  <c r="N33" i="18" s="1"/>
  <c r="N34" i="18" s="1"/>
  <c r="E4" i="18"/>
  <c r="O4" i="18" l="1"/>
  <c r="E5" i="18"/>
  <c r="P4" i="18" l="1"/>
  <c r="I4" i="18"/>
  <c r="J4" i="18" s="1"/>
  <c r="K4" i="18" s="1"/>
  <c r="L4" i="18" s="1"/>
  <c r="D6" i="18"/>
  <c r="E6" i="18" s="1"/>
  <c r="Q4" i="18" l="1"/>
  <c r="R4" i="18" s="1"/>
  <c r="O5" i="18"/>
  <c r="O6" i="18"/>
  <c r="I5" i="18"/>
  <c r="D7" i="18"/>
  <c r="E7" i="18" s="1"/>
  <c r="P5" i="18" l="1"/>
  <c r="J5" i="18"/>
  <c r="P6" i="18"/>
  <c r="O7" i="18"/>
  <c r="I6" i="18"/>
  <c r="D8" i="18"/>
  <c r="E8" i="18" s="1"/>
  <c r="K5" i="18" l="1"/>
  <c r="L5" i="18" s="1"/>
  <c r="Q6" i="18"/>
  <c r="R6" i="18" s="1"/>
  <c r="Q5" i="18"/>
  <c r="R5" i="18" s="1"/>
  <c r="P7" i="18"/>
  <c r="J6" i="18"/>
  <c r="O8" i="18"/>
  <c r="I7" i="18"/>
  <c r="J7" i="18" s="1"/>
  <c r="K7" i="18" s="1"/>
  <c r="L7" i="18" s="1"/>
  <c r="D9" i="18"/>
  <c r="E9" i="18" s="1"/>
  <c r="K6" i="18" l="1"/>
  <c r="L6" i="18" s="1"/>
  <c r="Q7" i="18"/>
  <c r="R7" i="18" s="1"/>
  <c r="P8" i="18"/>
  <c r="O9" i="18"/>
  <c r="I8" i="18"/>
  <c r="J8" i="18" s="1"/>
  <c r="K8" i="18" s="1"/>
  <c r="L8" i="18" s="1"/>
  <c r="D10" i="18"/>
  <c r="E10" i="18" s="1"/>
  <c r="Q8" i="18" l="1"/>
  <c r="R8" i="18" s="1"/>
  <c r="P9" i="18"/>
  <c r="O10" i="18"/>
  <c r="I10" i="18"/>
  <c r="J10" i="18" s="1"/>
  <c r="K10" i="18" s="1"/>
  <c r="L10" i="18" s="1"/>
  <c r="I9" i="18"/>
  <c r="J9" i="18" s="1"/>
  <c r="K9" i="18" s="1"/>
  <c r="L9" i="18" s="1"/>
  <c r="D11" i="18"/>
  <c r="E11" i="18" s="1"/>
  <c r="Q9" i="18" l="1"/>
  <c r="R9" i="18" s="1"/>
  <c r="P10" i="18"/>
  <c r="O11" i="18"/>
  <c r="I11" i="18"/>
  <c r="J11" i="18" s="1"/>
  <c r="K11" i="18" s="1"/>
  <c r="L11" i="18" s="1"/>
  <c r="D12" i="18"/>
  <c r="E12" i="18" s="1"/>
  <c r="Q10" i="18" l="1"/>
  <c r="R10" i="18" s="1"/>
  <c r="P11" i="18"/>
  <c r="O12" i="18"/>
  <c r="I12" i="18"/>
  <c r="J12" i="18" s="1"/>
  <c r="K12" i="18" s="1"/>
  <c r="L12" i="18" s="1"/>
  <c r="D13" i="18"/>
  <c r="E13" i="18" s="1"/>
  <c r="Q11" i="18" l="1"/>
  <c r="R11" i="18" s="1"/>
  <c r="P12" i="18"/>
  <c r="O13" i="18"/>
  <c r="I13" i="18"/>
  <c r="J13" i="18" s="1"/>
  <c r="K13" i="18" s="1"/>
  <c r="L13" i="18" s="1"/>
  <c r="D14" i="18"/>
  <c r="E14" i="18" s="1"/>
  <c r="Q12" i="18" l="1"/>
  <c r="R12" i="18" s="1"/>
  <c r="P13" i="18"/>
  <c r="O14" i="18"/>
  <c r="I14" i="18"/>
  <c r="J14" i="18" s="1"/>
  <c r="K14" i="18" s="1"/>
  <c r="L14" i="18" s="1"/>
  <c r="D15" i="18"/>
  <c r="E15" i="18" s="1"/>
  <c r="Q13" i="18" l="1"/>
  <c r="R13" i="18" s="1"/>
  <c r="P14" i="18"/>
  <c r="O15" i="18"/>
  <c r="I15" i="18"/>
  <c r="J15" i="18" s="1"/>
  <c r="K15" i="18" s="1"/>
  <c r="L15" i="18" s="1"/>
  <c r="D16" i="18"/>
  <c r="E16" i="18" s="1"/>
  <c r="Q14" i="18" l="1"/>
  <c r="R14" i="18" s="1"/>
  <c r="P15" i="18"/>
  <c r="O16" i="18"/>
  <c r="I16" i="18"/>
  <c r="J16" i="18" s="1"/>
  <c r="K16" i="18" s="1"/>
  <c r="L16" i="18" s="1"/>
  <c r="D17" i="18"/>
  <c r="E17" i="18" s="1"/>
  <c r="Q15" i="18" l="1"/>
  <c r="R15" i="18" s="1"/>
  <c r="P16" i="18"/>
  <c r="O17" i="18"/>
  <c r="I17" i="18"/>
  <c r="J17" i="18" s="1"/>
  <c r="K17" i="18" s="1"/>
  <c r="L17" i="18" s="1"/>
  <c r="D18" i="18"/>
  <c r="E18" i="18" s="1"/>
  <c r="Q16" i="18" l="1"/>
  <c r="R16" i="18" s="1"/>
  <c r="P17" i="18"/>
  <c r="O18" i="18"/>
  <c r="I18" i="18"/>
  <c r="J18" i="18" s="1"/>
  <c r="K18" i="18" s="1"/>
  <c r="L18" i="18" s="1"/>
  <c r="D19" i="18"/>
  <c r="E19" i="18" s="1"/>
  <c r="B18" i="5"/>
  <c r="E17" i="5" s="1"/>
  <c r="B19" i="5"/>
  <c r="E18" i="5" s="1"/>
  <c r="G4" i="7"/>
  <c r="G5" i="7" s="1"/>
  <c r="H5" i="7" s="1"/>
  <c r="G4" i="5"/>
  <c r="G5" i="5" s="1"/>
  <c r="G6" i="5" s="1"/>
  <c r="G7" i="5" s="1"/>
  <c r="G8" i="5" s="1"/>
  <c r="G9" i="5" s="1"/>
  <c r="G10" i="5" s="1"/>
  <c r="G11" i="5" s="1"/>
  <c r="G12" i="5" s="1"/>
  <c r="G13" i="5" s="1"/>
  <c r="G14" i="5" s="1"/>
  <c r="B18" i="7"/>
  <c r="B17" i="7"/>
  <c r="B16" i="7"/>
  <c r="E17" i="7"/>
  <c r="Q17" i="18" l="1"/>
  <c r="R17" i="18" s="1"/>
  <c r="P18" i="18"/>
  <c r="H4" i="7"/>
  <c r="I4" i="7" s="1"/>
  <c r="O19" i="18"/>
  <c r="I19" i="18"/>
  <c r="J19" i="18" s="1"/>
  <c r="K19" i="18" s="1"/>
  <c r="L19" i="18" s="1"/>
  <c r="D20" i="18"/>
  <c r="E20" i="18" s="1"/>
  <c r="J14" i="5"/>
  <c r="H14" i="5"/>
  <c r="G15" i="5"/>
  <c r="H10" i="5"/>
  <c r="G6" i="7"/>
  <c r="I5" i="7"/>
  <c r="H6" i="5"/>
  <c r="H11" i="5"/>
  <c r="J5" i="5"/>
  <c r="J13" i="5"/>
  <c r="J11" i="5"/>
  <c r="J10" i="5"/>
  <c r="J9" i="5"/>
  <c r="J4" i="5"/>
  <c r="J12" i="5"/>
  <c r="J8" i="5"/>
  <c r="J7" i="5"/>
  <c r="J6" i="5"/>
  <c r="H12" i="5"/>
  <c r="H4" i="5"/>
  <c r="H13" i="5"/>
  <c r="H5" i="5"/>
  <c r="H7" i="5"/>
  <c r="H8" i="5"/>
  <c r="H9" i="5"/>
  <c r="Q18" i="18" l="1"/>
  <c r="R18" i="18" s="1"/>
  <c r="P19" i="18"/>
  <c r="O20" i="18"/>
  <c r="I20" i="18"/>
  <c r="J20" i="18" s="1"/>
  <c r="K20" i="18" s="1"/>
  <c r="L20" i="18" s="1"/>
  <c r="D21" i="18"/>
  <c r="E21" i="18" s="1"/>
  <c r="B20" i="5"/>
  <c r="I8" i="5" s="1"/>
  <c r="B21" i="5"/>
  <c r="K4" i="5" s="1"/>
  <c r="H6" i="7"/>
  <c r="I6" i="7"/>
  <c r="G7" i="7"/>
  <c r="H15" i="5"/>
  <c r="G16" i="5"/>
  <c r="J15" i="5"/>
  <c r="B19" i="7"/>
  <c r="Q19" i="18" l="1"/>
  <c r="R19" i="18" s="1"/>
  <c r="P20" i="18"/>
  <c r="O21" i="18"/>
  <c r="I21" i="18"/>
  <c r="J21" i="18" s="1"/>
  <c r="K21" i="18" s="1"/>
  <c r="L21" i="18" s="1"/>
  <c r="D22" i="18"/>
  <c r="E22" i="18" s="1"/>
  <c r="K5" i="5"/>
  <c r="K13" i="5"/>
  <c r="I11" i="5"/>
  <c r="K6" i="5"/>
  <c r="K9" i="5"/>
  <c r="K12" i="5"/>
  <c r="K15" i="5"/>
  <c r="K8" i="5"/>
  <c r="K10" i="5"/>
  <c r="I6" i="5"/>
  <c r="I12" i="5"/>
  <c r="I14" i="5"/>
  <c r="I7" i="5"/>
  <c r="I13" i="5"/>
  <c r="I5" i="5"/>
  <c r="I4" i="5"/>
  <c r="I10" i="5"/>
  <c r="I9" i="5"/>
  <c r="K7" i="5"/>
  <c r="K11" i="5"/>
  <c r="K14" i="5"/>
  <c r="H16" i="5"/>
  <c r="I16" i="5" s="1"/>
  <c r="J16" i="5"/>
  <c r="K16" i="5" s="1"/>
  <c r="G17" i="5"/>
  <c r="I15" i="5"/>
  <c r="G8" i="7"/>
  <c r="H7" i="7"/>
  <c r="I7" i="7"/>
  <c r="J7" i="7" s="1"/>
  <c r="J6" i="7"/>
  <c r="J5" i="7"/>
  <c r="J4" i="7"/>
  <c r="Q20" i="18" l="1"/>
  <c r="R20" i="18" s="1"/>
  <c r="P21" i="18"/>
  <c r="O22" i="18"/>
  <c r="I22" i="18"/>
  <c r="J22" i="18" s="1"/>
  <c r="K22" i="18" s="1"/>
  <c r="L22" i="18" s="1"/>
  <c r="D23" i="18"/>
  <c r="E23" i="18" s="1"/>
  <c r="H8" i="7"/>
  <c r="I8" i="7" s="1"/>
  <c r="J8" i="7" s="1"/>
  <c r="G9" i="7"/>
  <c r="G18" i="5"/>
  <c r="H17" i="5"/>
  <c r="J17" i="5"/>
  <c r="K17" i="5" s="1"/>
  <c r="B11" i="7"/>
  <c r="B12" i="7" s="1"/>
  <c r="Q21" i="18" l="1"/>
  <c r="R21" i="18" s="1"/>
  <c r="P22" i="18"/>
  <c r="O23" i="18"/>
  <c r="I23" i="18"/>
  <c r="J23" i="18" s="1"/>
  <c r="K23" i="18" s="1"/>
  <c r="L23" i="18" s="1"/>
  <c r="D24" i="18"/>
  <c r="E24" i="18" s="1"/>
  <c r="I17" i="5"/>
  <c r="G10" i="7"/>
  <c r="H9" i="7"/>
  <c r="I9" i="7" s="1"/>
  <c r="J9" i="7" s="1"/>
  <c r="G19" i="5"/>
  <c r="H18" i="5"/>
  <c r="I18" i="5" s="1"/>
  <c r="J18" i="5"/>
  <c r="K18" i="5" s="1"/>
  <c r="Q22" i="18" l="1"/>
  <c r="R22" i="18" s="1"/>
  <c r="P23" i="18"/>
  <c r="O24" i="18"/>
  <c r="I24" i="18"/>
  <c r="J24" i="18" s="1"/>
  <c r="K24" i="18" s="1"/>
  <c r="L24" i="18" s="1"/>
  <c r="D25" i="18"/>
  <c r="E25" i="18" s="1"/>
  <c r="J19" i="5"/>
  <c r="K19" i="5" s="1"/>
  <c r="G20" i="5"/>
  <c r="H19" i="5"/>
  <c r="I19" i="5" s="1"/>
  <c r="G11" i="7"/>
  <c r="H10" i="7"/>
  <c r="I10" i="7" s="1"/>
  <c r="J10" i="7" s="1"/>
  <c r="Q23" i="18" l="1"/>
  <c r="R23" i="18" s="1"/>
  <c r="P24" i="18"/>
  <c r="O25" i="18"/>
  <c r="I25" i="18"/>
  <c r="J25" i="18" s="1"/>
  <c r="K25" i="18" s="1"/>
  <c r="L25" i="18" s="1"/>
  <c r="D26" i="18"/>
  <c r="E26" i="18" s="1"/>
  <c r="H11" i="7"/>
  <c r="I11" i="7"/>
  <c r="J11" i="7" s="1"/>
  <c r="G12" i="7"/>
  <c r="J20" i="5"/>
  <c r="K20" i="5" s="1"/>
  <c r="G21" i="5"/>
  <c r="H20" i="5"/>
  <c r="Q24" i="18" l="1"/>
  <c r="R24" i="18" s="1"/>
  <c r="P25" i="18"/>
  <c r="O26" i="18"/>
  <c r="I26" i="18"/>
  <c r="J26" i="18" s="1"/>
  <c r="K26" i="18" s="1"/>
  <c r="L26" i="18" s="1"/>
  <c r="D27" i="18"/>
  <c r="E27" i="18" s="1"/>
  <c r="I20" i="5"/>
  <c r="G13" i="7"/>
  <c r="H12" i="7"/>
  <c r="I12" i="7" s="1"/>
  <c r="J12" i="7" s="1"/>
  <c r="J21" i="5"/>
  <c r="K21" i="5" s="1"/>
  <c r="H21" i="5"/>
  <c r="I21" i="5" s="1"/>
  <c r="G22" i="5"/>
  <c r="Q25" i="18" l="1"/>
  <c r="R25" i="18" s="1"/>
  <c r="P26" i="18"/>
  <c r="O27" i="18"/>
  <c r="I27" i="18"/>
  <c r="J27" i="18" s="1"/>
  <c r="K27" i="18" s="1"/>
  <c r="L27" i="18" s="1"/>
  <c r="D28" i="18"/>
  <c r="E28" i="18" s="1"/>
  <c r="H13" i="7"/>
  <c r="I13" i="7" s="1"/>
  <c r="J13" i="7" s="1"/>
  <c r="G14" i="7"/>
  <c r="J22" i="5"/>
  <c r="K22" i="5" s="1"/>
  <c r="G23" i="5"/>
  <c r="H22" i="5"/>
  <c r="I22" i="5" s="1"/>
  <c r="Q26" i="18" l="1"/>
  <c r="R26" i="18" s="1"/>
  <c r="P27" i="18"/>
  <c r="O28" i="18"/>
  <c r="I28" i="18"/>
  <c r="J28" i="18" s="1"/>
  <c r="K28" i="18" s="1"/>
  <c r="L28" i="18" s="1"/>
  <c r="D29" i="18"/>
  <c r="E29" i="18" s="1"/>
  <c r="H23" i="5"/>
  <c r="I23" i="5" s="1"/>
  <c r="J23" i="5"/>
  <c r="K23" i="5" s="1"/>
  <c r="G24" i="5"/>
  <c r="H14" i="7"/>
  <c r="I14" i="7" s="1"/>
  <c r="J14" i="7" s="1"/>
  <c r="G15" i="7"/>
  <c r="Q27" i="18" l="1"/>
  <c r="R27" i="18" s="1"/>
  <c r="P28" i="18"/>
  <c r="O29" i="18"/>
  <c r="I29" i="18"/>
  <c r="J29" i="18" s="1"/>
  <c r="K29" i="18" s="1"/>
  <c r="L29" i="18" s="1"/>
  <c r="D30" i="18"/>
  <c r="E30" i="18" s="1"/>
  <c r="G16" i="7"/>
  <c r="H15" i="7"/>
  <c r="I15" i="7" s="1"/>
  <c r="J15" i="7" s="1"/>
  <c r="H24" i="5"/>
  <c r="I24" i="5" s="1"/>
  <c r="J24" i="5"/>
  <c r="K24" i="5" s="1"/>
  <c r="G25" i="5"/>
  <c r="Q28" i="18" l="1"/>
  <c r="R28" i="18" s="1"/>
  <c r="P29" i="18"/>
  <c r="O30" i="18"/>
  <c r="I30" i="18"/>
  <c r="J30" i="18" s="1"/>
  <c r="K30" i="18" s="1"/>
  <c r="L30" i="18" s="1"/>
  <c r="D31" i="18"/>
  <c r="E31" i="18" s="1"/>
  <c r="B11" i="5"/>
  <c r="B12" i="5" s="1"/>
  <c r="G26" i="5"/>
  <c r="H25" i="5"/>
  <c r="I25" i="5" s="1"/>
  <c r="J25" i="5"/>
  <c r="K25" i="5" s="1"/>
  <c r="H16" i="7"/>
  <c r="I16" i="7" s="1"/>
  <c r="J16" i="7" s="1"/>
  <c r="G17" i="7"/>
  <c r="Q29" i="18" l="1"/>
  <c r="R29" i="18" s="1"/>
  <c r="P30" i="18"/>
  <c r="O31" i="18"/>
  <c r="I31" i="18"/>
  <c r="J31" i="18" s="1"/>
  <c r="K31" i="18" s="1"/>
  <c r="L31" i="18" s="1"/>
  <c r="D32" i="18"/>
  <c r="E32" i="18" s="1"/>
  <c r="H17" i="7"/>
  <c r="I17" i="7" s="1"/>
  <c r="J17" i="7" s="1"/>
  <c r="G18" i="7"/>
  <c r="G27" i="5"/>
  <c r="H26" i="5"/>
  <c r="I26" i="5" s="1"/>
  <c r="J26" i="5"/>
  <c r="K26" i="5" s="1"/>
  <c r="Q30" i="18" l="1"/>
  <c r="R30" i="18" s="1"/>
  <c r="P31" i="18"/>
  <c r="O32" i="18"/>
  <c r="I32" i="18"/>
  <c r="J32" i="18" s="1"/>
  <c r="K32" i="18" s="1"/>
  <c r="L32" i="18" s="1"/>
  <c r="D33" i="18"/>
  <c r="E33" i="18" s="1"/>
  <c r="J27" i="5"/>
  <c r="K27" i="5" s="1"/>
  <c r="G28" i="5"/>
  <c r="H27" i="5"/>
  <c r="I27" i="5" s="1"/>
  <c r="G19" i="7"/>
  <c r="H18" i="7"/>
  <c r="I18" i="7" s="1"/>
  <c r="J18" i="7" s="1"/>
  <c r="Q31" i="18" l="1"/>
  <c r="R31" i="18" s="1"/>
  <c r="P32" i="18"/>
  <c r="O33" i="18"/>
  <c r="I33" i="18"/>
  <c r="J33" i="18" s="1"/>
  <c r="K33" i="18" s="1"/>
  <c r="L33" i="18" s="1"/>
  <c r="D34" i="18"/>
  <c r="E34" i="18" s="1"/>
  <c r="I34" i="18" s="1"/>
  <c r="J34" i="18" s="1"/>
  <c r="K34" i="18" s="1"/>
  <c r="L34" i="18" s="1"/>
  <c r="G29" i="5"/>
  <c r="H28" i="5"/>
  <c r="I28" i="5" s="1"/>
  <c r="J28" i="5"/>
  <c r="K28" i="5" s="1"/>
  <c r="H19" i="7"/>
  <c r="I19" i="7" s="1"/>
  <c r="J19" i="7" s="1"/>
  <c r="G20" i="7"/>
  <c r="Q32" i="18" l="1"/>
  <c r="R32" i="18" s="1"/>
  <c r="P33" i="18"/>
  <c r="O34" i="18"/>
  <c r="I35" i="18"/>
  <c r="J35" i="18" s="1"/>
  <c r="G21" i="7"/>
  <c r="H20" i="7"/>
  <c r="I20" i="7" s="1"/>
  <c r="J20" i="7" s="1"/>
  <c r="J29" i="5"/>
  <c r="K29" i="5" s="1"/>
  <c r="H29" i="5"/>
  <c r="Q33" i="18" l="1"/>
  <c r="R33" i="18" s="1"/>
  <c r="P34" i="18"/>
  <c r="O35" i="18"/>
  <c r="I29" i="5"/>
  <c r="B13" i="5"/>
  <c r="H21" i="7"/>
  <c r="I21" i="7"/>
  <c r="J21" i="7" s="1"/>
  <c r="G22" i="7"/>
  <c r="Q34" i="18" l="1"/>
  <c r="R34" i="18" s="1"/>
  <c r="P35" i="18"/>
  <c r="C36" i="15" s="1"/>
  <c r="H22" i="7"/>
  <c r="I22" i="7" s="1"/>
  <c r="J22" i="7" s="1"/>
  <c r="G23" i="7"/>
  <c r="R35" i="18" l="1"/>
  <c r="C29" i="15" s="1"/>
  <c r="Q35" i="18"/>
  <c r="G24" i="7"/>
  <c r="H23" i="7"/>
  <c r="I23" i="7" s="1"/>
  <c r="J23" i="7" s="1"/>
  <c r="H24" i="7" l="1"/>
  <c r="I24" i="7" s="1"/>
  <c r="J24" i="7" s="1"/>
  <c r="G25" i="7"/>
  <c r="G26" i="7" l="1"/>
  <c r="H25" i="7"/>
  <c r="I25" i="7" s="1"/>
  <c r="J25" i="7" s="1"/>
  <c r="G27" i="7" l="1"/>
  <c r="H26" i="7"/>
  <c r="I26" i="7" s="1"/>
  <c r="J26" i="7" s="1"/>
  <c r="H27" i="7" l="1"/>
  <c r="I27" i="7" s="1"/>
  <c r="J27" i="7" s="1"/>
  <c r="G28" i="7"/>
  <c r="H28" i="7" l="1"/>
  <c r="I28" i="7" s="1"/>
  <c r="J28" i="7" s="1"/>
  <c r="G29" i="7"/>
  <c r="H29" i="7" l="1"/>
  <c r="I29" i="7" s="1"/>
  <c r="J29" i="7" s="1"/>
  <c r="C35" i="15" l="1"/>
  <c r="L35" i="18" l="1"/>
  <c r="C28" i="15" l="1"/>
  <c r="C32" i="15" s="1"/>
  <c r="K35" i="18"/>
</calcChain>
</file>

<file path=xl/sharedStrings.xml><?xml version="1.0" encoding="utf-8"?>
<sst xmlns="http://schemas.openxmlformats.org/spreadsheetml/2006/main" count="216" uniqueCount="134">
  <si>
    <t>Project Information</t>
  </si>
  <si>
    <t>Assumptions</t>
  </si>
  <si>
    <t>Base Year</t>
  </si>
  <si>
    <t>Discount Rate</t>
  </si>
  <si>
    <t>Vehicle Occupancy</t>
  </si>
  <si>
    <t>Name:</t>
  </si>
  <si>
    <t>ID Number:</t>
  </si>
  <si>
    <t>New HOV?</t>
  </si>
  <si>
    <t>Value of Travel Time (VoTT)</t>
  </si>
  <si>
    <t>With Project</t>
  </si>
  <si>
    <t>Control Values</t>
  </si>
  <si>
    <t>YES</t>
  </si>
  <si>
    <t>NO</t>
  </si>
  <si>
    <t>Year</t>
  </si>
  <si>
    <t>Interim Calculations</t>
  </si>
  <si>
    <t>Annual Days of Travel</t>
  </si>
  <si>
    <t>Delay B/C Ratio</t>
  </si>
  <si>
    <t>BCA Results</t>
  </si>
  <si>
    <t>Daily System/Facility Data</t>
  </si>
  <si>
    <t>Annual VHT Savings</t>
  </si>
  <si>
    <t>Common Values:</t>
  </si>
  <si>
    <t>Emissions Reduction Values:</t>
  </si>
  <si>
    <t>Base Year for Analysis</t>
  </si>
  <si>
    <t>Real Discount Rate</t>
  </si>
  <si>
    <t>VOC Emissions Factor (g/mi)</t>
  </si>
  <si>
    <t>Nox Emissions Factor (g/mi)</t>
  </si>
  <si>
    <t>Emissions Reduction Estimates</t>
  </si>
  <si>
    <t>VMT Reduced (Daily)</t>
  </si>
  <si>
    <t>AND</t>
  </si>
  <si>
    <t>OR</t>
  </si>
  <si>
    <t>Project Life (see MOSER page A.8.9)</t>
  </si>
  <si>
    <t>Bike/Ped or LCI?</t>
  </si>
  <si>
    <t>VOC Emissions Reduced (metric tons/yr)</t>
  </si>
  <si>
    <t>NOx Emissions Reduced (metric tons/yr)</t>
  </si>
  <si>
    <t>NOx Reduced (tonnes/yr)</t>
  </si>
  <si>
    <t>VOC Reduced (tonnes/year)</t>
  </si>
  <si>
    <t>IDAS Vehicle Occupancy</t>
  </si>
  <si>
    <t>Annual VHT Reduction (Vehicles)</t>
  </si>
  <si>
    <t>Annual PHT Reduction (IDAS)</t>
  </si>
  <si>
    <t>Discounted Delay Benefits (2015 $, '000s)</t>
  </si>
  <si>
    <t>Year Open to Traffic?</t>
  </si>
  <si>
    <t>Total Cost (2015 $, '000s)</t>
  </si>
  <si>
    <t>Federal Funding Req. (2015 $, '000s)</t>
  </si>
  <si>
    <t>Value of Delay Savings (2013 $, '000s)</t>
  </si>
  <si>
    <t>Value of VOC Savings (2013 $, '000s)</t>
  </si>
  <si>
    <t>Value of NOx Savings (2013 $, '000s)</t>
  </si>
  <si>
    <t>Discounted Emissions Benefits (2015 $, '000s)</t>
  </si>
  <si>
    <t>Annualized Cost Effectiveness (2015 $, '000s/tonne)</t>
  </si>
  <si>
    <t>Volatile Organic Compounds (VOCs), $ / metric ton (2015 $)</t>
  </si>
  <si>
    <t>Nitrogen oxides (NOx), $ / metric ton (2015 $)</t>
  </si>
  <si>
    <t>Application ID Number:</t>
  </si>
  <si>
    <t>Benefit Results</t>
  </si>
  <si>
    <t>INPUTS</t>
  </si>
  <si>
    <t>OUTPUTS</t>
  </si>
  <si>
    <t>NOx (g/day)</t>
  </si>
  <si>
    <t>Total</t>
  </si>
  <si>
    <t>NOx Emission Reduction Benefit</t>
  </si>
  <si>
    <t>Annual Emission Reductions Over Life of Project</t>
  </si>
  <si>
    <t>VOC Emission Reduction Benefit</t>
  </si>
  <si>
    <t>Facility Type</t>
  </si>
  <si>
    <t>Project County</t>
  </si>
  <si>
    <t>Brazoria</t>
  </si>
  <si>
    <t>Chambers</t>
  </si>
  <si>
    <t>Fort Bend</t>
  </si>
  <si>
    <t>Galveston</t>
  </si>
  <si>
    <t>Harris</t>
  </si>
  <si>
    <t>Liberty</t>
  </si>
  <si>
    <t>Montgomery</t>
  </si>
  <si>
    <t>Waller</t>
  </si>
  <si>
    <t>Facility Types</t>
  </si>
  <si>
    <t>NOx</t>
  </si>
  <si>
    <t>VOC</t>
  </si>
  <si>
    <t>NOx Emission Reductions (tons/year)</t>
  </si>
  <si>
    <t>VOC Emission Reductions (tons/year)</t>
  </si>
  <si>
    <t>Non-Freeway</t>
  </si>
  <si>
    <t>Freeway</t>
  </si>
  <si>
    <t>Annual Growth Rate</t>
  </si>
  <si>
    <t>Base VOC 
(g/year)</t>
  </si>
  <si>
    <t>VOC (g/day)</t>
  </si>
  <si>
    <t>Within Project Life?</t>
  </si>
  <si>
    <t>Data entered by the sponsors</t>
  </si>
  <si>
    <t>Benefits calculated by the template</t>
  </si>
  <si>
    <t>Proposed Improvements Information</t>
  </si>
  <si>
    <t>Type of Improvement</t>
  </si>
  <si>
    <t>Average Vehicle Delay at Intersection Before Implementation (in hours)</t>
  </si>
  <si>
    <t>Daily Travel Demand</t>
  </si>
  <si>
    <t>Total Emissions Benefit Results</t>
  </si>
  <si>
    <t>Service Life of Project (in years) (from MoSERS)</t>
  </si>
  <si>
    <t>Improvement Type</t>
  </si>
  <si>
    <t>Service Life of Project</t>
  </si>
  <si>
    <t>All emissions factors are in gm/hr</t>
  </si>
  <si>
    <t>Idling Emissions Factors in gm/hr</t>
  </si>
  <si>
    <t>Idle Emission Factor (gm/hr)</t>
  </si>
  <si>
    <t>Source</t>
  </si>
  <si>
    <t>Average Intersection Daily Traffic Volume During Off-Peak Hours</t>
  </si>
  <si>
    <t>Grade Separations considered roadway improvements</t>
  </si>
  <si>
    <t>NOX</t>
  </si>
  <si>
    <t>VOC/PM2.5</t>
  </si>
  <si>
    <t>SO2</t>
  </si>
  <si>
    <t>CO2</t>
  </si>
  <si>
    <t>NOx (Metric ton/yr)</t>
  </si>
  <si>
    <t>VOC 
(Metric ton/yr)</t>
  </si>
  <si>
    <r>
      <t xml:space="preserve">Year Open to Traffic? </t>
    </r>
    <r>
      <rPr>
        <b/>
        <sz val="11"/>
        <color theme="1"/>
        <rFont val="Calibri"/>
        <family val="2"/>
        <scheme val="minor"/>
      </rPr>
      <t>(Must be &gt;=2025)</t>
    </r>
  </si>
  <si>
    <t>https://server.txaqportal.org/storage/uploads/2021/01/15/6001d296e0c1bTxDOT_IAC-A_Task2.2_MOSERS_Module1_01142021.pdf</t>
  </si>
  <si>
    <t>page 32</t>
  </si>
  <si>
    <t>Assumption</t>
  </si>
  <si>
    <t>Intersection improvements</t>
  </si>
  <si>
    <t>Signalization improvements</t>
  </si>
  <si>
    <t>2021 Call For Projects - Benefit-Cost Analysis Assumptions*</t>
  </si>
  <si>
    <t>MPOID/CSJ #:</t>
  </si>
  <si>
    <t>Discounted NOx Benefits @ 7% (2021 $)</t>
  </si>
  <si>
    <t>Discounted VOC Benefits @ 7% (2021 $)</t>
  </si>
  <si>
    <t>Discounted Emissions Benefits @ 7% (2021 $)</t>
  </si>
  <si>
    <t>Average Vehicle Delay at Intersection Before Implementation (in seconds)</t>
  </si>
  <si>
    <t>Estimated Average Vehicle Delay at Intersection After Implementation (in seconds)</t>
  </si>
  <si>
    <t>Average Daily Peak Period Intersection Traffic Volume (6-9 AM + 3-7 PM) (2021)</t>
  </si>
  <si>
    <t>Emission Reductions Growth NOx (g/day)</t>
  </si>
  <si>
    <t>Base NOx (g/day) Reduction</t>
  </si>
  <si>
    <t>Emission Reductions Growth VOC (g/day)</t>
  </si>
  <si>
    <t>2023-2030</t>
  </si>
  <si>
    <t>2030-2045</t>
  </si>
  <si>
    <t>2021-2030 Demand Growth</t>
  </si>
  <si>
    <t>2030-2045 Demand Growth</t>
  </si>
  <si>
    <t>Average Vehicle Delay at Intersection After Implementation (in hours)</t>
  </si>
  <si>
    <t>Growth Rate</t>
  </si>
  <si>
    <t>County Name</t>
  </si>
  <si>
    <t>Populated based on selection in cell "C13"</t>
  </si>
  <si>
    <t>2021 AADT</t>
  </si>
  <si>
    <t>AADT in Year Open to Traffic</t>
  </si>
  <si>
    <t>2022 Peak  Traffic Volume at the Intersection</t>
  </si>
  <si>
    <t>Discounted NOx Benefit (3.1%)</t>
  </si>
  <si>
    <t>Discounted VOC Benefit (3.1%)</t>
  </si>
  <si>
    <t>Value of Emissions per Metric Ton, Benefit-Cost Analysis Guidance for
Discretionary Grant Programs</t>
  </si>
  <si>
    <t>https://www.transportation.gov/sites/dot.gov/files/2023-12/Benefit%20Cost%20Analysis%20Guidance%202024%20Update.pdf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</si>
</sst>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6" formatCode="&quot;$&quot;#,##0_);[Red]\(&quot;$&quot;#,##0\)"/>
    <numFmt numFmtId="44" formatCode="_(&quot;$&quot;* #,##0.00_);_(&quot;$&quot;* \(#,##0.00\);_(&quot;$&quot;* &quot;-&quot;??_);_(@_)"/>
    <numFmt numFmtId="43" formatCode="_(* #,##0.00_);_(* \(#,##0.00\);_(* &quot;-&quot;??_);_(@_)"/>
    <numFmt numFmtId="164" formatCode="&quot;$&quot;#,##0.00"/>
    <numFmt numFmtId="165" formatCode="&quot;$&quot;#,##0"/>
    <numFmt numFmtId="166" formatCode="0.000000"/>
    <numFmt numFmtId="167" formatCode="#,##0.000000"/>
    <numFmt numFmtId="168" formatCode="0.00000000"/>
    <numFmt numFmtId="169" formatCode="0.0000000"/>
    <numFmt numFmtId="170" formatCode="0.0%"/>
  </numFmts>
  <fonts count="13"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i/>
      <sz val="11"/>
      <color theme="1"/>
      <name val="Calibri"/>
      <family val="2"/>
      <scheme val="minor"/>
    </font>
    <font>
      <i/>
      <sz val="11"/>
      <color theme="0"/>
      <name val="Calibri"/>
      <family val="2"/>
      <scheme val="minor"/>
    </font>
    <font>
      <u/>
      <sz val="11"/>
      <color theme="10"/>
      <name val="Calibri"/>
      <family val="2"/>
    </font>
    <font>
      <b/>
      <u/>
      <sz val="11"/>
      <color theme="0"/>
      <name val="Calibri"/>
      <family val="2"/>
      <scheme val="minor"/>
    </font>
    <font>
      <b/>
      <sz val="14"/>
      <color theme="1"/>
      <name val="Calibri"/>
      <family val="2"/>
      <scheme val="minor"/>
    </font>
    <font>
      <sz val="11"/>
      <name val="Calibri"/>
      <family val="2"/>
      <scheme val="minor"/>
    </font>
    <font>
      <sz val="11"/>
      <color rgb="FF000000"/>
      <name val="Calibri"/>
      <family val="2"/>
      <scheme val="minor"/>
    </font>
    <font>
      <sz val="14"/>
      <color rgb="FF000000"/>
      <name val="Times New Roman"/>
      <family val="1"/>
    </font>
    <font>
      <sz val="11"/>
      <color rgb="FF000000"/>
      <name val="Calibri"/>
      <family val="2"/>
    </font>
  </fonts>
  <fills count="16">
    <fill>
      <patternFill patternType="none"/>
    </fill>
    <fill>
      <patternFill patternType="gray125"/>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7" tint="0.59999389629810485"/>
        <bgColor theme="8" tint="0.79998168889431442"/>
      </patternFill>
    </fill>
    <fill>
      <patternFill patternType="solid">
        <fgColor theme="5" tint="0.59999389629810485"/>
        <bgColor indexed="64"/>
      </patternFill>
    </fill>
    <fill>
      <patternFill patternType="solid">
        <fgColor theme="9" tint="0.79998168889431442"/>
        <bgColor indexed="64"/>
      </patternFill>
    </fill>
    <fill>
      <patternFill patternType="solid">
        <fgColor theme="0" tint="-0.499984740745262"/>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diagonal/>
    </border>
    <border>
      <left style="medium">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right style="medium">
        <color indexed="64"/>
      </right>
      <top/>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6" fillId="0" borderId="0" applyNumberFormat="0" applyFill="0" applyBorder="0" applyAlignment="0" applyProtection="0">
      <alignment vertical="top"/>
      <protection locked="0"/>
    </xf>
  </cellStyleXfs>
  <cellXfs count="135">
    <xf numFmtId="0" fontId="0" fillId="0" borderId="0" xfId="0"/>
    <xf numFmtId="0" fontId="3" fillId="0" borderId="0" xfId="0" applyFont="1"/>
    <xf numFmtId="0" fontId="4" fillId="0" borderId="0" xfId="0" applyFont="1"/>
    <xf numFmtId="0" fontId="0" fillId="2" borderId="1" xfId="0" applyFill="1" applyBorder="1"/>
    <xf numFmtId="0" fontId="0" fillId="2" borderId="1" xfId="0" applyFill="1" applyBorder="1" applyProtection="1">
      <protection locked="0"/>
    </xf>
    <xf numFmtId="0" fontId="2" fillId="3" borderId="1" xfId="0" applyFont="1" applyFill="1" applyBorder="1"/>
    <xf numFmtId="0" fontId="5" fillId="3" borderId="1" xfId="0" applyFont="1" applyFill="1" applyBorder="1" applyAlignment="1">
      <alignment horizontal="center"/>
    </xf>
    <xf numFmtId="3" fontId="0" fillId="2" borderId="1" xfId="0" applyNumberFormat="1" applyFill="1" applyBorder="1" applyProtection="1">
      <protection locked="0"/>
    </xf>
    <xf numFmtId="0" fontId="0" fillId="4" borderId="1" xfId="0" applyFill="1" applyBorder="1"/>
    <xf numFmtId="0" fontId="2" fillId="5" borderId="1" xfId="0" applyFont="1" applyFill="1" applyBorder="1"/>
    <xf numFmtId="0" fontId="0" fillId="6" borderId="1" xfId="0" applyFill="1" applyBorder="1" applyAlignment="1">
      <alignment horizontal="center"/>
    </xf>
    <xf numFmtId="0" fontId="0" fillId="8" borderId="1" xfId="0" applyFill="1" applyBorder="1" applyAlignment="1">
      <alignment horizontal="center"/>
    </xf>
    <xf numFmtId="0" fontId="2" fillId="9" borderId="1" xfId="0" applyFont="1" applyFill="1" applyBorder="1" applyAlignment="1">
      <alignment horizontal="center"/>
    </xf>
    <xf numFmtId="0" fontId="2" fillId="9" borderId="1" xfId="0" applyFont="1" applyFill="1" applyBorder="1" applyAlignment="1">
      <alignment horizontal="left"/>
    </xf>
    <xf numFmtId="0" fontId="0" fillId="11" borderId="1" xfId="0" applyFill="1" applyBorder="1"/>
    <xf numFmtId="9" fontId="0" fillId="11" borderId="1" xfId="0" applyNumberFormat="1" applyFill="1" applyBorder="1"/>
    <xf numFmtId="164" fontId="0" fillId="11" borderId="1" xfId="0" applyNumberFormat="1" applyFill="1" applyBorder="1"/>
    <xf numFmtId="0" fontId="0" fillId="11" borderId="2" xfId="0" applyFill="1" applyBorder="1"/>
    <xf numFmtId="3" fontId="0" fillId="11" borderId="3" xfId="0" applyNumberFormat="1" applyFill="1" applyBorder="1"/>
    <xf numFmtId="3" fontId="0" fillId="12" borderId="1" xfId="0" applyNumberFormat="1" applyFill="1" applyBorder="1" applyAlignment="1" applyProtection="1">
      <alignment horizontal="center"/>
      <protection locked="0"/>
    </xf>
    <xf numFmtId="165" fontId="0" fillId="2" borderId="1" xfId="0" applyNumberFormat="1" applyFill="1" applyBorder="1" applyProtection="1">
      <protection locked="0"/>
    </xf>
    <xf numFmtId="0" fontId="5" fillId="9" borderId="1" xfId="0" applyFont="1" applyFill="1" applyBorder="1" applyAlignment="1">
      <alignment horizontal="center"/>
    </xf>
    <xf numFmtId="0" fontId="0" fillId="0" borderId="0" xfId="0" applyAlignment="1">
      <alignment vertical="top"/>
    </xf>
    <xf numFmtId="9" fontId="0" fillId="0" borderId="0" xfId="0" applyNumberFormat="1"/>
    <xf numFmtId="0" fontId="0" fillId="0" borderId="1" xfId="0" applyBorder="1" applyAlignment="1">
      <alignment vertical="top"/>
    </xf>
    <xf numFmtId="167" fontId="0" fillId="11" borderId="3" xfId="0" applyNumberFormat="1" applyFill="1" applyBorder="1"/>
    <xf numFmtId="164" fontId="0" fillId="6" borderId="1" xfId="2" applyNumberFormat="1" applyFont="1" applyFill="1" applyBorder="1" applyAlignment="1">
      <alignment horizontal="center"/>
    </xf>
    <xf numFmtId="165" fontId="0" fillId="11" borderId="1" xfId="0" applyNumberFormat="1" applyFill="1" applyBorder="1"/>
    <xf numFmtId="164" fontId="0" fillId="6" borderId="1" xfId="2" applyNumberFormat="1" applyFont="1" applyFill="1" applyBorder="1" applyAlignment="1" applyProtection="1">
      <alignment horizontal="center"/>
    </xf>
    <xf numFmtId="166" fontId="0" fillId="12" borderId="1" xfId="0" applyNumberFormat="1" applyFill="1" applyBorder="1" applyAlignment="1" applyProtection="1">
      <alignment horizontal="center"/>
      <protection locked="0"/>
    </xf>
    <xf numFmtId="164" fontId="0" fillId="7" borderId="1" xfId="2" applyNumberFormat="1" applyFont="1" applyFill="1" applyBorder="1" applyAlignment="1" applyProtection="1">
      <alignment horizontal="center"/>
    </xf>
    <xf numFmtId="164" fontId="0" fillId="4" borderId="1" xfId="0" applyNumberFormat="1" applyFill="1" applyBorder="1"/>
    <xf numFmtId="2" fontId="0" fillId="4" borderId="1" xfId="0" applyNumberFormat="1" applyFill="1" applyBorder="1"/>
    <xf numFmtId="164" fontId="0" fillId="8" borderId="1" xfId="2" applyNumberFormat="1" applyFont="1" applyFill="1" applyBorder="1" applyAlignment="1">
      <alignment horizontal="center"/>
    </xf>
    <xf numFmtId="165" fontId="0" fillId="4" borderId="1" xfId="0" applyNumberFormat="1" applyFill="1" applyBorder="1"/>
    <xf numFmtId="166" fontId="0" fillId="11" borderId="1" xfId="0" applyNumberFormat="1" applyFill="1" applyBorder="1" applyProtection="1">
      <protection locked="0"/>
    </xf>
    <xf numFmtId="4" fontId="0" fillId="2" borderId="1" xfId="0" applyNumberFormat="1" applyFill="1" applyBorder="1" applyProtection="1">
      <protection locked="0"/>
    </xf>
    <xf numFmtId="2" fontId="0" fillId="0" borderId="0" xfId="0" applyNumberFormat="1"/>
    <xf numFmtId="0" fontId="0" fillId="0" borderId="0" xfId="0" applyAlignment="1" applyProtection="1">
      <alignment horizontal="left"/>
      <protection locked="0"/>
    </xf>
    <xf numFmtId="0" fontId="0" fillId="0" borderId="1" xfId="0" applyBorder="1" applyAlignment="1">
      <alignment horizontal="center" vertical="center"/>
    </xf>
    <xf numFmtId="0" fontId="0" fillId="14" borderId="12" xfId="0" applyFill="1" applyBorder="1" applyAlignment="1" applyProtection="1">
      <alignment horizontal="left"/>
      <protection locked="0"/>
    </xf>
    <xf numFmtId="0" fontId="0" fillId="0" borderId="1" xfId="0" applyBorder="1"/>
    <xf numFmtId="0" fontId="3" fillId="0" borderId="1" xfId="0" applyFont="1" applyBorder="1"/>
    <xf numFmtId="2" fontId="3" fillId="0" borderId="1" xfId="0" applyNumberFormat="1" applyFont="1" applyBorder="1"/>
    <xf numFmtId="2" fontId="0" fillId="0" borderId="1" xfId="0" applyNumberFormat="1" applyBorder="1"/>
    <xf numFmtId="0" fontId="0" fillId="0" borderId="0" xfId="0" applyProtection="1">
      <protection locked="0"/>
    </xf>
    <xf numFmtId="0" fontId="8" fillId="0" borderId="5" xfId="0" applyFont="1" applyBorder="1" applyProtection="1">
      <protection locked="0"/>
    </xf>
    <xf numFmtId="0" fontId="0" fillId="0" borderId="5" xfId="0" applyBorder="1" applyProtection="1">
      <protection locked="0"/>
    </xf>
    <xf numFmtId="0" fontId="2" fillId="3" borderId="1" xfId="0" applyFont="1" applyFill="1" applyBorder="1" applyProtection="1">
      <protection locked="0"/>
    </xf>
    <xf numFmtId="0" fontId="0" fillId="2" borderId="1" xfId="0" applyFill="1" applyBorder="1" applyAlignment="1" applyProtection="1">
      <alignment horizontal="left"/>
      <protection locked="0"/>
    </xf>
    <xf numFmtId="0" fontId="0" fillId="14" borderId="1" xfId="0" applyFill="1" applyBorder="1" applyProtection="1">
      <protection locked="0"/>
    </xf>
    <xf numFmtId="0" fontId="0" fillId="4" borderId="1" xfId="0" applyFill="1" applyBorder="1" applyProtection="1">
      <protection locked="0"/>
    </xf>
    <xf numFmtId="0" fontId="0" fillId="2" borderId="1" xfId="0" applyFill="1" applyBorder="1" applyAlignment="1" applyProtection="1">
      <alignment horizontal="left" wrapText="1"/>
      <protection locked="0"/>
    </xf>
    <xf numFmtId="0" fontId="0" fillId="0" borderId="0" xfId="0" applyAlignment="1" applyProtection="1">
      <alignment horizontal="left" wrapText="1"/>
      <protection locked="0"/>
    </xf>
    <xf numFmtId="0" fontId="2" fillId="3" borderId="11" xfId="0" applyFont="1" applyFill="1" applyBorder="1" applyProtection="1">
      <protection locked="0"/>
    </xf>
    <xf numFmtId="10" fontId="0" fillId="0" borderId="0" xfId="0" applyNumberFormat="1" applyProtection="1">
      <protection locked="0"/>
    </xf>
    <xf numFmtId="0" fontId="2" fillId="5" borderId="1" xfId="0" applyFont="1" applyFill="1" applyBorder="1" applyProtection="1">
      <protection locked="0"/>
    </xf>
    <xf numFmtId="0" fontId="0" fillId="0" borderId="0" xfId="0" applyAlignment="1" applyProtection="1">
      <alignment vertical="top"/>
      <protection locked="0"/>
    </xf>
    <xf numFmtId="0" fontId="6" fillId="0" borderId="0" xfId="4" applyAlignment="1" applyProtection="1"/>
    <xf numFmtId="169" fontId="0" fillId="0" borderId="1" xfId="0" applyNumberFormat="1" applyBorder="1" applyAlignment="1">
      <alignment horizontal="right" vertical="top"/>
    </xf>
    <xf numFmtId="0" fontId="0" fillId="10" borderId="1" xfId="0" applyFill="1" applyBorder="1" applyAlignment="1">
      <alignment vertical="center"/>
    </xf>
    <xf numFmtId="0" fontId="0" fillId="0" borderId="1" xfId="0" applyBorder="1" applyAlignment="1">
      <alignment vertical="center" wrapText="1"/>
    </xf>
    <xf numFmtId="0" fontId="0" fillId="0" borderId="5" xfId="0" applyBorder="1" applyAlignment="1" applyProtection="1">
      <alignment horizontal="left"/>
      <protection locked="0"/>
    </xf>
    <xf numFmtId="0" fontId="0" fillId="14" borderId="1" xfId="0" applyFill="1" applyBorder="1" applyAlignment="1">
      <alignment horizontal="left"/>
    </xf>
    <xf numFmtId="3" fontId="0" fillId="2" borderId="1" xfId="0" applyNumberFormat="1" applyFill="1" applyBorder="1" applyAlignment="1" applyProtection="1">
      <alignment horizontal="left"/>
      <protection locked="0"/>
    </xf>
    <xf numFmtId="3" fontId="0" fillId="2" borderId="1" xfId="0" quotePrefix="1" applyNumberFormat="1" applyFill="1" applyBorder="1" applyAlignment="1" applyProtection="1">
      <alignment horizontal="left"/>
      <protection locked="0"/>
    </xf>
    <xf numFmtId="3" fontId="0" fillId="0" borderId="0" xfId="0" applyNumberFormat="1" applyAlignment="1" applyProtection="1">
      <alignment horizontal="left"/>
      <protection locked="0"/>
    </xf>
    <xf numFmtId="165" fontId="0" fillId="4" borderId="1" xfId="0" applyNumberFormat="1" applyFill="1" applyBorder="1" applyAlignment="1">
      <alignment horizontal="left"/>
    </xf>
    <xf numFmtId="165" fontId="0" fillId="0" borderId="0" xfId="0" applyNumberFormat="1" applyAlignment="1" applyProtection="1">
      <alignment horizontal="left"/>
      <protection locked="0"/>
    </xf>
    <xf numFmtId="43" fontId="0" fillId="4" borderId="1" xfId="1" applyFont="1" applyFill="1" applyBorder="1" applyAlignment="1" applyProtection="1">
      <alignment horizontal="left"/>
    </xf>
    <xf numFmtId="3" fontId="0" fillId="0" borderId="0" xfId="0" applyNumberFormat="1" applyProtection="1">
      <protection locked="0"/>
    </xf>
    <xf numFmtId="0" fontId="0" fillId="0" borderId="1" xfId="0" applyBorder="1" applyProtection="1">
      <protection locked="0"/>
    </xf>
    <xf numFmtId="10" fontId="0" fillId="0" borderId="0" xfId="0" applyNumberFormat="1" applyAlignment="1" applyProtection="1">
      <alignment horizontal="center"/>
      <protection locked="0"/>
    </xf>
    <xf numFmtId="3" fontId="0" fillId="0" borderId="1" xfId="0" applyNumberFormat="1" applyBorder="1" applyAlignment="1" applyProtection="1">
      <alignment horizontal="center" vertical="center"/>
      <protection locked="0"/>
    </xf>
    <xf numFmtId="0" fontId="0" fillId="0" borderId="1" xfId="0" applyBorder="1" applyAlignment="1" applyProtection="1">
      <alignment wrapText="1"/>
      <protection locked="0"/>
    </xf>
    <xf numFmtId="10" fontId="0" fillId="0" borderId="1" xfId="0" applyNumberFormat="1" applyBorder="1" applyAlignment="1" applyProtection="1">
      <alignment horizontal="center" vertical="center"/>
      <protection locked="0"/>
    </xf>
    <xf numFmtId="10" fontId="0" fillId="0" borderId="1" xfId="0" applyNumberFormat="1" applyBorder="1" applyAlignment="1">
      <alignment horizontal="center"/>
    </xf>
    <xf numFmtId="0" fontId="3" fillId="10" borderId="1" xfId="0" applyFont="1" applyFill="1" applyBorder="1"/>
    <xf numFmtId="10" fontId="0" fillId="0" borderId="1" xfId="0" applyNumberFormat="1" applyBorder="1"/>
    <xf numFmtId="10" fontId="0" fillId="0" borderId="0" xfId="3" applyNumberFormat="1" applyFont="1" applyProtection="1">
      <protection locked="0"/>
    </xf>
    <xf numFmtId="165" fontId="0" fillId="0" borderId="0" xfId="0" applyNumberFormat="1" applyProtection="1">
      <protection locked="0"/>
    </xf>
    <xf numFmtId="43" fontId="0" fillId="0" borderId="0" xfId="0" applyNumberFormat="1" applyProtection="1">
      <protection locked="0"/>
    </xf>
    <xf numFmtId="10" fontId="0" fillId="11" borderId="1" xfId="3" applyNumberFormat="1" applyFont="1" applyFill="1" applyBorder="1" applyProtection="1">
      <protection locked="0"/>
    </xf>
    <xf numFmtId="10" fontId="0" fillId="0" borderId="0" xfId="3" applyNumberFormat="1" applyFont="1" applyProtection="1"/>
    <xf numFmtId="165" fontId="0" fillId="0" borderId="0" xfId="0" applyNumberFormat="1"/>
    <xf numFmtId="0" fontId="2" fillId="9" borderId="1" xfId="0" applyFont="1" applyFill="1" applyBorder="1" applyAlignment="1">
      <alignment horizontal="center" vertical="center"/>
    </xf>
    <xf numFmtId="0" fontId="0" fillId="0" borderId="0" xfId="0" applyAlignment="1">
      <alignment vertical="center"/>
    </xf>
    <xf numFmtId="0" fontId="2" fillId="9" borderId="1" xfId="0" applyFont="1" applyFill="1" applyBorder="1" applyAlignment="1">
      <alignment horizontal="center" vertical="center" wrapText="1"/>
    </xf>
    <xf numFmtId="165" fontId="2" fillId="9" borderId="2" xfId="0" applyNumberFormat="1" applyFont="1" applyFill="1" applyBorder="1" applyAlignment="1">
      <alignment horizontal="center" vertical="center" wrapText="1"/>
    </xf>
    <xf numFmtId="165" fontId="2" fillId="9" borderId="1" xfId="0" applyNumberFormat="1" applyFont="1" applyFill="1" applyBorder="1" applyAlignment="1">
      <alignment horizontal="center" vertical="center" wrapText="1"/>
    </xf>
    <xf numFmtId="0" fontId="0" fillId="0" borderId="11" xfId="0" applyBorder="1"/>
    <xf numFmtId="168" fontId="0" fillId="0" borderId="6" xfId="0" applyNumberFormat="1" applyBorder="1"/>
    <xf numFmtId="0" fontId="0" fillId="7" borderId="1" xfId="0" applyFill="1" applyBorder="1" applyAlignment="1">
      <alignment horizontal="center"/>
    </xf>
    <xf numFmtId="0" fontId="0" fillId="0" borderId="10" xfId="0" applyBorder="1" applyAlignment="1">
      <alignment horizontal="center"/>
    </xf>
    <xf numFmtId="10" fontId="0" fillId="0" borderId="0" xfId="0" applyNumberFormat="1" applyAlignment="1">
      <alignment horizontal="center"/>
    </xf>
    <xf numFmtId="43" fontId="0" fillId="0" borderId="0" xfId="1" applyFont="1" applyBorder="1" applyProtection="1"/>
    <xf numFmtId="165" fontId="9" fillId="0" borderId="0" xfId="2" applyNumberFormat="1" applyFont="1" applyBorder="1" applyProtection="1"/>
    <xf numFmtId="165" fontId="9" fillId="13" borderId="0" xfId="2" applyNumberFormat="1" applyFont="1" applyFill="1" applyBorder="1" applyProtection="1"/>
    <xf numFmtId="43" fontId="0" fillId="0" borderId="10" xfId="1" applyFont="1" applyBorder="1" applyProtection="1"/>
    <xf numFmtId="165" fontId="9" fillId="0" borderId="6" xfId="2" applyNumberFormat="1" applyFont="1" applyBorder="1" applyProtection="1"/>
    <xf numFmtId="165" fontId="9" fillId="13" borderId="8" xfId="2" applyNumberFormat="1" applyFont="1" applyFill="1" applyBorder="1" applyProtection="1"/>
    <xf numFmtId="0" fontId="0" fillId="0" borderId="9" xfId="0" applyBorder="1"/>
    <xf numFmtId="168" fontId="0" fillId="0" borderId="7" xfId="0" applyNumberFormat="1" applyBorder="1"/>
    <xf numFmtId="0" fontId="0" fillId="8" borderId="4" xfId="0" applyFill="1" applyBorder="1" applyAlignment="1">
      <alignment horizontal="center"/>
    </xf>
    <xf numFmtId="0" fontId="0" fillId="10" borderId="2" xfId="0" applyFill="1" applyBorder="1" applyAlignment="1">
      <alignment horizontal="center"/>
    </xf>
    <xf numFmtId="0" fontId="0" fillId="10" borderId="13" xfId="0" applyFill="1" applyBorder="1" applyAlignment="1">
      <alignment horizontal="center"/>
    </xf>
    <xf numFmtId="43" fontId="0" fillId="10" borderId="13" xfId="1" applyFont="1" applyFill="1" applyBorder="1" applyProtection="1"/>
    <xf numFmtId="43" fontId="0" fillId="0" borderId="13" xfId="1" applyFont="1" applyBorder="1" applyProtection="1"/>
    <xf numFmtId="165" fontId="0" fillId="0" borderId="3" xfId="2" applyNumberFormat="1" applyFont="1" applyBorder="1" applyProtection="1"/>
    <xf numFmtId="165" fontId="0" fillId="13" borderId="13" xfId="2" applyNumberFormat="1" applyFont="1" applyFill="1" applyBorder="1" applyProtection="1"/>
    <xf numFmtId="43" fontId="0" fillId="10" borderId="2" xfId="1" applyFont="1" applyFill="1" applyBorder="1" applyProtection="1"/>
    <xf numFmtId="165" fontId="0" fillId="0" borderId="3" xfId="1" applyNumberFormat="1" applyFont="1" applyBorder="1" applyProtection="1"/>
    <xf numFmtId="165" fontId="0" fillId="13" borderId="3" xfId="2" applyNumberFormat="1" applyFont="1" applyFill="1" applyBorder="1" applyProtection="1"/>
    <xf numFmtId="0" fontId="0" fillId="0" borderId="14" xfId="0"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6" fontId="0" fillId="0" borderId="0" xfId="0" applyNumberFormat="1" applyAlignment="1">
      <alignment horizontal="center" vertical="center"/>
    </xf>
    <xf numFmtId="6" fontId="0" fillId="0" borderId="18" xfId="0" applyNumberFormat="1" applyBorder="1" applyAlignment="1">
      <alignment horizontal="center" vertical="center"/>
    </xf>
    <xf numFmtId="0" fontId="0" fillId="0" borderId="19" xfId="0" applyBorder="1" applyAlignment="1">
      <alignment horizontal="center" vertical="center"/>
    </xf>
    <xf numFmtId="6" fontId="0" fillId="0" borderId="5" xfId="0" applyNumberFormat="1" applyBorder="1" applyAlignment="1">
      <alignment horizontal="center" vertical="center"/>
    </xf>
    <xf numFmtId="6" fontId="0" fillId="0" borderId="20" xfId="0" applyNumberFormat="1" applyBorder="1" applyAlignment="1">
      <alignment horizontal="center" vertical="center"/>
    </xf>
    <xf numFmtId="170" fontId="0" fillId="0" borderId="1" xfId="0" applyNumberFormat="1" applyBorder="1" applyAlignment="1">
      <alignment horizontal="right" vertical="top"/>
    </xf>
    <xf numFmtId="0" fontId="10" fillId="0" borderId="0" xfId="0" applyFont="1" applyBorder="1"/>
    <xf numFmtId="0" fontId="12" fillId="0" borderId="0" xfId="0" applyFont="1" applyBorder="1" applyAlignment="1">
      <alignment vertical="center"/>
    </xf>
    <xf numFmtId="0" fontId="0" fillId="0" borderId="0" xfId="0" applyBorder="1"/>
    <xf numFmtId="2" fontId="0" fillId="0" borderId="0" xfId="0" applyNumberFormat="1" applyBorder="1"/>
    <xf numFmtId="0" fontId="11" fillId="0" borderId="0" xfId="0" applyFont="1" applyBorder="1" applyAlignment="1">
      <alignment vertical="top"/>
    </xf>
    <xf numFmtId="166" fontId="0" fillId="0" borderId="1" xfId="0" applyNumberFormat="1" applyBorder="1" applyAlignment="1">
      <alignment horizontal="left" indent="3"/>
    </xf>
    <xf numFmtId="0" fontId="10" fillId="0" borderId="1" xfId="0" applyFont="1" applyBorder="1" applyAlignment="1">
      <alignment horizontal="left"/>
    </xf>
    <xf numFmtId="0" fontId="12" fillId="0" borderId="1" xfId="0" applyFont="1" applyBorder="1" applyAlignment="1">
      <alignment horizontal="left" vertical="center"/>
    </xf>
    <xf numFmtId="0" fontId="7" fillId="3" borderId="2" xfId="0" applyFont="1" applyFill="1" applyBorder="1" applyAlignment="1">
      <alignment horizontal="center"/>
    </xf>
    <xf numFmtId="0" fontId="7" fillId="3" borderId="3" xfId="0" applyFont="1" applyFill="1" applyBorder="1" applyAlignment="1">
      <alignment horizontal="center"/>
    </xf>
    <xf numFmtId="0" fontId="3" fillId="0" borderId="1" xfId="0" applyFont="1" applyBorder="1" applyAlignment="1">
      <alignment horizontal="center"/>
    </xf>
    <xf numFmtId="0" fontId="2" fillId="15" borderId="5" xfId="0" applyFont="1" applyFill="1" applyBorder="1" applyAlignment="1" applyProtection="1">
      <alignment horizontal="center"/>
      <protection locked="0"/>
    </xf>
  </cellXfs>
  <cellStyles count="5">
    <cellStyle name="Comma" xfId="1" builtinId="3"/>
    <cellStyle name="Currency" xfId="2" builtinId="4"/>
    <cellStyle name="Hyperlink" xfId="4" builtinId="8"/>
    <cellStyle name="Normal" xfId="0" builtinId="0"/>
    <cellStyle name="Percent" xfId="3" builtinId="5"/>
  </cellStyles>
  <dxfs count="1">
    <dxf>
      <fill>
        <patternFill>
          <bgColor rgb="FFFF61FF"/>
        </patternFill>
      </fill>
    </dxf>
  </dxfs>
  <tableStyles count="0" defaultTableStyle="TableStyleMedium9" defaultPivotStyle="PivotStyleLight16"/>
  <colors>
    <mruColors>
      <color rgb="FF0000FF"/>
      <color rgb="FFFF6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trlProps/ctrlProp1.xml><?xml version="1.0" encoding="utf-8"?>
<formControlPr xmlns="http://schemas.microsoft.com/office/spreadsheetml/2009/9/main" objectType="Drop" dropLines="2" dropStyle="combo" dx="16" fmlaLink="$B$6" fmlaRange="$A$52:$A$53" noThreeD="1" sel="1" val="0"/>
</file>

<file path=xl/ctrlProps/ctrlProp2.xml><?xml version="1.0" encoding="utf-8"?>
<formControlPr xmlns="http://schemas.microsoft.com/office/spreadsheetml/2009/9/main" objectType="Drop" dropLines="2" dropStyle="combo" dx="16" fmlaLink="$B$6" fmlaRange="$A$54:$A$55" noThreeD="1" sel="2" val="0"/>
</file>

<file path=xl/drawings/_rels/drawing4.xml.rels><?xml version="1.0" encoding="UTF-8" standalone="yes"?>
<Relationships xmlns="http://schemas.openxmlformats.org/package/2006/relationships"><Relationship Id="rId1" Type="http://schemas.openxmlformats.org/officeDocument/2006/relationships/hyperlink" Target="http://www.dot.gov/sites/dot.gov/files/docs/TIGER%20BCA%20Resource%20Guide%202014.pdf" TargetMode="External"/></Relationships>
</file>

<file path=xl/drawings/drawing1.xml><?xml version="1.0" encoding="utf-8"?>
<xdr:wsDr xmlns:xdr="http://schemas.openxmlformats.org/drawingml/2006/spreadsheetDrawing" xmlns:a="http://schemas.openxmlformats.org/drawingml/2006/main">
  <xdr:twoCellAnchor>
    <xdr:from>
      <xdr:col>0</xdr:col>
      <xdr:colOff>131885</xdr:colOff>
      <xdr:row>0</xdr:row>
      <xdr:rowOff>161191</xdr:rowOff>
    </xdr:from>
    <xdr:to>
      <xdr:col>8</xdr:col>
      <xdr:colOff>439615</xdr:colOff>
      <xdr:row>33</xdr:row>
      <xdr:rowOff>177362</xdr:rowOff>
    </xdr:to>
    <xdr:sp macro="" textlink="">
      <xdr:nvSpPr>
        <xdr:cNvPr id="3" name="Text Box 2">
          <a:extLst>
            <a:ext uri="{FF2B5EF4-FFF2-40B4-BE49-F238E27FC236}">
              <a16:creationId xmlns:a16="http://schemas.microsoft.com/office/drawing/2014/main" id="{00000000-0008-0000-0000-000003000000}"/>
            </a:ext>
          </a:extLst>
        </xdr:cNvPr>
        <xdr:cNvSpPr txBox="1">
          <a:spLocks noChangeArrowheads="1"/>
        </xdr:cNvSpPr>
      </xdr:nvSpPr>
      <xdr:spPr bwMode="auto">
        <a:xfrm>
          <a:off x="131885" y="161191"/>
          <a:ext cx="8899937" cy="6302671"/>
        </a:xfrm>
        <a:prstGeom prst="rect">
          <a:avLst/>
        </a:prstGeom>
        <a:solidFill>
          <a:schemeClr val="bg1">
            <a:lumMod val="95000"/>
          </a:schemeClr>
        </a:solidFill>
        <a:ln w="9525">
          <a:solidFill>
            <a:schemeClr val="accent1">
              <a:lumMod val="50000"/>
            </a:schemeClr>
          </a:solidFill>
          <a:miter lim="800000"/>
          <a:headEnd/>
          <a:tailEnd/>
        </a:ln>
      </xdr:spPr>
      <xdr:txBody>
        <a:bodyPr vertOverflow="clip" wrap="square" lIns="91440" tIns="45720" rIns="91440" bIns="45720" anchor="t" upright="1"/>
        <a:lstStyle/>
        <a:p>
          <a:r>
            <a:rPr lang="en-US" sz="1100" b="1">
              <a:effectLst/>
              <a:latin typeface="+mn-lt"/>
              <a:ea typeface="+mn-ea"/>
              <a:cs typeface="+mn-cs"/>
            </a:rPr>
            <a:t>Instructions: </a:t>
          </a:r>
          <a:endParaRPr lang="en-US" sz="1100">
            <a:effectLst/>
            <a:latin typeface="+mn-lt"/>
            <a:ea typeface="+mn-ea"/>
            <a:cs typeface="+mn-cs"/>
          </a:endParaRPr>
        </a:p>
        <a:p>
          <a:r>
            <a:rPr lang="en-US" sz="1100">
              <a:effectLst/>
              <a:latin typeface="+mn-lt"/>
              <a:ea typeface="+mn-ea"/>
              <a:cs typeface="+mn-cs"/>
            </a:rPr>
            <a:t>On the "Inputs &amp; Outputs" tab, fill in all "blue " shaded sections. </a:t>
          </a:r>
        </a:p>
        <a:p>
          <a:endParaRPr lang="en-US" sz="1100">
            <a:effectLst/>
            <a:latin typeface="+mn-lt"/>
            <a:ea typeface="+mn-ea"/>
            <a:cs typeface="+mn-cs"/>
          </a:endParaRPr>
        </a:p>
        <a:p>
          <a:r>
            <a:rPr lang="en-US" sz="1100">
              <a:effectLst/>
              <a:latin typeface="+mn-lt"/>
              <a:ea typeface="+mn-ea"/>
              <a:cs typeface="+mn-cs"/>
            </a:rPr>
            <a:t>Project Information:</a:t>
          </a:r>
        </a:p>
        <a:p>
          <a:r>
            <a:rPr lang="en-US" sz="1100" i="1">
              <a:effectLst/>
              <a:latin typeface="+mn-lt"/>
              <a:ea typeface="+mn-ea"/>
              <a:cs typeface="+mn-cs"/>
            </a:rPr>
            <a:t>	Project Title:</a:t>
          </a:r>
          <a:r>
            <a:rPr lang="en-US" sz="1100">
              <a:effectLst/>
              <a:latin typeface="+mn-lt"/>
              <a:ea typeface="+mn-ea"/>
              <a:cs typeface="+mn-cs"/>
            </a:rPr>
            <a:t> Enter proposed project name/Title</a:t>
          </a:r>
        </a:p>
        <a:p>
          <a:r>
            <a:rPr lang="en-US" sz="1100" i="1">
              <a:effectLst/>
              <a:latin typeface="+mn-lt"/>
              <a:ea typeface="+mn-ea"/>
              <a:cs typeface="+mn-cs"/>
            </a:rPr>
            <a:t>	Application ID Number</a:t>
          </a:r>
          <a:r>
            <a:rPr lang="en-US" sz="1100">
              <a:effectLst/>
              <a:latin typeface="+mn-lt"/>
              <a:ea typeface="+mn-ea"/>
              <a:cs typeface="+mn-cs"/>
            </a:rPr>
            <a:t>: Enter online project ID number</a:t>
          </a:r>
        </a:p>
        <a:p>
          <a:r>
            <a:rPr lang="en-US" sz="1100" i="1">
              <a:effectLst/>
              <a:latin typeface="+mn-lt"/>
              <a:ea typeface="+mn-ea"/>
              <a:cs typeface="+mn-cs"/>
            </a:rPr>
            <a:t>	Project County</a:t>
          </a:r>
          <a:r>
            <a:rPr lang="en-US" sz="1100">
              <a:effectLst/>
              <a:latin typeface="+mn-lt"/>
              <a:ea typeface="+mn-ea"/>
              <a:cs typeface="+mn-cs"/>
            </a:rPr>
            <a:t>: Select project county from the drop-down list.  If the proposed roadway project is in more than one county, then select the 	county that contains majority of the project area.</a:t>
          </a:r>
        </a:p>
        <a:p>
          <a:endParaRPr lang="en-US" sz="1100">
            <a:effectLst/>
            <a:latin typeface="+mn-lt"/>
            <a:ea typeface="+mn-ea"/>
            <a:cs typeface="+mn-cs"/>
          </a:endParaRPr>
        </a:p>
        <a:p>
          <a:r>
            <a:rPr lang="en-US" sz="1100">
              <a:effectLst/>
              <a:latin typeface="+mn-lt"/>
              <a:ea typeface="+mn-ea"/>
              <a:cs typeface="+mn-cs"/>
            </a:rPr>
            <a:t>Proposed Improvement Information:</a:t>
          </a:r>
        </a:p>
        <a:p>
          <a:r>
            <a:rPr lang="en-US" sz="1100" i="1">
              <a:effectLst/>
              <a:latin typeface="+mn-lt"/>
              <a:ea typeface="+mn-ea"/>
              <a:cs typeface="+mn-cs"/>
            </a:rPr>
            <a:t>	Year Open to Traffic? Must be &gt;=2025:</a:t>
          </a:r>
          <a:r>
            <a:rPr lang="en-US" sz="1100">
              <a:effectLst/>
              <a:latin typeface="+mn-lt"/>
              <a:ea typeface="+mn-ea"/>
              <a:cs typeface="+mn-cs"/>
            </a:rPr>
            <a:t> Select the year Open to Traffic from the drop-down list. </a:t>
          </a:r>
        </a:p>
        <a:p>
          <a:r>
            <a:rPr lang="en-US" sz="1100" i="1">
              <a:effectLst/>
              <a:latin typeface="+mn-lt"/>
              <a:ea typeface="+mn-ea"/>
              <a:cs typeface="+mn-cs"/>
            </a:rPr>
            <a:t>	Type of Improvement</a:t>
          </a:r>
          <a:r>
            <a:rPr lang="en-US" sz="1100">
              <a:effectLst/>
              <a:latin typeface="+mn-lt"/>
              <a:ea typeface="+mn-ea"/>
              <a:cs typeface="+mn-cs"/>
            </a:rPr>
            <a:t>: Select the proposed improvement from the drop-down list. If more than one, improvements are proposed please 	select the one with the longest service life. </a:t>
          </a:r>
        </a:p>
        <a:p>
          <a:r>
            <a:rPr lang="en-US" sz="1100" i="1">
              <a:effectLst/>
              <a:latin typeface="+mn-lt"/>
              <a:ea typeface="+mn-ea"/>
              <a:cs typeface="+mn-cs"/>
            </a:rPr>
            <a:t>	Service Life of Project (from MoSERS) (Years):</a:t>
          </a:r>
          <a:r>
            <a:rPr lang="en-US" sz="1100">
              <a:effectLst/>
              <a:latin typeface="+mn-lt"/>
              <a:ea typeface="+mn-ea"/>
              <a:cs typeface="+mn-cs"/>
            </a:rPr>
            <a:t> Service life of project will be populated based on the intersection improvement selected.</a:t>
          </a:r>
        </a:p>
        <a:p>
          <a:r>
            <a:rPr lang="en-US" sz="1100" i="1">
              <a:effectLst/>
              <a:latin typeface="+mn-lt"/>
              <a:ea typeface="+mn-ea"/>
              <a:cs typeface="+mn-cs"/>
            </a:rPr>
            <a:t>	Average Vehicle Delay at Intersection Before Implementation</a:t>
          </a:r>
          <a:r>
            <a:rPr lang="en-US" sz="1100">
              <a:effectLst/>
              <a:latin typeface="+mn-lt"/>
              <a:ea typeface="+mn-ea"/>
              <a:cs typeface="+mn-cs"/>
            </a:rPr>
            <a:t>: Enter average vehicle delay in seconds at the intersection.  If the proposed 	project includes multiple intersections, please enter sum total of vehicle delay at all intersections before improvement.</a:t>
          </a:r>
        </a:p>
        <a:p>
          <a:r>
            <a:rPr lang="en-US" sz="1100" i="1">
              <a:effectLst/>
              <a:latin typeface="+mn-lt"/>
              <a:ea typeface="+mn-ea"/>
              <a:cs typeface="+mn-cs"/>
            </a:rPr>
            <a:t>	Average Vehicle Delay at Intersection After Implementation</a:t>
          </a:r>
          <a:r>
            <a:rPr lang="en-US" sz="1100">
              <a:effectLst/>
              <a:latin typeface="+mn-lt"/>
              <a:ea typeface="+mn-ea"/>
              <a:cs typeface="+mn-cs"/>
            </a:rPr>
            <a:t>: Please enter average vehicle delay in seconds at the intersection.</a:t>
          </a:r>
          <a:r>
            <a:rPr lang="en-US" sz="1100" baseline="0">
              <a:effectLst/>
              <a:latin typeface="+mn-lt"/>
              <a:ea typeface="+mn-ea"/>
              <a:cs typeface="+mn-cs"/>
            </a:rPr>
            <a:t> </a:t>
          </a:r>
          <a:r>
            <a:rPr lang="en-US" sz="1100">
              <a:effectLst/>
              <a:latin typeface="+mn-lt"/>
              <a:ea typeface="+mn-ea"/>
              <a:cs typeface="+mn-cs"/>
            </a:rPr>
            <a:t>If the proposed 	project includes multiple intersections, please enter average</a:t>
          </a:r>
          <a:r>
            <a:rPr lang="en-US" sz="1100" baseline="0">
              <a:effectLst/>
              <a:latin typeface="+mn-lt"/>
              <a:ea typeface="+mn-ea"/>
              <a:cs typeface="+mn-cs"/>
            </a:rPr>
            <a:t> </a:t>
          </a:r>
          <a:r>
            <a:rPr lang="en-US" sz="1100">
              <a:effectLst/>
              <a:latin typeface="+mn-lt"/>
              <a:ea typeface="+mn-ea"/>
              <a:cs typeface="+mn-cs"/>
            </a:rPr>
            <a:t>of vehicle delays at all intersections after implementation.</a:t>
          </a:r>
        </a:p>
        <a:p>
          <a:endParaRPr lang="en-US" sz="1100">
            <a:effectLst/>
            <a:latin typeface="+mn-lt"/>
            <a:ea typeface="+mn-ea"/>
            <a:cs typeface="+mn-cs"/>
          </a:endParaRPr>
        </a:p>
        <a:p>
          <a:r>
            <a:rPr lang="en-US" sz="1100">
              <a:effectLst/>
              <a:latin typeface="+mn-lt"/>
              <a:ea typeface="+mn-ea"/>
              <a:cs typeface="+mn-cs"/>
            </a:rPr>
            <a:t>Daily Travel Demand:</a:t>
          </a:r>
        </a:p>
        <a:p>
          <a:r>
            <a:rPr lang="en-US" sz="1100" i="1">
              <a:effectLst/>
              <a:latin typeface="+mn-lt"/>
              <a:ea typeface="+mn-ea"/>
              <a:cs typeface="+mn-cs"/>
            </a:rPr>
            <a:t>	Average daily peak period intersection traffic volume (6-9 am + 3-7 pm): </a:t>
          </a:r>
          <a:r>
            <a:rPr lang="en-US" sz="1100">
              <a:effectLst/>
              <a:latin typeface="+mn-lt"/>
              <a:ea typeface="+mn-ea"/>
              <a:cs typeface="+mn-cs"/>
            </a:rPr>
            <a:t>Enter current (2022) average traffic volume passing  through the intersection (all directions) in peak periods. </a:t>
          </a:r>
        </a:p>
        <a:p>
          <a:r>
            <a:rPr lang="en-US" sz="1100" i="1">
              <a:effectLst/>
              <a:latin typeface="+mn-lt"/>
              <a:ea typeface="+mn-ea"/>
              <a:cs typeface="+mn-cs"/>
            </a:rPr>
            <a:t>	Average daily off-peak intersection traffic volume (off peak hours): </a:t>
          </a:r>
          <a:r>
            <a:rPr lang="en-US" sz="1100">
              <a:effectLst/>
              <a:latin typeface="+mn-lt"/>
              <a:ea typeface="+mn-ea"/>
              <a:cs typeface="+mn-cs"/>
            </a:rPr>
            <a:t>Enter current (2022) average traffic volume passing through the 	intersection (all directions) in off-peak hours. </a:t>
          </a:r>
        </a:p>
        <a:p>
          <a:r>
            <a:rPr lang="en-US" sz="1100" i="1">
              <a:effectLst/>
              <a:latin typeface="+mn-lt"/>
              <a:ea typeface="+mn-ea"/>
              <a:cs typeface="+mn-cs"/>
            </a:rPr>
            <a:t>	</a:t>
          </a:r>
        </a:p>
        <a:p>
          <a:r>
            <a:rPr lang="en-US" sz="1100">
              <a:effectLst/>
              <a:latin typeface="+mn-lt"/>
              <a:ea typeface="+mn-ea"/>
              <a:cs typeface="+mn-cs"/>
            </a:rPr>
            <a:t>Results will be populated in "red" shaded section ("Benefit Results").</a:t>
          </a:r>
        </a:p>
        <a:p>
          <a:pPr>
            <a:lnSpc>
              <a:spcPct val="150000"/>
            </a:lnSpc>
          </a:pPr>
          <a:endParaRPr lang="en-US" sz="1100">
            <a:solidFill>
              <a:schemeClr val="bg1"/>
            </a:solidFill>
            <a:effectLst/>
            <a:latin typeface="+mn-lt"/>
            <a:ea typeface="+mn-ea"/>
            <a:cs typeface="+mn-cs"/>
          </a:endParaRPr>
        </a:p>
        <a:p>
          <a:r>
            <a:rPr lang="en-US" sz="1100">
              <a:solidFill>
                <a:schemeClr val="bg1"/>
              </a:solidFill>
              <a:effectLst/>
              <a:latin typeface="+mn-lt"/>
              <a:ea typeface="+mn-ea"/>
              <a:cs typeface="+mn-cs"/>
            </a:rPr>
            <a:t> </a:t>
          </a:r>
        </a:p>
        <a:p>
          <a:pPr algn="l" rtl="0">
            <a:defRPr sz="1000"/>
          </a:pPr>
          <a:endParaRPr lang="en-US" sz="1100" b="0" i="0" u="none" strike="noStrike" baseline="0">
            <a:solidFill>
              <a:schemeClr val="bg1"/>
            </a:solidFill>
            <a:latin typeface="Calibri"/>
            <a:cs typeface="Arial"/>
          </a:endParaRPr>
        </a:p>
        <a:p>
          <a:pPr algn="l" rtl="0">
            <a:defRPr sz="1000"/>
          </a:pPr>
          <a:endParaRPr lang="en-US" sz="1100" b="0" i="0" u="none" strike="noStrike" baseline="0">
            <a:solidFill>
              <a:srgbClr val="000000"/>
            </a:solidFill>
            <a:latin typeface="Times New Roman"/>
            <a:cs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7620</xdr:rowOff>
        </xdr:to>
        <xdr:sp macro="" textlink="">
          <xdr:nvSpPr>
            <xdr:cNvPr id="4097" name="Drop Down 1" hidden="1">
              <a:extLst>
                <a:ext uri="{63B3BB69-23CF-44E3-9099-C40C66FF867C}">
                  <a14:compatExt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7620</xdr:rowOff>
        </xdr:to>
        <xdr:sp macro="" textlink="">
          <xdr:nvSpPr>
            <xdr:cNvPr id="3073" name="Drop Down 1" hidden="1">
              <a:extLst>
                <a:ext uri="{63B3BB69-23CF-44E3-9099-C40C66FF867C}">
                  <a14:compatExt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xdr:col>
      <xdr:colOff>0</xdr:colOff>
      <xdr:row>13</xdr:row>
      <xdr:rowOff>0</xdr:rowOff>
    </xdr:from>
    <xdr:to>
      <xdr:col>3</xdr:col>
      <xdr:colOff>1066800</xdr:colOff>
      <xdr:row>17</xdr:row>
      <xdr:rowOff>123824</xdr:rowOff>
    </xdr:to>
    <xdr:sp macro="" textlink="">
      <xdr:nvSpPr>
        <xdr:cNvPr id="5" name="TextBox 4">
          <a:hlinkClick xmlns:r="http://schemas.openxmlformats.org/officeDocument/2006/relationships" r:id="rId1"/>
          <a:extLst>
            <a:ext uri="{FF2B5EF4-FFF2-40B4-BE49-F238E27FC236}">
              <a16:creationId xmlns:a16="http://schemas.microsoft.com/office/drawing/2014/main" id="{00000000-0008-0000-0900-000005000000}"/>
            </a:ext>
          </a:extLst>
        </xdr:cNvPr>
        <xdr:cNvSpPr txBox="1"/>
      </xdr:nvSpPr>
      <xdr:spPr>
        <a:xfrm>
          <a:off x="228600" y="3048000"/>
          <a:ext cx="6743700" cy="88582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 To the greatest extent possible, these values are taken from or consistent with the "USDOT  Benefit-Cost Analysis Guidance for Discretionary Grant</a:t>
          </a:r>
          <a:r>
            <a:rPr lang="en-US" sz="1100" baseline="0">
              <a:solidFill>
                <a:schemeClr val="dk1"/>
              </a:solidFill>
              <a:effectLst/>
              <a:latin typeface="+mn-lt"/>
              <a:ea typeface="+mn-ea"/>
              <a:cs typeface="+mn-cs"/>
            </a:rPr>
            <a:t> Programs". </a:t>
          </a:r>
          <a:r>
            <a:rPr lang="en-US" sz="1050" baseline="0">
              <a:solidFill>
                <a:schemeClr val="dk1"/>
              </a:solidFill>
              <a:effectLst/>
              <a:latin typeface="+mn-lt"/>
              <a:ea typeface="+mn-ea"/>
              <a:cs typeface="+mn-cs"/>
            </a:rPr>
            <a:t>It can be found online at: https://www.transportation.gov/sites/dot.gov/files/2021-02/Benefit%20Cost%20Analysis%20Guidance%202021.pdf.</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ersonal/decandis_h-gac_com/Documents/Projects-%20Completed/TIP%20Emissions%20Spreadsheets%20-%202018/Transit%20Benefit%20Worksheet.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personal/decandis_h-gac_com/Documents/Projects-%20Completed/TIP%20Emissions%20Spreadsheets%20-%202018/Template%20-%20Safety%20Benefits%20Revision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MAQ Funding Model"/>
      <sheetName val="Benefit Calculations"/>
      <sheetName val="Emission Factors"/>
      <sheetName val="Value of Emissions"/>
      <sheetName val="Formula Documentation"/>
      <sheetName val="Emission Calculations"/>
    </sheetNames>
    <sheetDataSet>
      <sheetData sheetId="0"/>
      <sheetData sheetId="1"/>
      <sheetData sheetId="2" refreshError="1"/>
      <sheetData sheetId="3" refreshError="1"/>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ITS Delay Worksheet"/>
      <sheetName val="Emissions Reduction Worksheet"/>
      <sheetName val="Inputs &amp; Outputs"/>
      <sheetName val="CRASH"/>
      <sheetName val="Calculations"/>
      <sheetName val="Assumed Values"/>
      <sheetName val="Value of Travel Time"/>
      <sheetName val="Value of Statistical Life"/>
      <sheetName val="Value of Emissions"/>
      <sheetName val="GDP Deflators"/>
      <sheetName val="CRASH SUM"/>
    </sheetNames>
    <sheetDataSet>
      <sheetData sheetId="0" refreshError="1"/>
      <sheetData sheetId="1" refreshError="1"/>
      <sheetData sheetId="2" refreshError="1"/>
      <sheetData sheetId="3" refreshError="1"/>
      <sheetData sheetId="4" refreshError="1"/>
      <sheetData sheetId="5">
        <row r="4">
          <cell r="S4">
            <v>0</v>
          </cell>
        </row>
        <row r="5">
          <cell r="S5" t="e">
            <v>#DIV/0!</v>
          </cell>
        </row>
        <row r="6">
          <cell r="S6" t="e">
            <v>#DIV/0!</v>
          </cell>
        </row>
        <row r="7">
          <cell r="S7" t="e">
            <v>#DIV/0!</v>
          </cell>
        </row>
        <row r="8">
          <cell r="S8" t="e">
            <v>#DIV/0!</v>
          </cell>
        </row>
        <row r="9">
          <cell r="S9" t="e">
            <v>#DIV/0!</v>
          </cell>
        </row>
        <row r="10">
          <cell r="S10" t="e">
            <v>#DIV/0!</v>
          </cell>
        </row>
        <row r="11">
          <cell r="S11" t="e">
            <v>#DIV/0!</v>
          </cell>
        </row>
        <row r="12">
          <cell r="S12" t="e">
            <v>#DIV/0!</v>
          </cell>
        </row>
        <row r="13">
          <cell r="S13" t="e">
            <v>#DIV/0!</v>
          </cell>
        </row>
        <row r="14">
          <cell r="S14" t="e">
            <v>#DIV/0!</v>
          </cell>
        </row>
        <row r="15">
          <cell r="S15" t="e">
            <v>#DIV/0!</v>
          </cell>
        </row>
        <row r="16">
          <cell r="S16" t="e">
            <v>#DIV/0!</v>
          </cell>
        </row>
        <row r="17">
          <cell r="S17" t="e">
            <v>#DIV/0!</v>
          </cell>
        </row>
        <row r="18">
          <cell r="S18" t="e">
            <v>#DIV/0!</v>
          </cell>
        </row>
        <row r="19">
          <cell r="S19" t="e">
            <v>#DIV/0!</v>
          </cell>
        </row>
        <row r="20">
          <cell r="S20" t="e">
            <v>#DIV/0!</v>
          </cell>
        </row>
        <row r="21">
          <cell r="S21" t="e">
            <v>#DIV/0!</v>
          </cell>
        </row>
        <row r="22">
          <cell r="S22" t="e">
            <v>#DIV/0!</v>
          </cell>
        </row>
        <row r="23">
          <cell r="S23" t="e">
            <v>#DIV/0!</v>
          </cell>
        </row>
        <row r="24">
          <cell r="S24" t="e">
            <v>#DIV/0!</v>
          </cell>
        </row>
        <row r="25">
          <cell r="S25" t="e">
            <v>#DIV/0!</v>
          </cell>
        </row>
        <row r="26">
          <cell r="S26" t="e">
            <v>#DIV/0!</v>
          </cell>
        </row>
        <row r="27">
          <cell r="S27" t="e">
            <v>#DIV/0!</v>
          </cell>
        </row>
        <row r="28">
          <cell r="S28" t="e">
            <v>#DIV/0!</v>
          </cell>
        </row>
        <row r="29">
          <cell r="S29" t="e">
            <v>#DIV/0!</v>
          </cell>
        </row>
        <row r="30">
          <cell r="S30" t="e">
            <v>#DIV/0!</v>
          </cell>
        </row>
        <row r="31">
          <cell r="S31" t="e">
            <v>#DIV/0!</v>
          </cell>
        </row>
        <row r="32">
          <cell r="S32" t="e">
            <v>#DIV/0!</v>
          </cell>
        </row>
        <row r="33">
          <cell r="S33" t="e">
            <v>#DIV/0!</v>
          </cell>
        </row>
        <row r="34">
          <cell r="S34" t="e">
            <v>#DIV/0!</v>
          </cell>
        </row>
        <row r="35">
          <cell r="S35" t="e">
            <v>#DIV/0!</v>
          </cell>
        </row>
        <row r="36">
          <cell r="S36" t="e">
            <v>#DIV/0!</v>
          </cell>
        </row>
      </sheetData>
      <sheetData sheetId="6" refreshError="1"/>
      <sheetData sheetId="7" refreshError="1"/>
      <sheetData sheetId="8" refreshError="1"/>
      <sheetData sheetId="9" refreshError="1"/>
      <sheetData sheetId="10" refreshError="1"/>
      <sheetData sheetId="11"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trlProp" Target="../ctrlProps/ctrlProp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hyperlink" Target="https://www.transportation.gov/sites/dot.gov/files/2023-12/Benefit%20Cost%20Analysis%20Guidance%202024%20Update.pdf"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hyperlink" Target="https://server.txaqportal.org/storage/uploads/2021/01/15/6001d296e0c1bTxDOT_IAC-A_Task2.2_MOSERS_Module1_0114202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499984740745262"/>
    <pageSetUpPr fitToPage="1"/>
  </sheetPr>
  <dimension ref="A7"/>
  <sheetViews>
    <sheetView tabSelected="1" zoomScale="85" zoomScaleNormal="85" workbookViewId="0">
      <selection activeCell="K15" sqref="K15"/>
    </sheetView>
  </sheetViews>
  <sheetFormatPr defaultRowHeight="14.4" x14ac:dyDescent="0.3"/>
  <cols>
    <col min="1" max="1" width="45.109375" bestFit="1" customWidth="1"/>
    <col min="2" max="2" width="12.5546875" customWidth="1"/>
    <col min="3" max="3" width="5.33203125" customWidth="1"/>
    <col min="4" max="4" width="23.5546875" customWidth="1"/>
    <col min="5" max="5" width="15.33203125" bestFit="1" customWidth="1"/>
    <col min="6" max="6" width="13.33203125" customWidth="1"/>
    <col min="7" max="7" width="4.5546875" customWidth="1"/>
  </cols>
  <sheetData>
    <row r="7" spans="1:1" x14ac:dyDescent="0.3">
      <c r="A7" s="22"/>
    </row>
  </sheetData>
  <pageMargins left="0.25" right="0.25" top="0.75" bottom="0.75" header="0.3" footer="0.3"/>
  <pageSetup paperSize="17" fitToHeight="0"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1"/>
    <pageSetUpPr fitToPage="1"/>
  </sheetPr>
  <dimension ref="B2:C10"/>
  <sheetViews>
    <sheetView zoomScaleNormal="100" workbookViewId="0">
      <selection activeCell="E13" sqref="E13"/>
    </sheetView>
  </sheetViews>
  <sheetFormatPr defaultRowHeight="14.4" x14ac:dyDescent="0.3"/>
  <cols>
    <col min="1" max="1" width="3.44140625" customWidth="1"/>
    <col min="2" max="2" width="62.44140625" bestFit="1" customWidth="1"/>
    <col min="3" max="3" width="22.6640625" bestFit="1" customWidth="1"/>
    <col min="4" max="4" width="20" bestFit="1" customWidth="1"/>
  </cols>
  <sheetData>
    <row r="2" spans="2:3" x14ac:dyDescent="0.3">
      <c r="B2" s="1" t="s">
        <v>108</v>
      </c>
    </row>
    <row r="4" spans="2:3" x14ac:dyDescent="0.3">
      <c r="B4" s="1" t="s">
        <v>20</v>
      </c>
    </row>
    <row r="5" spans="2:3" x14ac:dyDescent="0.3">
      <c r="B5" s="24" t="s">
        <v>22</v>
      </c>
      <c r="C5" s="24">
        <v>2021</v>
      </c>
    </row>
    <row r="6" spans="2:3" x14ac:dyDescent="0.3">
      <c r="B6" s="24" t="s">
        <v>23</v>
      </c>
      <c r="C6" s="122">
        <v>3.1E-2</v>
      </c>
    </row>
    <row r="7" spans="2:3" x14ac:dyDescent="0.3">
      <c r="C7" s="23"/>
    </row>
    <row r="8" spans="2:3" x14ac:dyDescent="0.3">
      <c r="B8" s="24" t="s">
        <v>84</v>
      </c>
      <c r="C8" s="59">
        <f>'Inputs &amp; Outputs'!$C$15/60/60</f>
        <v>3.0555555555555555E-2</v>
      </c>
    </row>
    <row r="9" spans="2:3" x14ac:dyDescent="0.3">
      <c r="B9" s="24" t="s">
        <v>123</v>
      </c>
      <c r="C9" s="59">
        <f>'Inputs &amp; Outputs'!$C$16/60/60</f>
        <v>2.5000000000000001E-2</v>
      </c>
    </row>
    <row r="10" spans="2:3" x14ac:dyDescent="0.3">
      <c r="B10" s="1" t="s">
        <v>21</v>
      </c>
    </row>
  </sheetData>
  <sheetProtection algorithmName="SHA-512" hashValue="rPhbhyUw9DEBeBbL4TXBiDZBna3JVkZ2/g6xMEvSxq7FYDbud+q6atLrP5y+MCz4vw1/qXLAQ6XbROUKYrS2Ug==" saltValue="u/RloiNnSyb4CAcA1mD3xg==" spinCount="100000" sheet="1" objects="1" scenarios="1"/>
  <pageMargins left="0.25" right="0.25" top="0.75" bottom="0.75"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6F3357-64BA-496F-ADBD-35C9EA5F4D59}">
  <dimension ref="A1:M16"/>
  <sheetViews>
    <sheetView workbookViewId="0">
      <selection activeCell="C16" sqref="C16"/>
    </sheetView>
  </sheetViews>
  <sheetFormatPr defaultColWidth="8.88671875" defaultRowHeight="14.4" x14ac:dyDescent="0.3"/>
  <cols>
    <col min="1" max="1" width="3.109375" style="45" customWidth="1"/>
    <col min="2" max="2" width="13.6640625" style="45" customWidth="1"/>
    <col min="3" max="3" width="12" style="45" bestFit="1" customWidth="1"/>
    <col min="4" max="4" width="11.33203125" style="45" bestFit="1" customWidth="1"/>
    <col min="5" max="16384" width="8.88671875" style="45"/>
  </cols>
  <sheetData>
    <row r="1" spans="1:13" x14ac:dyDescent="0.3">
      <c r="A1"/>
      <c r="B1"/>
      <c r="C1"/>
      <c r="D1"/>
    </row>
    <row r="2" spans="1:13" x14ac:dyDescent="0.3">
      <c r="A2"/>
      <c r="B2"/>
      <c r="C2" s="76" t="s">
        <v>124</v>
      </c>
      <c r="D2" s="76" t="s">
        <v>124</v>
      </c>
    </row>
    <row r="3" spans="1:13" x14ac:dyDescent="0.3">
      <c r="A3"/>
      <c r="B3" s="77" t="s">
        <v>125</v>
      </c>
      <c r="C3" s="76" t="s">
        <v>119</v>
      </c>
      <c r="D3" s="78" t="s">
        <v>120</v>
      </c>
      <c r="E3" s="70"/>
      <c r="M3" s="70"/>
    </row>
    <row r="4" spans="1:13" x14ac:dyDescent="0.3">
      <c r="A4"/>
      <c r="B4" s="41" t="s">
        <v>61</v>
      </c>
      <c r="C4" s="76">
        <v>1.6465250156540216E-2</v>
      </c>
      <c r="D4" s="78">
        <v>3.5990313013993261E-2</v>
      </c>
      <c r="E4" s="70"/>
    </row>
    <row r="5" spans="1:13" x14ac:dyDescent="0.3">
      <c r="A5"/>
      <c r="B5" s="41" t="s">
        <v>62</v>
      </c>
      <c r="C5" s="76">
        <v>1.5615221198574572E-2</v>
      </c>
      <c r="D5" s="78">
        <v>2.4287640268739003E-2</v>
      </c>
      <c r="E5" s="70"/>
    </row>
    <row r="6" spans="1:13" x14ac:dyDescent="0.3">
      <c r="A6"/>
      <c r="B6" s="41" t="s">
        <v>63</v>
      </c>
      <c r="C6" s="76">
        <v>3.195266160252231E-2</v>
      </c>
      <c r="D6" s="78">
        <v>2.6990658283985388E-2</v>
      </c>
      <c r="E6" s="70"/>
    </row>
    <row r="7" spans="1:13" x14ac:dyDescent="0.3">
      <c r="A7"/>
      <c r="B7" s="41" t="s">
        <v>64</v>
      </c>
      <c r="C7" s="76">
        <v>1.9699867662153519E-2</v>
      </c>
      <c r="D7" s="78">
        <v>1.3066379160471426E-2</v>
      </c>
      <c r="E7" s="70"/>
    </row>
    <row r="8" spans="1:13" x14ac:dyDescent="0.3">
      <c r="A8"/>
      <c r="B8" s="41" t="s">
        <v>65</v>
      </c>
      <c r="C8" s="76">
        <v>1.9512302850000194E-2</v>
      </c>
      <c r="D8" s="78">
        <v>1.2024674308902259E-2</v>
      </c>
      <c r="E8" s="70"/>
    </row>
    <row r="9" spans="1:13" x14ac:dyDescent="0.3">
      <c r="A9"/>
      <c r="B9" s="41" t="s">
        <v>66</v>
      </c>
      <c r="C9" s="76">
        <v>1.782356260884985E-2</v>
      </c>
      <c r="D9" s="78">
        <v>2.9745043736646361E-2</v>
      </c>
      <c r="E9" s="70"/>
    </row>
    <row r="10" spans="1:13" x14ac:dyDescent="0.3">
      <c r="A10"/>
      <c r="B10" s="41" t="s">
        <v>67</v>
      </c>
      <c r="C10" s="76">
        <v>2.508906394952868E-2</v>
      </c>
      <c r="D10" s="78">
        <v>2.4222517026481549E-2</v>
      </c>
      <c r="E10" s="70"/>
    </row>
    <row r="11" spans="1:13" x14ac:dyDescent="0.3">
      <c r="A11"/>
      <c r="B11" s="41" t="s">
        <v>68</v>
      </c>
      <c r="C11" s="76">
        <v>2.4045854892342022E-2</v>
      </c>
      <c r="D11" s="78">
        <v>4.1038431317052267E-2</v>
      </c>
      <c r="E11" s="70"/>
    </row>
    <row r="12" spans="1:13" x14ac:dyDescent="0.3">
      <c r="C12" s="72"/>
      <c r="D12" s="55"/>
      <c r="E12" s="70"/>
    </row>
    <row r="13" spans="1:13" x14ac:dyDescent="0.3">
      <c r="B13" s="134" t="s">
        <v>124</v>
      </c>
      <c r="C13" s="134"/>
    </row>
    <row r="14" spans="1:13" x14ac:dyDescent="0.3">
      <c r="B14" s="71" t="s">
        <v>127</v>
      </c>
      <c r="C14" s="73">
        <v>12000</v>
      </c>
    </row>
    <row r="15" spans="1:13" ht="28.8" x14ac:dyDescent="0.3">
      <c r="B15" s="74" t="s">
        <v>128</v>
      </c>
      <c r="C15" s="73">
        <v>13800</v>
      </c>
    </row>
    <row r="16" spans="1:13" x14ac:dyDescent="0.3">
      <c r="B16" s="71" t="s">
        <v>124</v>
      </c>
      <c r="C16" s="75">
        <f>(($C$15/$C$14)^(1/('Inputs &amp; Outputs'!$C$12-2021)))-1</f>
        <v>3.5558076341622114E-2</v>
      </c>
    </row>
  </sheetData>
  <sheetProtection algorithmName="SHA-512" hashValue="XhZHLYaCGYT/MGI3jffCAlsqOsNu518LiBiHcULXjSCarbV2EUj+84Y5PT8eKBEYb3yPmOQl1+F2GOeV0A/qLg==" saltValue="adD1MzAPTbyJ1VdS1HBowA==" spinCount="100000" sheet="1" objects="1" scenarios="1"/>
  <mergeCells count="1">
    <mergeCell ref="B13:C1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pageSetUpPr fitToPage="1"/>
  </sheetPr>
  <dimension ref="A3:J53"/>
  <sheetViews>
    <sheetView zoomScale="85" zoomScaleNormal="85" workbookViewId="0">
      <selection activeCell="H1" sqref="H1:H1048576"/>
    </sheetView>
  </sheetViews>
  <sheetFormatPr defaultRowHeight="14.4" x14ac:dyDescent="0.3"/>
  <cols>
    <col min="1" max="1" width="38.88671875" customWidth="1"/>
    <col min="2" max="2" width="12.5546875" customWidth="1"/>
    <col min="3" max="3" width="5.33203125" customWidth="1"/>
    <col min="4" max="4" width="33.5546875" bestFit="1" customWidth="1"/>
    <col min="5" max="5" width="13.33203125" customWidth="1"/>
    <col min="6" max="6" width="4.5546875" customWidth="1"/>
    <col min="8" max="8" width="2.109375" hidden="1" customWidth="1"/>
    <col min="9" max="9" width="18.6640625" bestFit="1" customWidth="1"/>
    <col min="10" max="10" width="38.33203125" bestFit="1" customWidth="1"/>
  </cols>
  <sheetData>
    <row r="3" spans="1:10" x14ac:dyDescent="0.3">
      <c r="A3" s="5" t="s">
        <v>0</v>
      </c>
      <c r="D3" s="5" t="s">
        <v>18</v>
      </c>
      <c r="E3" s="6" t="s">
        <v>9</v>
      </c>
      <c r="G3" s="12" t="s">
        <v>13</v>
      </c>
      <c r="H3" s="12"/>
      <c r="I3" s="12" t="s">
        <v>19</v>
      </c>
      <c r="J3" s="12" t="s">
        <v>43</v>
      </c>
    </row>
    <row r="4" spans="1:10" x14ac:dyDescent="0.3">
      <c r="A4" s="3" t="s">
        <v>5</v>
      </c>
      <c r="B4" s="4"/>
      <c r="D4" s="3" t="s">
        <v>40</v>
      </c>
      <c r="E4" s="4">
        <v>2015</v>
      </c>
      <c r="G4" s="10">
        <f>E4</f>
        <v>2015</v>
      </c>
      <c r="H4" s="10">
        <f>IF(G4&lt;2041,1,0)</f>
        <v>1</v>
      </c>
      <c r="I4" s="19">
        <f>IF($G4&lt;($G$4+$E$5),$E$17,0)*H4</f>
        <v>0</v>
      </c>
      <c r="J4" s="26" t="e">
        <f>I4*$B$18*$B$19/10^3</f>
        <v>#REF!</v>
      </c>
    </row>
    <row r="5" spans="1:10" x14ac:dyDescent="0.3">
      <c r="A5" s="3" t="s">
        <v>6</v>
      </c>
      <c r="B5" s="4"/>
      <c r="D5" s="3" t="s">
        <v>30</v>
      </c>
      <c r="E5" s="7">
        <v>10</v>
      </c>
      <c r="G5" s="11">
        <f t="shared" ref="G5:G29" si="0">G4+1</f>
        <v>2016</v>
      </c>
      <c r="H5" s="11">
        <f t="shared" ref="H5:H29" si="1">IF(G5&lt;2041,1,0)</f>
        <v>1</v>
      </c>
      <c r="I5" s="19">
        <f t="shared" ref="I5:I29" si="2">IF($G5&lt;($G$4+$E$5),$E$17,0)*H5</f>
        <v>0</v>
      </c>
      <c r="J5" s="33" t="e">
        <f t="shared" ref="J5:J24" si="3">I5*$B$18*$B$19/10^3</f>
        <v>#REF!</v>
      </c>
    </row>
    <row r="6" spans="1:10" x14ac:dyDescent="0.3">
      <c r="A6" s="3" t="s">
        <v>7</v>
      </c>
      <c r="B6" s="4">
        <v>1</v>
      </c>
      <c r="D6" s="131" t="s">
        <v>28</v>
      </c>
      <c r="E6" s="132"/>
      <c r="G6" s="10">
        <f t="shared" si="0"/>
        <v>2017</v>
      </c>
      <c r="H6" s="10">
        <f t="shared" si="1"/>
        <v>1</v>
      </c>
      <c r="I6" s="19">
        <f t="shared" si="2"/>
        <v>0</v>
      </c>
      <c r="J6" s="26" t="e">
        <f t="shared" si="3"/>
        <v>#REF!</v>
      </c>
    </row>
    <row r="7" spans="1:10" x14ac:dyDescent="0.3">
      <c r="A7" s="3" t="s">
        <v>41</v>
      </c>
      <c r="B7" s="20"/>
      <c r="D7" s="3" t="s">
        <v>38</v>
      </c>
      <c r="E7" s="7"/>
      <c r="G7" s="11">
        <f t="shared" si="0"/>
        <v>2018</v>
      </c>
      <c r="H7" s="11">
        <f t="shared" si="1"/>
        <v>1</v>
      </c>
      <c r="I7" s="19">
        <f t="shared" si="2"/>
        <v>0</v>
      </c>
      <c r="J7" s="33" t="e">
        <f t="shared" si="3"/>
        <v>#REF!</v>
      </c>
    </row>
    <row r="8" spans="1:10" x14ac:dyDescent="0.3">
      <c r="A8" s="3" t="s">
        <v>42</v>
      </c>
      <c r="B8" s="20"/>
      <c r="D8" s="3" t="s">
        <v>36</v>
      </c>
      <c r="E8" s="36">
        <v>1.1499999999999999</v>
      </c>
      <c r="G8" s="10">
        <f t="shared" si="0"/>
        <v>2019</v>
      </c>
      <c r="H8" s="10">
        <f t="shared" si="1"/>
        <v>1</v>
      </c>
      <c r="I8" s="19">
        <f t="shared" si="2"/>
        <v>0</v>
      </c>
      <c r="J8" s="26" t="e">
        <f t="shared" si="3"/>
        <v>#REF!</v>
      </c>
    </row>
    <row r="9" spans="1:10" x14ac:dyDescent="0.3">
      <c r="G9" s="11">
        <f t="shared" si="0"/>
        <v>2020</v>
      </c>
      <c r="H9" s="11">
        <f t="shared" si="1"/>
        <v>1</v>
      </c>
      <c r="I9" s="19">
        <f t="shared" si="2"/>
        <v>0</v>
      </c>
      <c r="J9" s="33" t="e">
        <f t="shared" si="3"/>
        <v>#REF!</v>
      </c>
    </row>
    <row r="10" spans="1:10" x14ac:dyDescent="0.3">
      <c r="A10" s="9" t="s">
        <v>17</v>
      </c>
      <c r="G10" s="10">
        <f t="shared" si="0"/>
        <v>2021</v>
      </c>
      <c r="H10" s="10">
        <f t="shared" si="1"/>
        <v>1</v>
      </c>
      <c r="I10" s="19">
        <f t="shared" si="2"/>
        <v>0</v>
      </c>
      <c r="J10" s="26" t="e">
        <f t="shared" si="3"/>
        <v>#REF!</v>
      </c>
    </row>
    <row r="11" spans="1:10" x14ac:dyDescent="0.3">
      <c r="A11" s="8" t="s">
        <v>39</v>
      </c>
      <c r="B11" s="34" t="e">
        <f>NPV($B$17,J4:J29)/(1+$B$17)^(E4-B16+1)</f>
        <v>#REF!</v>
      </c>
      <c r="G11" s="11">
        <f t="shared" si="0"/>
        <v>2022</v>
      </c>
      <c r="H11" s="11">
        <f t="shared" si="1"/>
        <v>1</v>
      </c>
      <c r="I11" s="19">
        <f t="shared" si="2"/>
        <v>0</v>
      </c>
      <c r="J11" s="33" t="e">
        <f t="shared" si="3"/>
        <v>#REF!</v>
      </c>
    </row>
    <row r="12" spans="1:10" x14ac:dyDescent="0.3">
      <c r="A12" s="8" t="s">
        <v>16</v>
      </c>
      <c r="B12" s="32" t="e">
        <f>B11/B7</f>
        <v>#REF!</v>
      </c>
      <c r="G12" s="10">
        <f t="shared" si="0"/>
        <v>2023</v>
      </c>
      <c r="H12" s="10">
        <f t="shared" si="1"/>
        <v>1</v>
      </c>
      <c r="I12" s="19">
        <f t="shared" si="2"/>
        <v>0</v>
      </c>
      <c r="J12" s="26" t="e">
        <f t="shared" si="3"/>
        <v>#REF!</v>
      </c>
    </row>
    <row r="13" spans="1:10" x14ac:dyDescent="0.3">
      <c r="G13" s="11">
        <f t="shared" si="0"/>
        <v>2024</v>
      </c>
      <c r="H13" s="11">
        <f t="shared" si="1"/>
        <v>1</v>
      </c>
      <c r="I13" s="19">
        <f t="shared" si="2"/>
        <v>0</v>
      </c>
      <c r="J13" s="33" t="e">
        <f t="shared" si="3"/>
        <v>#REF!</v>
      </c>
    </row>
    <row r="14" spans="1:10" x14ac:dyDescent="0.3">
      <c r="G14" s="10">
        <f>G13+1</f>
        <v>2025</v>
      </c>
      <c r="H14" s="10">
        <f t="shared" si="1"/>
        <v>1</v>
      </c>
      <c r="I14" s="19">
        <f t="shared" si="2"/>
        <v>0</v>
      </c>
      <c r="J14" s="26" t="e">
        <f t="shared" si="3"/>
        <v>#REF!</v>
      </c>
    </row>
    <row r="15" spans="1:10" x14ac:dyDescent="0.3">
      <c r="A15" s="13" t="s">
        <v>1</v>
      </c>
      <c r="G15" s="11">
        <f t="shared" si="0"/>
        <v>2026</v>
      </c>
      <c r="H15" s="11">
        <f t="shared" si="1"/>
        <v>1</v>
      </c>
      <c r="I15" s="19">
        <f t="shared" si="2"/>
        <v>0</v>
      </c>
      <c r="J15" s="33" t="e">
        <f t="shared" si="3"/>
        <v>#REF!</v>
      </c>
    </row>
    <row r="16" spans="1:10" x14ac:dyDescent="0.3">
      <c r="A16" s="14" t="s">
        <v>2</v>
      </c>
      <c r="B16" s="14">
        <f>'Assumed Values'!C5</f>
        <v>2021</v>
      </c>
      <c r="D16" s="13" t="s">
        <v>14</v>
      </c>
      <c r="E16" s="21" t="s">
        <v>9</v>
      </c>
      <c r="G16" s="10">
        <f t="shared" si="0"/>
        <v>2027</v>
      </c>
      <c r="H16" s="10">
        <f t="shared" si="1"/>
        <v>1</v>
      </c>
      <c r="I16" s="19">
        <f t="shared" si="2"/>
        <v>0</v>
      </c>
      <c r="J16" s="26" t="e">
        <f t="shared" si="3"/>
        <v>#REF!</v>
      </c>
    </row>
    <row r="17" spans="1:10" x14ac:dyDescent="0.3">
      <c r="A17" s="14" t="s">
        <v>3</v>
      </c>
      <c r="B17" s="15">
        <f>'Assumed Values'!C6</f>
        <v>3.1E-2</v>
      </c>
      <c r="D17" s="17" t="s">
        <v>37</v>
      </c>
      <c r="E17" s="18">
        <f>E7/E8</f>
        <v>0</v>
      </c>
      <c r="G17" s="11">
        <f t="shared" si="0"/>
        <v>2028</v>
      </c>
      <c r="H17" s="11">
        <f t="shared" si="1"/>
        <v>1</v>
      </c>
      <c r="I17" s="19">
        <f t="shared" si="2"/>
        <v>0</v>
      </c>
      <c r="J17" s="33" t="e">
        <f t="shared" si="3"/>
        <v>#REF!</v>
      </c>
    </row>
    <row r="18" spans="1:10" x14ac:dyDescent="0.3">
      <c r="A18" s="14" t="s">
        <v>4</v>
      </c>
      <c r="B18" s="14">
        <f>IF(B6=2,2.1, 1.1)</f>
        <v>1.1000000000000001</v>
      </c>
      <c r="G18" s="10">
        <f t="shared" si="0"/>
        <v>2029</v>
      </c>
      <c r="H18" s="10">
        <f t="shared" si="1"/>
        <v>1</v>
      </c>
      <c r="I18" s="19">
        <f t="shared" si="2"/>
        <v>0</v>
      </c>
      <c r="J18" s="26" t="e">
        <f t="shared" si="3"/>
        <v>#REF!</v>
      </c>
    </row>
    <row r="19" spans="1:10" x14ac:dyDescent="0.3">
      <c r="A19" s="14" t="s">
        <v>8</v>
      </c>
      <c r="B19" s="16" t="e">
        <f>'Assumed Values'!#REF!</f>
        <v>#REF!</v>
      </c>
      <c r="G19" s="11">
        <f t="shared" si="0"/>
        <v>2030</v>
      </c>
      <c r="H19" s="11">
        <f t="shared" si="1"/>
        <v>1</v>
      </c>
      <c r="I19" s="19">
        <f t="shared" si="2"/>
        <v>0</v>
      </c>
      <c r="J19" s="33" t="e">
        <f t="shared" si="3"/>
        <v>#REF!</v>
      </c>
    </row>
    <row r="20" spans="1:10" x14ac:dyDescent="0.3">
      <c r="A20" s="14" t="s">
        <v>15</v>
      </c>
      <c r="B20" s="14">
        <v>260</v>
      </c>
      <c r="G20" s="10">
        <f t="shared" si="0"/>
        <v>2031</v>
      </c>
      <c r="H20" s="10">
        <f t="shared" si="1"/>
        <v>1</v>
      </c>
      <c r="I20" s="19">
        <f t="shared" si="2"/>
        <v>0</v>
      </c>
      <c r="J20" s="26" t="e">
        <f t="shared" si="3"/>
        <v>#REF!</v>
      </c>
    </row>
    <row r="21" spans="1:10" x14ac:dyDescent="0.3">
      <c r="G21" s="11">
        <f t="shared" si="0"/>
        <v>2032</v>
      </c>
      <c r="H21" s="11">
        <f t="shared" si="1"/>
        <v>1</v>
      </c>
      <c r="I21" s="19">
        <f t="shared" si="2"/>
        <v>0</v>
      </c>
      <c r="J21" s="33" t="e">
        <f t="shared" si="3"/>
        <v>#REF!</v>
      </c>
    </row>
    <row r="22" spans="1:10" x14ac:dyDescent="0.3">
      <c r="G22" s="10">
        <f t="shared" si="0"/>
        <v>2033</v>
      </c>
      <c r="H22" s="10">
        <f t="shared" si="1"/>
        <v>1</v>
      </c>
      <c r="I22" s="19">
        <f t="shared" si="2"/>
        <v>0</v>
      </c>
      <c r="J22" s="26" t="e">
        <f t="shared" si="3"/>
        <v>#REF!</v>
      </c>
    </row>
    <row r="23" spans="1:10" x14ac:dyDescent="0.3">
      <c r="G23" s="11">
        <f t="shared" si="0"/>
        <v>2034</v>
      </c>
      <c r="H23" s="11">
        <f t="shared" si="1"/>
        <v>1</v>
      </c>
      <c r="I23" s="19">
        <f t="shared" si="2"/>
        <v>0</v>
      </c>
      <c r="J23" s="33" t="e">
        <f t="shared" si="3"/>
        <v>#REF!</v>
      </c>
    </row>
    <row r="24" spans="1:10" x14ac:dyDescent="0.3">
      <c r="G24" s="10">
        <f t="shared" si="0"/>
        <v>2035</v>
      </c>
      <c r="H24" s="10">
        <f t="shared" si="1"/>
        <v>1</v>
      </c>
      <c r="I24" s="19">
        <f t="shared" si="2"/>
        <v>0</v>
      </c>
      <c r="J24" s="26" t="e">
        <f t="shared" si="3"/>
        <v>#REF!</v>
      </c>
    </row>
    <row r="25" spans="1:10" x14ac:dyDescent="0.3">
      <c r="G25" s="11">
        <f t="shared" si="0"/>
        <v>2036</v>
      </c>
      <c r="H25" s="11">
        <f t="shared" si="1"/>
        <v>1</v>
      </c>
      <c r="I25" s="19">
        <f t="shared" si="2"/>
        <v>0</v>
      </c>
      <c r="J25" s="33" t="e">
        <f t="shared" ref="J25:J29" si="4">I25*$B$18*$B$19/10^3</f>
        <v>#REF!</v>
      </c>
    </row>
    <row r="26" spans="1:10" x14ac:dyDescent="0.3">
      <c r="G26" s="10">
        <f t="shared" si="0"/>
        <v>2037</v>
      </c>
      <c r="H26" s="10">
        <f t="shared" si="1"/>
        <v>1</v>
      </c>
      <c r="I26" s="19">
        <f t="shared" si="2"/>
        <v>0</v>
      </c>
      <c r="J26" s="26" t="e">
        <f t="shared" si="4"/>
        <v>#REF!</v>
      </c>
    </row>
    <row r="27" spans="1:10" x14ac:dyDescent="0.3">
      <c r="G27" s="11">
        <f t="shared" si="0"/>
        <v>2038</v>
      </c>
      <c r="H27" s="11">
        <f t="shared" si="1"/>
        <v>1</v>
      </c>
      <c r="I27" s="19">
        <f t="shared" si="2"/>
        <v>0</v>
      </c>
      <c r="J27" s="33" t="e">
        <f t="shared" si="4"/>
        <v>#REF!</v>
      </c>
    </row>
    <row r="28" spans="1:10" x14ac:dyDescent="0.3">
      <c r="G28" s="10">
        <f t="shared" si="0"/>
        <v>2039</v>
      </c>
      <c r="H28" s="10">
        <f t="shared" si="1"/>
        <v>1</v>
      </c>
      <c r="I28" s="19">
        <f t="shared" si="2"/>
        <v>0</v>
      </c>
      <c r="J28" s="26" t="e">
        <f t="shared" si="4"/>
        <v>#REF!</v>
      </c>
    </row>
    <row r="29" spans="1:10" x14ac:dyDescent="0.3">
      <c r="A29" s="22"/>
      <c r="G29" s="11">
        <f t="shared" si="0"/>
        <v>2040</v>
      </c>
      <c r="H29" s="11">
        <f t="shared" si="1"/>
        <v>1</v>
      </c>
      <c r="I29" s="19">
        <f t="shared" si="2"/>
        <v>0</v>
      </c>
      <c r="J29" s="33" t="e">
        <f t="shared" si="4"/>
        <v>#REF!</v>
      </c>
    </row>
    <row r="51" spans="1:1" x14ac:dyDescent="0.3">
      <c r="A51" t="s">
        <v>10</v>
      </c>
    </row>
    <row r="52" spans="1:1" x14ac:dyDescent="0.3">
      <c r="A52" t="s">
        <v>12</v>
      </c>
    </row>
    <row r="53" spans="1:1" x14ac:dyDescent="0.3">
      <c r="A53" t="s">
        <v>11</v>
      </c>
    </row>
  </sheetData>
  <mergeCells count="1">
    <mergeCell ref="D6:E6"/>
  </mergeCells>
  <pageMargins left="0.25" right="0.25" top="0.75" bottom="0.75" header="0.3" footer="0.3"/>
  <pageSetup paperSize="17"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Drop Down 1">
              <controlPr defaultSize="0" autoLine="0" autoPict="0">
                <anchor moveWithCells="1">
                  <from>
                    <xdr:col>1</xdr:col>
                    <xdr:colOff>0</xdr:colOff>
                    <xdr:row>5</xdr:row>
                    <xdr:rowOff>0</xdr:rowOff>
                  </from>
                  <to>
                    <xdr:col>2</xdr:col>
                    <xdr:colOff>0</xdr:colOff>
                    <xdr:row>6</xdr:row>
                    <xdr:rowOff>7620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pageSetUpPr fitToPage="1"/>
  </sheetPr>
  <dimension ref="A3:K55"/>
  <sheetViews>
    <sheetView zoomScale="85" zoomScaleNormal="85" workbookViewId="0">
      <selection activeCell="H1" sqref="H1:H1048576"/>
    </sheetView>
  </sheetViews>
  <sheetFormatPr defaultRowHeight="14.4" x14ac:dyDescent="0.3"/>
  <cols>
    <col min="1" max="1" width="54.33203125" customWidth="1"/>
    <col min="2" max="2" width="12.5546875" customWidth="1"/>
    <col min="3" max="3" width="5.33203125" customWidth="1"/>
    <col min="4" max="4" width="37.44140625" bestFit="1" customWidth="1"/>
    <col min="5" max="5" width="13.33203125" customWidth="1"/>
    <col min="6" max="6" width="4.5546875" customWidth="1"/>
    <col min="8" max="8" width="26.44140625" bestFit="1" customWidth="1"/>
    <col min="9" max="9" width="34.5546875" bestFit="1" customWidth="1"/>
    <col min="10" max="10" width="24.109375" bestFit="1" customWidth="1"/>
    <col min="11" max="11" width="33.44140625" bestFit="1" customWidth="1"/>
  </cols>
  <sheetData>
    <row r="3" spans="1:11" x14ac:dyDescent="0.3">
      <c r="A3" s="5" t="s">
        <v>0</v>
      </c>
      <c r="D3" s="5" t="s">
        <v>26</v>
      </c>
      <c r="E3" s="6" t="s">
        <v>9</v>
      </c>
      <c r="G3" s="12" t="s">
        <v>13</v>
      </c>
      <c r="H3" s="12" t="s">
        <v>35</v>
      </c>
      <c r="I3" s="12" t="s">
        <v>44</v>
      </c>
      <c r="J3" s="12" t="s">
        <v>34</v>
      </c>
      <c r="K3" s="12" t="s">
        <v>45</v>
      </c>
    </row>
    <row r="4" spans="1:11" x14ac:dyDescent="0.3">
      <c r="A4" s="3" t="s">
        <v>5</v>
      </c>
      <c r="B4" s="4"/>
      <c r="D4" s="3" t="s">
        <v>40</v>
      </c>
      <c r="E4" s="4">
        <v>2015</v>
      </c>
      <c r="G4" s="10">
        <f>E4</f>
        <v>2015</v>
      </c>
      <c r="H4" s="29" t="e">
        <f t="shared" ref="H4:H24" si="0">IF($G4&lt;($G$4+$E$5),$E$17,0)</f>
        <v>#REF!</v>
      </c>
      <c r="I4" s="28" t="e">
        <f>H4*$B$20/10^3</f>
        <v>#REF!</v>
      </c>
      <c r="J4" s="29" t="e">
        <f t="shared" ref="J4:J24" si="1">IF($G4&lt;($G$4+$E$5),$E$18,0)</f>
        <v>#REF!</v>
      </c>
      <c r="K4" s="28" t="e">
        <f>J4*$B$21/10^3</f>
        <v>#REF!</v>
      </c>
    </row>
    <row r="5" spans="1:11" x14ac:dyDescent="0.3">
      <c r="A5" s="3" t="s">
        <v>6</v>
      </c>
      <c r="B5" s="4"/>
      <c r="D5" s="3" t="s">
        <v>30</v>
      </c>
      <c r="E5" s="7">
        <v>10</v>
      </c>
      <c r="G5" s="11">
        <f t="shared" ref="G5:G29" si="2">G4+1</f>
        <v>2016</v>
      </c>
      <c r="H5" s="29" t="e">
        <f t="shared" si="0"/>
        <v>#REF!</v>
      </c>
      <c r="I5" s="30" t="e">
        <f t="shared" ref="I5:I24" si="3">H5*$B$20/10^3</f>
        <v>#REF!</v>
      </c>
      <c r="J5" s="29" t="e">
        <f t="shared" si="1"/>
        <v>#REF!</v>
      </c>
      <c r="K5" s="30" t="e">
        <f t="shared" ref="K5:K24" si="4">J5*$B$21/10^3</f>
        <v>#REF!</v>
      </c>
    </row>
    <row r="6" spans="1:11" x14ac:dyDescent="0.3">
      <c r="A6" s="3" t="s">
        <v>31</v>
      </c>
      <c r="B6" s="4">
        <v>2</v>
      </c>
      <c r="D6" s="131" t="s">
        <v>28</v>
      </c>
      <c r="E6" s="132"/>
      <c r="G6" s="10">
        <f t="shared" si="2"/>
        <v>2017</v>
      </c>
      <c r="H6" s="29" t="e">
        <f t="shared" si="0"/>
        <v>#REF!</v>
      </c>
      <c r="I6" s="28" t="e">
        <f t="shared" si="3"/>
        <v>#REF!</v>
      </c>
      <c r="J6" s="29" t="e">
        <f t="shared" si="1"/>
        <v>#REF!</v>
      </c>
      <c r="K6" s="28" t="e">
        <f t="shared" si="4"/>
        <v>#REF!</v>
      </c>
    </row>
    <row r="7" spans="1:11" x14ac:dyDescent="0.3">
      <c r="A7" s="3" t="s">
        <v>41</v>
      </c>
      <c r="B7" s="20"/>
      <c r="D7" s="3" t="s">
        <v>27</v>
      </c>
      <c r="E7" s="7"/>
      <c r="G7" s="11">
        <f t="shared" si="2"/>
        <v>2018</v>
      </c>
      <c r="H7" s="29" t="e">
        <f t="shared" si="0"/>
        <v>#REF!</v>
      </c>
      <c r="I7" s="30" t="e">
        <f t="shared" si="3"/>
        <v>#REF!</v>
      </c>
      <c r="J7" s="29" t="e">
        <f t="shared" si="1"/>
        <v>#REF!</v>
      </c>
      <c r="K7" s="30" t="e">
        <f t="shared" si="4"/>
        <v>#REF!</v>
      </c>
    </row>
    <row r="8" spans="1:11" x14ac:dyDescent="0.3">
      <c r="A8" s="3" t="s">
        <v>42</v>
      </c>
      <c r="B8" s="20"/>
      <c r="D8" s="131" t="s">
        <v>29</v>
      </c>
      <c r="E8" s="132"/>
      <c r="G8" s="10">
        <f t="shared" si="2"/>
        <v>2019</v>
      </c>
      <c r="H8" s="29" t="e">
        <f t="shared" si="0"/>
        <v>#REF!</v>
      </c>
      <c r="I8" s="28" t="e">
        <f t="shared" si="3"/>
        <v>#REF!</v>
      </c>
      <c r="J8" s="29" t="e">
        <f t="shared" si="1"/>
        <v>#REF!</v>
      </c>
      <c r="K8" s="28" t="e">
        <f t="shared" si="4"/>
        <v>#REF!</v>
      </c>
    </row>
    <row r="9" spans="1:11" x14ac:dyDescent="0.3">
      <c r="D9" s="3" t="s">
        <v>32</v>
      </c>
      <c r="E9" s="7"/>
      <c r="G9" s="11">
        <f t="shared" si="2"/>
        <v>2020</v>
      </c>
      <c r="H9" s="29" t="e">
        <f t="shared" si="0"/>
        <v>#REF!</v>
      </c>
      <c r="I9" s="30" t="e">
        <f t="shared" si="3"/>
        <v>#REF!</v>
      </c>
      <c r="J9" s="29" t="e">
        <f t="shared" si="1"/>
        <v>#REF!</v>
      </c>
      <c r="K9" s="30" t="e">
        <f t="shared" si="4"/>
        <v>#REF!</v>
      </c>
    </row>
    <row r="10" spans="1:11" x14ac:dyDescent="0.3">
      <c r="A10" s="9" t="s">
        <v>17</v>
      </c>
      <c r="D10" s="3" t="s">
        <v>33</v>
      </c>
      <c r="E10" s="7"/>
      <c r="G10" s="10">
        <f t="shared" si="2"/>
        <v>2021</v>
      </c>
      <c r="H10" s="29" t="e">
        <f t="shared" si="0"/>
        <v>#REF!</v>
      </c>
      <c r="I10" s="28" t="e">
        <f t="shared" si="3"/>
        <v>#REF!</v>
      </c>
      <c r="J10" s="29" t="e">
        <f t="shared" si="1"/>
        <v>#REF!</v>
      </c>
      <c r="K10" s="28" t="e">
        <f t="shared" si="4"/>
        <v>#REF!</v>
      </c>
    </row>
    <row r="11" spans="1:11" x14ac:dyDescent="0.3">
      <c r="A11" s="8" t="s">
        <v>46</v>
      </c>
      <c r="B11" s="31" t="e">
        <f>(NPV($B$17,K4:K24)+NPV($B$17,I4:I24))/(1+$B$17)^2</f>
        <v>#REF!</v>
      </c>
      <c r="G11" s="11">
        <f t="shared" si="2"/>
        <v>2022</v>
      </c>
      <c r="H11" s="29" t="e">
        <f t="shared" si="0"/>
        <v>#REF!</v>
      </c>
      <c r="I11" s="30" t="e">
        <f t="shared" si="3"/>
        <v>#REF!</v>
      </c>
      <c r="J11" s="29" t="e">
        <f t="shared" si="1"/>
        <v>#REF!</v>
      </c>
      <c r="K11" s="30" t="e">
        <f t="shared" si="4"/>
        <v>#REF!</v>
      </c>
    </row>
    <row r="12" spans="1:11" x14ac:dyDescent="0.3">
      <c r="A12" s="8" t="s">
        <v>16</v>
      </c>
      <c r="B12" s="32" t="e">
        <f>B11/B7</f>
        <v>#REF!</v>
      </c>
      <c r="G12" s="10">
        <f t="shared" si="2"/>
        <v>2023</v>
      </c>
      <c r="H12" s="29" t="e">
        <f t="shared" si="0"/>
        <v>#REF!</v>
      </c>
      <c r="I12" s="28" t="e">
        <f t="shared" si="3"/>
        <v>#REF!</v>
      </c>
      <c r="J12" s="29" t="e">
        <f t="shared" si="1"/>
        <v>#REF!</v>
      </c>
      <c r="K12" s="28" t="e">
        <f t="shared" si="4"/>
        <v>#REF!</v>
      </c>
    </row>
    <row r="13" spans="1:11" x14ac:dyDescent="0.3">
      <c r="A13" s="8" t="s">
        <v>47</v>
      </c>
      <c r="B13" s="31" t="e">
        <f>B7*(B17/(1-(1+B17)^(-E5))/(SUM(H4:H29)+SUM(J4:J29)))</f>
        <v>#REF!</v>
      </c>
      <c r="G13" s="11">
        <f t="shared" si="2"/>
        <v>2024</v>
      </c>
      <c r="H13" s="29" t="e">
        <f t="shared" si="0"/>
        <v>#REF!</v>
      </c>
      <c r="I13" s="30" t="e">
        <f t="shared" si="3"/>
        <v>#REF!</v>
      </c>
      <c r="J13" s="29" t="e">
        <f t="shared" si="1"/>
        <v>#REF!</v>
      </c>
      <c r="K13" s="30" t="e">
        <f t="shared" si="4"/>
        <v>#REF!</v>
      </c>
    </row>
    <row r="14" spans="1:11" x14ac:dyDescent="0.3">
      <c r="G14" s="10">
        <f>G13+1</f>
        <v>2025</v>
      </c>
      <c r="H14" s="29">
        <f t="shared" si="0"/>
        <v>0</v>
      </c>
      <c r="I14" s="28" t="e">
        <f t="shared" si="3"/>
        <v>#REF!</v>
      </c>
      <c r="J14" s="29">
        <f t="shared" si="1"/>
        <v>0</v>
      </c>
      <c r="K14" s="28" t="e">
        <f t="shared" si="4"/>
        <v>#REF!</v>
      </c>
    </row>
    <row r="15" spans="1:11" x14ac:dyDescent="0.3">
      <c r="A15" s="13" t="s">
        <v>1</v>
      </c>
      <c r="G15" s="11">
        <f t="shared" si="2"/>
        <v>2026</v>
      </c>
      <c r="H15" s="29">
        <f t="shared" si="0"/>
        <v>0</v>
      </c>
      <c r="I15" s="30" t="e">
        <f t="shared" si="3"/>
        <v>#REF!</v>
      </c>
      <c r="J15" s="29">
        <f t="shared" si="1"/>
        <v>0</v>
      </c>
      <c r="K15" s="30" t="e">
        <f t="shared" si="4"/>
        <v>#REF!</v>
      </c>
    </row>
    <row r="16" spans="1:11" x14ac:dyDescent="0.3">
      <c r="A16" s="14" t="s">
        <v>2</v>
      </c>
      <c r="B16" s="14">
        <v>2015</v>
      </c>
      <c r="D16" s="13" t="s">
        <v>14</v>
      </c>
      <c r="E16" s="21" t="s">
        <v>9</v>
      </c>
      <c r="G16" s="10">
        <f t="shared" si="2"/>
        <v>2027</v>
      </c>
      <c r="H16" s="29">
        <f t="shared" si="0"/>
        <v>0</v>
      </c>
      <c r="I16" s="28" t="e">
        <f t="shared" si="3"/>
        <v>#REF!</v>
      </c>
      <c r="J16" s="29">
        <f t="shared" si="1"/>
        <v>0</v>
      </c>
      <c r="K16" s="28" t="e">
        <f t="shared" si="4"/>
        <v>#REF!</v>
      </c>
    </row>
    <row r="17" spans="1:11" x14ac:dyDescent="0.3">
      <c r="A17" s="14" t="s">
        <v>3</v>
      </c>
      <c r="B17" s="15">
        <v>7.0000000000000007E-2</v>
      </c>
      <c r="D17" s="17" t="s">
        <v>32</v>
      </c>
      <c r="E17" s="25" t="e">
        <f>IF(E9,E9,$E$7*B18*$B$22/10^6)</f>
        <v>#REF!</v>
      </c>
      <c r="G17" s="11">
        <f t="shared" si="2"/>
        <v>2028</v>
      </c>
      <c r="H17" s="29">
        <f t="shared" si="0"/>
        <v>0</v>
      </c>
      <c r="I17" s="30" t="e">
        <f t="shared" si="3"/>
        <v>#REF!</v>
      </c>
      <c r="J17" s="29">
        <f t="shared" si="1"/>
        <v>0</v>
      </c>
      <c r="K17" s="30" t="e">
        <f t="shared" si="4"/>
        <v>#REF!</v>
      </c>
    </row>
    <row r="18" spans="1:11" x14ac:dyDescent="0.3">
      <c r="A18" s="14" t="s">
        <v>24</v>
      </c>
      <c r="B18" s="35" t="e">
        <f>IF($B$6=2,'Assumed Values'!#REF!,0)</f>
        <v>#REF!</v>
      </c>
      <c r="D18" s="17" t="s">
        <v>33</v>
      </c>
      <c r="E18" s="25" t="e">
        <f>IF(E10,E10,$E$7*B19*$B$22/10^6)</f>
        <v>#REF!</v>
      </c>
      <c r="G18" s="10">
        <f t="shared" si="2"/>
        <v>2029</v>
      </c>
      <c r="H18" s="29">
        <f t="shared" si="0"/>
        <v>0</v>
      </c>
      <c r="I18" s="28" t="e">
        <f t="shared" si="3"/>
        <v>#REF!</v>
      </c>
      <c r="J18" s="29">
        <f t="shared" si="1"/>
        <v>0</v>
      </c>
      <c r="K18" s="28" t="e">
        <f t="shared" si="4"/>
        <v>#REF!</v>
      </c>
    </row>
    <row r="19" spans="1:11" x14ac:dyDescent="0.3">
      <c r="A19" s="14" t="s">
        <v>25</v>
      </c>
      <c r="B19" s="35" t="e">
        <f>IF($B$6=2,'Assumed Values'!#REF!,0)</f>
        <v>#REF!</v>
      </c>
      <c r="G19" s="11">
        <f t="shared" si="2"/>
        <v>2030</v>
      </c>
      <c r="H19" s="29">
        <f t="shared" si="0"/>
        <v>0</v>
      </c>
      <c r="I19" s="30" t="e">
        <f t="shared" si="3"/>
        <v>#REF!</v>
      </c>
      <c r="J19" s="29">
        <f t="shared" si="1"/>
        <v>0</v>
      </c>
      <c r="K19" s="30" t="e">
        <f t="shared" si="4"/>
        <v>#REF!</v>
      </c>
    </row>
    <row r="20" spans="1:11" x14ac:dyDescent="0.3">
      <c r="A20" s="14" t="s">
        <v>48</v>
      </c>
      <c r="B20" s="27" t="e">
        <f>'Assumed Values'!#REF!</f>
        <v>#REF!</v>
      </c>
      <c r="G20" s="10">
        <f t="shared" si="2"/>
        <v>2031</v>
      </c>
      <c r="H20" s="29">
        <f t="shared" si="0"/>
        <v>0</v>
      </c>
      <c r="I20" s="28" t="e">
        <f t="shared" si="3"/>
        <v>#REF!</v>
      </c>
      <c r="J20" s="29">
        <f t="shared" si="1"/>
        <v>0</v>
      </c>
      <c r="K20" s="28" t="e">
        <f t="shared" si="4"/>
        <v>#REF!</v>
      </c>
    </row>
    <row r="21" spans="1:11" x14ac:dyDescent="0.3">
      <c r="A21" s="14" t="s">
        <v>49</v>
      </c>
      <c r="B21" s="27" t="e">
        <f>'Assumed Values'!#REF!</f>
        <v>#REF!</v>
      </c>
      <c r="G21" s="11">
        <f t="shared" si="2"/>
        <v>2032</v>
      </c>
      <c r="H21" s="29">
        <f t="shared" si="0"/>
        <v>0</v>
      </c>
      <c r="I21" s="30" t="e">
        <f t="shared" si="3"/>
        <v>#REF!</v>
      </c>
      <c r="J21" s="29">
        <f t="shared" si="1"/>
        <v>0</v>
      </c>
      <c r="K21" s="30" t="e">
        <f t="shared" si="4"/>
        <v>#REF!</v>
      </c>
    </row>
    <row r="22" spans="1:11" x14ac:dyDescent="0.3">
      <c r="A22" s="14" t="s">
        <v>15</v>
      </c>
      <c r="B22" s="14">
        <v>260</v>
      </c>
      <c r="G22" s="10">
        <f t="shared" si="2"/>
        <v>2033</v>
      </c>
      <c r="H22" s="29">
        <f t="shared" si="0"/>
        <v>0</v>
      </c>
      <c r="I22" s="28" t="e">
        <f t="shared" si="3"/>
        <v>#REF!</v>
      </c>
      <c r="J22" s="29">
        <f t="shared" si="1"/>
        <v>0</v>
      </c>
      <c r="K22" s="28" t="e">
        <f t="shared" si="4"/>
        <v>#REF!</v>
      </c>
    </row>
    <row r="23" spans="1:11" x14ac:dyDescent="0.3">
      <c r="G23" s="11">
        <f t="shared" si="2"/>
        <v>2034</v>
      </c>
      <c r="H23" s="29">
        <f t="shared" si="0"/>
        <v>0</v>
      </c>
      <c r="I23" s="30" t="e">
        <f t="shared" si="3"/>
        <v>#REF!</v>
      </c>
      <c r="J23" s="29">
        <f t="shared" si="1"/>
        <v>0</v>
      </c>
      <c r="K23" s="30" t="e">
        <f t="shared" si="4"/>
        <v>#REF!</v>
      </c>
    </row>
    <row r="24" spans="1:11" x14ac:dyDescent="0.3">
      <c r="G24" s="10">
        <f t="shared" si="2"/>
        <v>2035</v>
      </c>
      <c r="H24" s="29">
        <f t="shared" si="0"/>
        <v>0</v>
      </c>
      <c r="I24" s="28" t="e">
        <f t="shared" si="3"/>
        <v>#REF!</v>
      </c>
      <c r="J24" s="29">
        <f t="shared" si="1"/>
        <v>0</v>
      </c>
      <c r="K24" s="28" t="e">
        <f t="shared" si="4"/>
        <v>#REF!</v>
      </c>
    </row>
    <row r="25" spans="1:11" x14ac:dyDescent="0.3">
      <c r="G25" s="11">
        <f t="shared" si="2"/>
        <v>2036</v>
      </c>
      <c r="H25" s="29">
        <f t="shared" ref="H25:H28" si="5">IF($G25&lt;($G$4+$E$5),$E$17,0)</f>
        <v>0</v>
      </c>
      <c r="I25" s="30" t="e">
        <f t="shared" ref="I25:I29" si="6">H25*$B$20/10^3</f>
        <v>#REF!</v>
      </c>
      <c r="J25" s="29">
        <f t="shared" ref="J25:J28" si="7">IF($G25&lt;($G$4+$E$5),$E$18,0)</f>
        <v>0</v>
      </c>
      <c r="K25" s="30" t="e">
        <f t="shared" ref="K25:K29" si="8">J25*$B$21/10^3</f>
        <v>#REF!</v>
      </c>
    </row>
    <row r="26" spans="1:11" x14ac:dyDescent="0.3">
      <c r="G26" s="10">
        <f t="shared" si="2"/>
        <v>2037</v>
      </c>
      <c r="H26" s="29">
        <f t="shared" si="5"/>
        <v>0</v>
      </c>
      <c r="I26" s="28" t="e">
        <f t="shared" si="6"/>
        <v>#REF!</v>
      </c>
      <c r="J26" s="29">
        <f t="shared" si="7"/>
        <v>0</v>
      </c>
      <c r="K26" s="28" t="e">
        <f t="shared" si="8"/>
        <v>#REF!</v>
      </c>
    </row>
    <row r="27" spans="1:11" x14ac:dyDescent="0.3">
      <c r="G27" s="11">
        <f t="shared" si="2"/>
        <v>2038</v>
      </c>
      <c r="H27" s="29">
        <f t="shared" si="5"/>
        <v>0</v>
      </c>
      <c r="I27" s="30" t="e">
        <f t="shared" si="6"/>
        <v>#REF!</v>
      </c>
      <c r="J27" s="29">
        <f t="shared" si="7"/>
        <v>0</v>
      </c>
      <c r="K27" s="30" t="e">
        <f t="shared" si="8"/>
        <v>#REF!</v>
      </c>
    </row>
    <row r="28" spans="1:11" x14ac:dyDescent="0.3">
      <c r="G28" s="10">
        <f t="shared" si="2"/>
        <v>2039</v>
      </c>
      <c r="H28" s="29">
        <f t="shared" si="5"/>
        <v>0</v>
      </c>
      <c r="I28" s="28" t="e">
        <f t="shared" si="6"/>
        <v>#REF!</v>
      </c>
      <c r="J28" s="29">
        <f t="shared" si="7"/>
        <v>0</v>
      </c>
      <c r="K28" s="28" t="e">
        <f t="shared" si="8"/>
        <v>#REF!</v>
      </c>
    </row>
    <row r="29" spans="1:11" x14ac:dyDescent="0.3">
      <c r="G29" s="11">
        <f t="shared" si="2"/>
        <v>2040</v>
      </c>
      <c r="H29" s="29">
        <f>IF($G29&lt;($G$4+$E$5),$E$17,0)</f>
        <v>0</v>
      </c>
      <c r="I29" s="30" t="e">
        <f t="shared" si="6"/>
        <v>#REF!</v>
      </c>
      <c r="J29" s="29">
        <f>IF($G29&lt;($G$4+$E$5),$E$18,0)</f>
        <v>0</v>
      </c>
      <c r="K29" s="30" t="e">
        <f t="shared" si="8"/>
        <v>#REF!</v>
      </c>
    </row>
    <row r="31" spans="1:11" x14ac:dyDescent="0.3">
      <c r="A31" s="22"/>
    </row>
    <row r="53" spans="1:1" x14ac:dyDescent="0.3">
      <c r="A53" t="s">
        <v>10</v>
      </c>
    </row>
    <row r="54" spans="1:1" x14ac:dyDescent="0.3">
      <c r="A54" t="s">
        <v>12</v>
      </c>
    </row>
    <row r="55" spans="1:1" x14ac:dyDescent="0.3">
      <c r="A55" t="s">
        <v>11</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Drop Down 1">
              <controlPr defaultSize="0" autoLine="0" autoPict="0">
                <anchor moveWithCells="1">
                  <from>
                    <xdr:col>1</xdr:col>
                    <xdr:colOff>0</xdr:colOff>
                    <xdr:row>5</xdr:row>
                    <xdr:rowOff>0</xdr:rowOff>
                  </from>
                  <to>
                    <xdr:col>2</xdr:col>
                    <xdr:colOff>0</xdr:colOff>
                    <xdr:row>6</xdr:row>
                    <xdr:rowOff>7620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pageSetUpPr fitToPage="1"/>
  </sheetPr>
  <dimension ref="B2:M40"/>
  <sheetViews>
    <sheetView zoomScaleNormal="100" workbookViewId="0">
      <selection activeCell="B32" sqref="B32"/>
    </sheetView>
  </sheetViews>
  <sheetFormatPr defaultColWidth="9.109375" defaultRowHeight="14.4" x14ac:dyDescent="0.3"/>
  <cols>
    <col min="1" max="1" width="9.109375" style="45"/>
    <col min="2" max="2" width="53.88671875" style="45" customWidth="1"/>
    <col min="3" max="3" width="12.88671875" style="38" customWidth="1"/>
    <col min="4" max="4" width="5.33203125" style="45" customWidth="1"/>
    <col min="5" max="5" width="5.44140625" style="45" customWidth="1"/>
    <col min="6" max="16384" width="9.109375" style="45"/>
  </cols>
  <sheetData>
    <row r="2" spans="2:6" ht="18" x14ac:dyDescent="0.35">
      <c r="B2" s="46" t="s">
        <v>52</v>
      </c>
      <c r="C2" s="62"/>
      <c r="D2" s="47"/>
    </row>
    <row r="4" spans="2:6" ht="30" customHeight="1" x14ac:dyDescent="0.3">
      <c r="B4" s="48" t="s">
        <v>0</v>
      </c>
    </row>
    <row r="5" spans="2:6" x14ac:dyDescent="0.3">
      <c r="B5" s="49" t="s">
        <v>5</v>
      </c>
      <c r="C5" s="49"/>
      <c r="E5" s="4"/>
      <c r="F5" s="45" t="s">
        <v>80</v>
      </c>
    </row>
    <row r="6" spans="2:6" x14ac:dyDescent="0.3">
      <c r="B6" s="49" t="s">
        <v>50</v>
      </c>
      <c r="C6" s="49"/>
      <c r="E6" s="50"/>
      <c r="F6" s="45" t="s">
        <v>126</v>
      </c>
    </row>
    <row r="7" spans="2:6" x14ac:dyDescent="0.3">
      <c r="B7" s="49" t="s">
        <v>109</v>
      </c>
      <c r="C7" s="49"/>
      <c r="E7" s="51"/>
      <c r="F7" s="45" t="s">
        <v>81</v>
      </c>
    </row>
    <row r="8" spans="2:6" x14ac:dyDescent="0.3">
      <c r="B8" s="49" t="s">
        <v>60</v>
      </c>
      <c r="C8" s="49" t="s">
        <v>65</v>
      </c>
    </row>
    <row r="10" spans="2:6" x14ac:dyDescent="0.3">
      <c r="B10" s="38"/>
    </row>
    <row r="11" spans="2:6" x14ac:dyDescent="0.3">
      <c r="B11" s="48" t="s">
        <v>82</v>
      </c>
    </row>
    <row r="12" spans="2:6" x14ac:dyDescent="0.3">
      <c r="B12" s="49" t="s">
        <v>102</v>
      </c>
      <c r="C12" s="49">
        <v>2025</v>
      </c>
    </row>
    <row r="13" spans="2:6" ht="28.8" x14ac:dyDescent="0.3">
      <c r="B13" s="4" t="s">
        <v>83</v>
      </c>
      <c r="C13" s="52" t="s">
        <v>106</v>
      </c>
    </row>
    <row r="14" spans="2:6" x14ac:dyDescent="0.3">
      <c r="B14" s="40" t="s">
        <v>87</v>
      </c>
      <c r="C14" s="63">
        <f>VLOOKUP(C13,'Service Life '!D6:E7,2,FALSE)</f>
        <v>4</v>
      </c>
    </row>
    <row r="15" spans="2:6" ht="28.8" x14ac:dyDescent="0.3">
      <c r="B15" s="52" t="s">
        <v>113</v>
      </c>
      <c r="C15" s="49">
        <v>110</v>
      </c>
    </row>
    <row r="16" spans="2:6" ht="28.8" x14ac:dyDescent="0.3">
      <c r="B16" s="52" t="s">
        <v>114</v>
      </c>
      <c r="C16" s="49">
        <v>90</v>
      </c>
    </row>
    <row r="17" spans="2:13" x14ac:dyDescent="0.3">
      <c r="B17" s="53"/>
    </row>
    <row r="18" spans="2:13" x14ac:dyDescent="0.3">
      <c r="B18" s="53"/>
    </row>
    <row r="19" spans="2:13" x14ac:dyDescent="0.3">
      <c r="B19" s="54" t="s">
        <v>85</v>
      </c>
    </row>
    <row r="20" spans="2:13" ht="28.8" x14ac:dyDescent="0.3">
      <c r="B20" s="52" t="s">
        <v>115</v>
      </c>
      <c r="C20" s="64">
        <v>1000</v>
      </c>
    </row>
    <row r="21" spans="2:13" ht="28.8" x14ac:dyDescent="0.3">
      <c r="B21" s="52" t="s">
        <v>94</v>
      </c>
      <c r="C21" s="65">
        <v>1100</v>
      </c>
    </row>
    <row r="22" spans="2:13" x14ac:dyDescent="0.3">
      <c r="B22" s="38"/>
      <c r="C22" s="66"/>
    </row>
    <row r="23" spans="2:13" x14ac:dyDescent="0.3">
      <c r="B23" s="49" t="s">
        <v>129</v>
      </c>
      <c r="C23" s="64">
        <v>2100</v>
      </c>
      <c r="M23" s="55"/>
    </row>
    <row r="25" spans="2:13" ht="18" x14ac:dyDescent="0.35">
      <c r="B25" s="46" t="s">
        <v>53</v>
      </c>
      <c r="C25" s="62"/>
    </row>
    <row r="26" spans="2:13" x14ac:dyDescent="0.3">
      <c r="M26" s="55"/>
    </row>
    <row r="27" spans="2:13" x14ac:dyDescent="0.3">
      <c r="B27" s="56" t="s">
        <v>51</v>
      </c>
    </row>
    <row r="28" spans="2:13" x14ac:dyDescent="0.3">
      <c r="B28" s="51" t="s">
        <v>110</v>
      </c>
      <c r="C28" s="67">
        <f>'Benefit Calculations'!L35</f>
        <v>250.69576783031425</v>
      </c>
    </row>
    <row r="29" spans="2:13" x14ac:dyDescent="0.3">
      <c r="B29" s="51" t="s">
        <v>111</v>
      </c>
      <c r="C29" s="67">
        <f>'Benefit Calculations'!R35</f>
        <v>974.80293738909836</v>
      </c>
    </row>
    <row r="30" spans="2:13" x14ac:dyDescent="0.3">
      <c r="C30" s="68"/>
    </row>
    <row r="31" spans="2:13" x14ac:dyDescent="0.3">
      <c r="B31" s="56" t="s">
        <v>86</v>
      </c>
      <c r="C31" s="68"/>
    </row>
    <row r="32" spans="2:13" x14ac:dyDescent="0.3">
      <c r="B32" s="51" t="s">
        <v>112</v>
      </c>
      <c r="C32" s="67">
        <f>$C$28+$C$29</f>
        <v>1225.4987052194126</v>
      </c>
    </row>
    <row r="34" spans="2:3" x14ac:dyDescent="0.3">
      <c r="B34" s="56" t="str">
        <f>"Project Life Total Emissions Reductions (Life of Project = "&amp;C14&amp;")"</f>
        <v>Project Life Total Emissions Reductions (Life of Project = 4)</v>
      </c>
    </row>
    <row r="35" spans="2:3" x14ac:dyDescent="0.3">
      <c r="B35" s="51" t="s">
        <v>72</v>
      </c>
      <c r="C35" s="69">
        <f>'Benefit Calculations'!J35</f>
        <v>1.036070517113454E-2</v>
      </c>
    </row>
    <row r="36" spans="2:3" x14ac:dyDescent="0.3">
      <c r="B36" s="51" t="s">
        <v>73</v>
      </c>
      <c r="C36" s="69">
        <f>'Benefit Calculations'!P35</f>
        <v>1.0822700113803834E-3</v>
      </c>
    </row>
    <row r="40" spans="2:3" x14ac:dyDescent="0.3">
      <c r="B40" s="57"/>
    </row>
  </sheetData>
  <sheetProtection algorithmName="SHA-512" hashValue="JrxufgEU3jUEWOojKpGVBoC6un6LKE87XcG/JCRDRt2WBmycrIAbRoMy/tZJT48oqCKn+rGxzuxW5PWPUTvEBQ==" saltValue="KyZwY/aYiGIhTQ5j3+BlOw==" spinCount="100000" sheet="1" objects="1" scenarios="1"/>
  <pageMargins left="0.25" right="0.25" top="0.75" bottom="0.75" header="0.3" footer="0.3"/>
  <pageSetup scale="74" fitToHeight="0" orientation="landscape" r:id="rId1"/>
  <extLst>
    <ext xmlns:x14="http://schemas.microsoft.com/office/spreadsheetml/2009/9/main" uri="{CCE6A557-97BC-4b89-ADB6-D9C93CAAB3DF}">
      <x14:dataValidations xmlns:xm="http://schemas.microsoft.com/office/excel/2006/main" disablePrompts="1" count="3">
        <x14:dataValidation type="list" allowBlank="1" showInputMessage="1" showErrorMessage="1" xr:uid="{00000000-0002-0000-0300-000000000000}">
          <x14:formula1>
            <xm:f>'Emission Factors - VOC'!$B$2:$I$2</xm:f>
          </x14:formula1>
          <xm:sqref>C8</xm:sqref>
        </x14:dataValidation>
        <x14:dataValidation type="list" allowBlank="1" showInputMessage="1" showErrorMessage="1" xr:uid="{43639A1C-5DDC-4FCA-B449-646084D2039F}">
          <x14:formula1>
            <xm:f>'Benefit Calculations'!$D$4:$D$34</xm:f>
          </x14:formula1>
          <xm:sqref>C12</xm:sqref>
        </x14:dataValidation>
        <x14:dataValidation type="list" allowBlank="1" showInputMessage="1" showErrorMessage="1" xr:uid="{A68BAE43-5DE0-4FEE-96AA-9965795BBFD8}">
          <x14:formula1>
            <xm:f>'Service Life '!$D$6:$D$7</xm:f>
          </x14:formula1>
          <xm:sqref>C13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8"/>
    <pageSetUpPr fitToPage="1"/>
  </sheetPr>
  <dimension ref="A1:U36"/>
  <sheetViews>
    <sheetView zoomScaleNormal="100" workbookViewId="0">
      <selection activeCell="H14" sqref="H14"/>
    </sheetView>
  </sheetViews>
  <sheetFormatPr defaultColWidth="8.88671875" defaultRowHeight="14.4" x14ac:dyDescent="0.3"/>
  <cols>
    <col min="1" max="1" width="25" style="45" bestFit="1" customWidth="1"/>
    <col min="2" max="2" width="14" style="45" customWidth="1"/>
    <col min="3" max="3" width="3.33203125" style="45" customWidth="1"/>
    <col min="4" max="4" width="7.33203125" style="79" customWidth="1"/>
    <col min="5" max="5" width="8.109375" style="79" customWidth="1"/>
    <col min="6" max="6" width="9.6640625" style="79" customWidth="1"/>
    <col min="7" max="7" width="9.33203125" style="45" bestFit="1" customWidth="1"/>
    <col min="8" max="8" width="10.33203125" style="45" customWidth="1"/>
    <col min="9" max="9" width="8.33203125" style="45" customWidth="1"/>
    <col min="10" max="10" width="8.109375" style="45" bestFit="1" customWidth="1"/>
    <col min="11" max="11" width="12.5546875" style="80" customWidth="1"/>
    <col min="12" max="12" width="11.33203125" style="80" customWidth="1"/>
    <col min="13" max="13" width="9.109375" style="45" bestFit="1" customWidth="1"/>
    <col min="14" max="14" width="14.44140625" style="45" customWidth="1"/>
    <col min="15" max="15" width="9" style="45" customWidth="1"/>
    <col min="16" max="16" width="8.109375" style="45" bestFit="1" customWidth="1"/>
    <col min="17" max="18" width="10.109375" style="80" customWidth="1"/>
    <col min="19" max="16384" width="8.88671875" style="45"/>
  </cols>
  <sheetData>
    <row r="1" spans="1:21" x14ac:dyDescent="0.3">
      <c r="A1"/>
      <c r="B1"/>
      <c r="C1"/>
      <c r="D1" s="83"/>
      <c r="E1" s="83"/>
      <c r="F1" s="83"/>
      <c r="G1"/>
      <c r="H1"/>
      <c r="I1"/>
      <c r="J1"/>
      <c r="K1" s="84"/>
      <c r="L1" s="84"/>
      <c r="M1"/>
      <c r="N1"/>
      <c r="O1"/>
      <c r="P1"/>
      <c r="Q1" s="84"/>
      <c r="R1" s="84"/>
    </row>
    <row r="2" spans="1:21" x14ac:dyDescent="0.3">
      <c r="A2"/>
      <c r="B2"/>
      <c r="C2"/>
      <c r="D2" t="s">
        <v>57</v>
      </c>
      <c r="E2"/>
      <c r="F2"/>
      <c r="G2"/>
      <c r="H2"/>
      <c r="I2"/>
      <c r="J2" s="83"/>
      <c r="K2" s="84"/>
      <c r="L2" s="84"/>
      <c r="M2"/>
      <c r="N2"/>
      <c r="O2"/>
      <c r="P2"/>
      <c r="Q2" s="84"/>
      <c r="R2" s="84"/>
    </row>
    <row r="3" spans="1:21" ht="41.4" customHeight="1" x14ac:dyDescent="0.3">
      <c r="A3" s="13" t="s">
        <v>92</v>
      </c>
      <c r="B3" s="85"/>
      <c r="C3" s="86"/>
      <c r="D3" s="85" t="s">
        <v>13</v>
      </c>
      <c r="E3" s="87" t="s">
        <v>79</v>
      </c>
      <c r="F3" s="87" t="s">
        <v>76</v>
      </c>
      <c r="G3" s="87" t="s">
        <v>117</v>
      </c>
      <c r="H3" s="87" t="s">
        <v>116</v>
      </c>
      <c r="I3" s="87" t="s">
        <v>54</v>
      </c>
      <c r="J3" s="87" t="s">
        <v>100</v>
      </c>
      <c r="K3" s="88" t="s">
        <v>56</v>
      </c>
      <c r="L3" s="88" t="s">
        <v>130</v>
      </c>
      <c r="M3" s="87" t="s">
        <v>77</v>
      </c>
      <c r="N3" s="87" t="s">
        <v>118</v>
      </c>
      <c r="O3" s="87" t="s">
        <v>78</v>
      </c>
      <c r="P3" s="87" t="s">
        <v>101</v>
      </c>
      <c r="Q3" s="89" t="s">
        <v>58</v>
      </c>
      <c r="R3" s="89" t="s">
        <v>131</v>
      </c>
    </row>
    <row r="4" spans="1:21" x14ac:dyDescent="0.3">
      <c r="A4" s="90" t="s">
        <v>70</v>
      </c>
      <c r="B4" s="91">
        <f>HLOOKUP('Inputs &amp; Outputs'!$C$8,'Emission Factors - NOx'!$B$6:$I$7,2)</f>
        <v>0.68515000000000004</v>
      </c>
      <c r="C4"/>
      <c r="D4" s="92">
        <v>2023</v>
      </c>
      <c r="E4" s="93">
        <f>IF(AND(D4&gt;='Inputs &amp; Outputs'!C$12,D4&lt;'Inputs &amp; Outputs'!C$12+'Inputs &amp; Outputs'!C$14),1,0)</f>
        <v>0</v>
      </c>
      <c r="F4" s="94">
        <f>$B$9</f>
        <v>3.5558076341622114E-2</v>
      </c>
      <c r="G4" s="95">
        <f>((('Assumed Values'!$C$8-'Assumed Values'!$C$9)*$B$4*'Inputs &amp; Outputs'!$C$21)+(('Assumed Values'!$C$8-'Assumed Values'!$C$9)*$B$4*'Inputs &amp; Outputs'!$C$20))</f>
        <v>7.9934166666666631</v>
      </c>
      <c r="H4" s="95">
        <f>G4</f>
        <v>7.9934166666666631</v>
      </c>
      <c r="I4" s="95">
        <f t="shared" ref="I4:I34" si="0">E4*H4</f>
        <v>0</v>
      </c>
      <c r="J4" s="95">
        <f>(I4*(1/1000000))*365</f>
        <v>0</v>
      </c>
      <c r="K4" s="96">
        <f>(J4*'Value of Emissions'!$C5)</f>
        <v>0</v>
      </c>
      <c r="L4" s="97">
        <f>K4/(1.031^(D4-D$4))</f>
        <v>0</v>
      </c>
      <c r="M4" s="98">
        <f>((('Assumed Values'!$C$8-'Assumed Values'!$C$9)*$B$5*'Inputs &amp; Outputs'!$C$21)+('Assumed Values'!$C$8-'Assumed Values'!$C$9)*$B$5*'Inputs &amp; Outputs'!$C$20)</f>
        <v>0.65923667202399971</v>
      </c>
      <c r="N4" s="95">
        <f>M4</f>
        <v>0.65923667202399971</v>
      </c>
      <c r="O4" s="95">
        <f t="shared" ref="O4:O34" si="1">E4*N4</f>
        <v>0</v>
      </c>
      <c r="P4" s="95">
        <f>(O4*(1/1000000))*365</f>
        <v>0</v>
      </c>
      <c r="Q4" s="99">
        <f>(P4*'Value of Emissions'!$D4)</f>
        <v>0</v>
      </c>
      <c r="R4" s="100">
        <f>Q4/(1.031^(D4-D$4))</f>
        <v>0</v>
      </c>
    </row>
    <row r="5" spans="1:21" x14ac:dyDescent="0.3">
      <c r="A5" s="101" t="s">
        <v>71</v>
      </c>
      <c r="B5" s="102">
        <f>HLOOKUP('Inputs &amp; Outputs'!$C$8,'Emission Factors - VOC'!$B$6:$I$7,2)</f>
        <v>5.6506000459199998E-2</v>
      </c>
      <c r="C5"/>
      <c r="D5" s="11">
        <f>D4+1</f>
        <v>2024</v>
      </c>
      <c r="E5" s="93">
        <f>IF(AND(D5&gt;='Inputs &amp; Outputs'!C$12,D5&lt;'Inputs &amp; Outputs'!C$12+'Inputs &amp; Outputs'!C$14),1,0)</f>
        <v>0</v>
      </c>
      <c r="F5" s="94">
        <f t="shared" ref="F5:F13" si="2">$B$9</f>
        <v>3.5558076341622114E-2</v>
      </c>
      <c r="G5" s="95">
        <f>((('Assumed Values'!$C$8-'Assumed Values'!$C$9)*$B$4*'Inputs &amp; Outputs'!$C$21)+(('Assumed Values'!$C$8-'Assumed Values'!$C$9)*$B$4*'Inputs &amp; Outputs'!$C$20))</f>
        <v>7.9934166666666631</v>
      </c>
      <c r="H5" s="95">
        <f t="shared" ref="H5:H34" si="3">(H4*F5)+H4</f>
        <v>8.2776471867303911</v>
      </c>
      <c r="I5" s="95">
        <f t="shared" si="0"/>
        <v>0</v>
      </c>
      <c r="J5" s="95">
        <f t="shared" ref="J5:J34" si="4">(I5*(1/1000000))*365</f>
        <v>0</v>
      </c>
      <c r="K5" s="96">
        <f>(J5*'Value of Emissions'!$C6)</f>
        <v>0</v>
      </c>
      <c r="L5" s="97">
        <f t="shared" ref="L5:L34" si="5">K5/(1.031^(D5-D$4))</f>
        <v>0</v>
      </c>
      <c r="M5" s="98">
        <f>((('Assumed Values'!$C$8-'Assumed Values'!$C$9)*$B$5*'Inputs &amp; Outputs'!$C$21)+('Assumed Values'!$C$8-'Assumed Values'!$C$9)*$B$5*'Inputs &amp; Outputs'!$C$20)</f>
        <v>0.65923667202399971</v>
      </c>
      <c r="N5" s="95">
        <f>(N$4*F5)+N4</f>
        <v>0.68267785993502594</v>
      </c>
      <c r="O5" s="95">
        <f t="shared" si="1"/>
        <v>0</v>
      </c>
      <c r="P5" s="95">
        <f t="shared" ref="P5:P34" si="6">(O5*(1/1000000))*365</f>
        <v>0</v>
      </c>
      <c r="Q5" s="99">
        <f>(P5*'Value of Emissions'!$D5)</f>
        <v>0</v>
      </c>
      <c r="R5" s="100">
        <f t="shared" ref="R5:R34" si="7">Q5/(1.031^(D5-D$4))</f>
        <v>0</v>
      </c>
    </row>
    <row r="6" spans="1:21" x14ac:dyDescent="0.3">
      <c r="A6"/>
      <c r="B6"/>
      <c r="C6"/>
      <c r="D6" s="92">
        <f t="shared" ref="D6:D34" si="8">D5+1</f>
        <v>2025</v>
      </c>
      <c r="E6" s="93">
        <f>IF(AND(D6&gt;='Inputs &amp; Outputs'!C$12,D6&lt;'Inputs &amp; Outputs'!C$12+'Inputs &amp; Outputs'!C$14),1,0)</f>
        <v>1</v>
      </c>
      <c r="F6" s="94">
        <f t="shared" si="2"/>
        <v>3.5558076341622114E-2</v>
      </c>
      <c r="G6" s="95">
        <f>((('Assumed Values'!$C$8-'Assumed Values'!$C$9)*$B$4*'Inputs &amp; Outputs'!$C$21)+(('Assumed Values'!$C$8-'Assumed Values'!$C$9)*$B$4*'Inputs &amp; Outputs'!$C$20))</f>
        <v>7.9934166666666631</v>
      </c>
      <c r="H6" s="95">
        <f t="shared" si="3"/>
        <v>8.5719843973251635</v>
      </c>
      <c r="I6" s="95">
        <f t="shared" si="0"/>
        <v>8.5719843973251635</v>
      </c>
      <c r="J6" s="95">
        <f t="shared" si="4"/>
        <v>3.1287743050236842E-3</v>
      </c>
      <c r="K6" s="96">
        <f>(J6*'Value of Emissions'!$C7)</f>
        <v>64.452750683487892</v>
      </c>
      <c r="L6" s="97">
        <f t="shared" si="5"/>
        <v>60.635103906434857</v>
      </c>
      <c r="M6" s="98">
        <f>((('Assumed Values'!$C$8-'Assumed Values'!$C$9)*$B$5*'Inputs &amp; Outputs'!$C$21)+('Assumed Values'!$C$8-'Assumed Values'!$C$9)*$B$5*'Inputs &amp; Outputs'!$C$20)</f>
        <v>0.65923667202399971</v>
      </c>
      <c r="N6" s="95">
        <f t="shared" ref="N6:N34" si="9">(N$4*F6)+N5</f>
        <v>0.70611904784605217</v>
      </c>
      <c r="O6" s="95">
        <f t="shared" si="1"/>
        <v>0.70611904784605217</v>
      </c>
      <c r="P6" s="95">
        <f t="shared" si="6"/>
        <v>2.5773345246380905E-4</v>
      </c>
      <c r="Q6" s="99">
        <f>(P6*'Value of Emissions'!$D6)</f>
        <v>251.41898287844572</v>
      </c>
      <c r="R6" s="100">
        <f t="shared" si="7"/>
        <v>236.5270060505002</v>
      </c>
    </row>
    <row r="7" spans="1:21" x14ac:dyDescent="0.3">
      <c r="A7"/>
      <c r="B7"/>
      <c r="C7"/>
      <c r="D7" s="11">
        <f t="shared" si="8"/>
        <v>2026</v>
      </c>
      <c r="E7" s="93">
        <f>IF(AND(D7&gt;='Inputs &amp; Outputs'!C$12,D7&lt;'Inputs &amp; Outputs'!C$12+'Inputs &amp; Outputs'!C$14),1,0)</f>
        <v>1</v>
      </c>
      <c r="F7" s="94">
        <f t="shared" si="2"/>
        <v>3.5558076341622114E-2</v>
      </c>
      <c r="G7" s="95">
        <f>((('Assumed Values'!$C$8-'Assumed Values'!$C$9)*$B$4*'Inputs &amp; Outputs'!$C$21)+(('Assumed Values'!$C$8-'Assumed Values'!$C$9)*$B$4*'Inputs &amp; Outputs'!$C$20))</f>
        <v>7.9934166666666631</v>
      </c>
      <c r="H7" s="95">
        <f t="shared" si="3"/>
        <v>8.8767876729244453</v>
      </c>
      <c r="I7" s="95">
        <f t="shared" si="0"/>
        <v>8.8767876729244453</v>
      </c>
      <c r="J7" s="95">
        <f t="shared" si="4"/>
        <v>3.2400275006174224E-3</v>
      </c>
      <c r="K7" s="96">
        <f>(J7*'Value of Emissions'!$C8)</f>
        <v>68.040577512965868</v>
      </c>
      <c r="L7" s="97">
        <f t="shared" si="5"/>
        <v>62.085759078402695</v>
      </c>
      <c r="M7" s="98">
        <f>((('Assumed Values'!$C$8-'Assumed Values'!$C$9)*$B$5*'Inputs &amp; Outputs'!$C$21)+('Assumed Values'!$C$8-'Assumed Values'!$C$9)*$B$5*'Inputs &amp; Outputs'!$C$20)</f>
        <v>0.65923667202399971</v>
      </c>
      <c r="N7" s="95">
        <f t="shared" si="9"/>
        <v>0.7295602357570784</v>
      </c>
      <c r="O7" s="95">
        <f t="shared" si="1"/>
        <v>0.7295602357570784</v>
      </c>
      <c r="P7" s="95">
        <f t="shared" si="6"/>
        <v>2.6628948605133363E-4</v>
      </c>
      <c r="Q7" s="99">
        <f>(P7*'Value of Emissions'!$D7)</f>
        <v>264.55860439199995</v>
      </c>
      <c r="R7" s="100">
        <f t="shared" si="7"/>
        <v>241.40479659024257</v>
      </c>
      <c r="U7" s="81"/>
    </row>
    <row r="8" spans="1:21" x14ac:dyDescent="0.3">
      <c r="A8" s="13" t="s">
        <v>14</v>
      </c>
      <c r="B8"/>
      <c r="C8"/>
      <c r="D8" s="92">
        <f t="shared" si="8"/>
        <v>2027</v>
      </c>
      <c r="E8" s="93">
        <f>IF(AND(D8&gt;='Inputs &amp; Outputs'!C$12,D8&lt;'Inputs &amp; Outputs'!C$12+'Inputs &amp; Outputs'!C$14),1,0)</f>
        <v>1</v>
      </c>
      <c r="F8" s="94">
        <f t="shared" si="2"/>
        <v>3.5558076341622114E-2</v>
      </c>
      <c r="G8" s="95">
        <f>((('Assumed Values'!$C$8-'Assumed Values'!$C$9)*$B$4*'Inputs &amp; Outputs'!$C$21)+(('Assumed Values'!$C$8-'Assumed Values'!$C$9)*$B$4*'Inputs &amp; Outputs'!$C$20))</f>
        <v>7.9934166666666631</v>
      </c>
      <c r="H8" s="95">
        <f t="shared" si="3"/>
        <v>9.1924291666666633</v>
      </c>
      <c r="I8" s="95">
        <f t="shared" si="0"/>
        <v>9.1924291666666633</v>
      </c>
      <c r="J8" s="95">
        <f t="shared" si="4"/>
        <v>3.3552366458333318E-3</v>
      </c>
      <c r="K8" s="96">
        <f>(J8*'Value of Emissions'!$C9)</f>
        <v>71.466540556249967</v>
      </c>
      <c r="L8" s="97">
        <f t="shared" si="5"/>
        <v>63.251102341696644</v>
      </c>
      <c r="M8" s="98">
        <f>((('Assumed Values'!$C$8-'Assumed Values'!$C$9)*$B$5*'Inputs &amp; Outputs'!$C$21)+('Assumed Values'!$C$8-'Assumed Values'!$C$9)*$B$5*'Inputs &amp; Outputs'!$C$20)</f>
        <v>0.65923667202399971</v>
      </c>
      <c r="N8" s="95">
        <f t="shared" si="9"/>
        <v>0.75300142366810463</v>
      </c>
      <c r="O8" s="95">
        <f t="shared" si="1"/>
        <v>0.75300142366810463</v>
      </c>
      <c r="P8" s="95">
        <f t="shared" si="6"/>
        <v>2.7484551963885816E-4</v>
      </c>
      <c r="Q8" s="99">
        <f>(P8*'Value of Emissions'!$D8)</f>
        <v>278.11618132256058</v>
      </c>
      <c r="R8" s="100">
        <f t="shared" si="7"/>
        <v>246.14532774074146</v>
      </c>
    </row>
    <row r="9" spans="1:21" x14ac:dyDescent="0.3">
      <c r="A9" s="14" t="s">
        <v>121</v>
      </c>
      <c r="B9" s="82">
        <f>IF('Growth Rates'!$C$16&lt;&gt;0,'Growth Rates'!$C$16,VLOOKUP('Inputs &amp; Outputs'!$C$8,'Growth Rates'!$B$4:$D$11,2,FALSE))</f>
        <v>3.5558076341622114E-2</v>
      </c>
      <c r="C9"/>
      <c r="D9" s="11">
        <f t="shared" si="8"/>
        <v>2028</v>
      </c>
      <c r="E9" s="93">
        <f>IF(AND(D9&gt;='Inputs &amp; Outputs'!C$12,D9&lt;'Inputs &amp; Outputs'!C$12+'Inputs &amp; Outputs'!C$14),1,0)</f>
        <v>1</v>
      </c>
      <c r="F9" s="94">
        <f t="shared" si="2"/>
        <v>3.5558076341622114E-2</v>
      </c>
      <c r="G9" s="95">
        <f>((('Assumed Values'!$C$8-'Assumed Values'!$C$9)*$B$4*'Inputs &amp; Outputs'!$C$21)+(('Assumed Values'!$C$8-'Assumed Values'!$C$9)*$B$4*'Inputs &amp; Outputs'!$C$20))</f>
        <v>7.9934166666666631</v>
      </c>
      <c r="H9" s="95">
        <f t="shared" si="3"/>
        <v>9.5192942647399494</v>
      </c>
      <c r="I9" s="95">
        <f t="shared" si="0"/>
        <v>9.5192942647399494</v>
      </c>
      <c r="J9" s="95">
        <f t="shared" si="4"/>
        <v>3.4745424066300813E-3</v>
      </c>
      <c r="K9" s="96">
        <f>(J9*'Value of Emissions'!$C10)</f>
        <v>75.397570223872762</v>
      </c>
      <c r="L9" s="97">
        <f t="shared" si="5"/>
        <v>64.723802503780064</v>
      </c>
      <c r="M9" s="98">
        <f>((('Assumed Values'!$C$8-'Assumed Values'!$C$9)*$B$5*'Inputs &amp; Outputs'!$C$21)+('Assumed Values'!$C$8-'Assumed Values'!$C$9)*$B$5*'Inputs &amp; Outputs'!$C$20)</f>
        <v>0.65923667202399971</v>
      </c>
      <c r="N9" s="95">
        <f t="shared" si="9"/>
        <v>0.77644261157913086</v>
      </c>
      <c r="O9" s="95">
        <f t="shared" si="1"/>
        <v>0.77644261157913086</v>
      </c>
      <c r="P9" s="95">
        <f t="shared" si="6"/>
        <v>2.8340155322638275E-4</v>
      </c>
      <c r="Q9" s="99">
        <f>(P9*'Value of Emissions'!$D9)</f>
        <v>292.07364075511003</v>
      </c>
      <c r="R9" s="100">
        <f t="shared" si="7"/>
        <v>250.72580700761407</v>
      </c>
    </row>
    <row r="10" spans="1:21" x14ac:dyDescent="0.3">
      <c r="A10" s="14" t="s">
        <v>122</v>
      </c>
      <c r="B10" s="82">
        <f>IF('Growth Rates'!$C$16&lt;&gt;0,'Growth Rates'!$C$16,VLOOKUP('Inputs &amp; Outputs'!$C$8,'Growth Rates'!$B$4:$D$11,3,FALSE))</f>
        <v>3.5558076341622114E-2</v>
      </c>
      <c r="C10"/>
      <c r="D10" s="92">
        <f t="shared" si="8"/>
        <v>2029</v>
      </c>
      <c r="E10" s="93">
        <f>IF(AND(D10&gt;='Inputs &amp; Outputs'!C$12,D10&lt;'Inputs &amp; Outputs'!C$12+'Inputs &amp; Outputs'!C$14),1,0)</f>
        <v>0</v>
      </c>
      <c r="F10" s="94">
        <f t="shared" si="2"/>
        <v>3.5558076341622114E-2</v>
      </c>
      <c r="G10" s="95">
        <f>((('Assumed Values'!$C$8-'Assumed Values'!$C$9)*$B$4*'Inputs &amp; Outputs'!$C$21)+(('Assumed Values'!$C$8-'Assumed Values'!$C$9)*$B$4*'Inputs &amp; Outputs'!$C$20))</f>
        <v>7.9934166666666631</v>
      </c>
      <c r="H10" s="95">
        <f t="shared" si="3"/>
        <v>9.8577820569239378</v>
      </c>
      <c r="I10" s="95">
        <f t="shared" si="0"/>
        <v>0</v>
      </c>
      <c r="J10" s="95">
        <f t="shared" si="4"/>
        <v>0</v>
      </c>
      <c r="K10" s="96">
        <f>(J10*'Value of Emissions'!$C11)</f>
        <v>0</v>
      </c>
      <c r="L10" s="97">
        <f t="shared" si="5"/>
        <v>0</v>
      </c>
      <c r="M10" s="98">
        <f>((('Assumed Values'!$C$8-'Assumed Values'!$C$9)*$B$5*'Inputs &amp; Outputs'!$C$21)+('Assumed Values'!$C$8-'Assumed Values'!$C$9)*$B$5*'Inputs &amp; Outputs'!$C$20)</f>
        <v>0.65923667202399971</v>
      </c>
      <c r="N10" s="95">
        <f t="shared" si="9"/>
        <v>0.79988379949015709</v>
      </c>
      <c r="O10" s="95">
        <f t="shared" si="1"/>
        <v>0</v>
      </c>
      <c r="P10" s="95">
        <f t="shared" si="6"/>
        <v>0</v>
      </c>
      <c r="Q10" s="99">
        <f>(P10*'Value of Emissions'!$D10)</f>
        <v>0</v>
      </c>
      <c r="R10" s="100">
        <f t="shared" si="7"/>
        <v>0</v>
      </c>
    </row>
    <row r="11" spans="1:21" x14ac:dyDescent="0.3">
      <c r="A11"/>
      <c r="B11"/>
      <c r="C11"/>
      <c r="D11" s="11">
        <f t="shared" si="8"/>
        <v>2030</v>
      </c>
      <c r="E11" s="93">
        <f>IF(AND(D11&gt;='Inputs &amp; Outputs'!C$12,D11&lt;'Inputs &amp; Outputs'!C$12+'Inputs &amp; Outputs'!C$14),1,0)</f>
        <v>0</v>
      </c>
      <c r="F11" s="94">
        <f t="shared" si="2"/>
        <v>3.5558076341622114E-2</v>
      </c>
      <c r="G11" s="95">
        <f>((('Assumed Values'!$C$8-'Assumed Values'!$C$9)*$B$4*'Inputs &amp; Outputs'!$C$21)+(('Assumed Values'!$C$8-'Assumed Values'!$C$9)*$B$4*'Inputs &amp; Outputs'!$C$20))</f>
        <v>7.9934166666666631</v>
      </c>
      <c r="H11" s="95">
        <f t="shared" si="3"/>
        <v>10.208305823863112</v>
      </c>
      <c r="I11" s="95">
        <f t="shared" si="0"/>
        <v>0</v>
      </c>
      <c r="J11" s="95">
        <f t="shared" si="4"/>
        <v>0</v>
      </c>
      <c r="K11" s="96">
        <f>(J11*'Value of Emissions'!$C12)</f>
        <v>0</v>
      </c>
      <c r="L11" s="97">
        <f t="shared" si="5"/>
        <v>0</v>
      </c>
      <c r="M11" s="98">
        <f>((('Assumed Values'!$C$8-'Assumed Values'!$C$9)*$B$5*'Inputs &amp; Outputs'!$C$21)+('Assumed Values'!$C$8-'Assumed Values'!$C$9)*$B$5*'Inputs &amp; Outputs'!$C$20)</f>
        <v>0.65923667202399971</v>
      </c>
      <c r="N11" s="95">
        <f t="shared" si="9"/>
        <v>0.82332498740118332</v>
      </c>
      <c r="O11" s="95">
        <f t="shared" si="1"/>
        <v>0</v>
      </c>
      <c r="P11" s="95">
        <f t="shared" si="6"/>
        <v>0</v>
      </c>
      <c r="Q11" s="99">
        <f>(P11*'Value of Emissions'!$D11)</f>
        <v>0</v>
      </c>
      <c r="R11" s="100">
        <f t="shared" si="7"/>
        <v>0</v>
      </c>
    </row>
    <row r="12" spans="1:21" x14ac:dyDescent="0.3">
      <c r="A12"/>
      <c r="B12"/>
      <c r="C12"/>
      <c r="D12" s="92">
        <f t="shared" si="8"/>
        <v>2031</v>
      </c>
      <c r="E12" s="93">
        <f>IF(AND(D12&gt;='Inputs &amp; Outputs'!C$12,D12&lt;'Inputs &amp; Outputs'!C$12+'Inputs &amp; Outputs'!C$14),1,0)</f>
        <v>0</v>
      </c>
      <c r="F12" s="94">
        <f t="shared" si="2"/>
        <v>3.5558076341622114E-2</v>
      </c>
      <c r="G12" s="95">
        <f>((('Assumed Values'!$C$8-'Assumed Values'!$C$9)*$B$4*'Inputs &amp; Outputs'!$C$21)+(('Assumed Values'!$C$8-'Assumed Values'!$C$9)*$B$4*'Inputs &amp; Outputs'!$C$20))</f>
        <v>7.9934166666666631</v>
      </c>
      <c r="H12" s="95">
        <f t="shared" si="3"/>
        <v>10.571293541666662</v>
      </c>
      <c r="I12" s="95">
        <f t="shared" si="0"/>
        <v>0</v>
      </c>
      <c r="J12" s="95">
        <f t="shared" si="4"/>
        <v>0</v>
      </c>
      <c r="K12" s="96">
        <f>(J12*'Value of Emissions'!$C13)</f>
        <v>0</v>
      </c>
      <c r="L12" s="97">
        <f t="shared" si="5"/>
        <v>0</v>
      </c>
      <c r="M12" s="98">
        <f>((('Assumed Values'!$C$8-'Assumed Values'!$C$9)*$B$5*'Inputs &amp; Outputs'!$C$21)+('Assumed Values'!$C$8-'Assumed Values'!$C$9)*$B$5*'Inputs &amp; Outputs'!$C$20)</f>
        <v>0.65923667202399971</v>
      </c>
      <c r="N12" s="95">
        <f t="shared" si="9"/>
        <v>0.84676617531220955</v>
      </c>
      <c r="O12" s="95">
        <f t="shared" si="1"/>
        <v>0</v>
      </c>
      <c r="P12" s="95">
        <f t="shared" si="6"/>
        <v>0</v>
      </c>
      <c r="Q12" s="99">
        <f>(P12*'Value of Emissions'!$D12)</f>
        <v>0</v>
      </c>
      <c r="R12" s="100">
        <f t="shared" si="7"/>
        <v>0</v>
      </c>
    </row>
    <row r="13" spans="1:21" x14ac:dyDescent="0.3">
      <c r="A13"/>
      <c r="B13"/>
      <c r="C13"/>
      <c r="D13" s="11">
        <f t="shared" si="8"/>
        <v>2032</v>
      </c>
      <c r="E13" s="93">
        <f>IF(AND(D13&gt;='Inputs &amp; Outputs'!C$12,D13&lt;'Inputs &amp; Outputs'!C$12+'Inputs &amp; Outputs'!C$14),1,0)</f>
        <v>0</v>
      </c>
      <c r="F13" s="94">
        <f t="shared" si="2"/>
        <v>3.5558076341622114E-2</v>
      </c>
      <c r="G13" s="95">
        <f>((('Assumed Values'!$C$8-'Assumed Values'!$C$9)*$B$4*'Inputs &amp; Outputs'!$C$21)+(('Assumed Values'!$C$8-'Assumed Values'!$C$9)*$B$4*'Inputs &amp; Outputs'!$C$20))</f>
        <v>7.9934166666666631</v>
      </c>
      <c r="H13" s="95">
        <f t="shared" si="3"/>
        <v>10.947188404450943</v>
      </c>
      <c r="I13" s="95">
        <f t="shared" si="0"/>
        <v>0</v>
      </c>
      <c r="J13" s="95">
        <f t="shared" si="4"/>
        <v>0</v>
      </c>
      <c r="K13" s="96">
        <f>(J13*'Value of Emissions'!$C14)</f>
        <v>0</v>
      </c>
      <c r="L13" s="97">
        <f t="shared" si="5"/>
        <v>0</v>
      </c>
      <c r="M13" s="98">
        <f>((('Assumed Values'!$C$8-'Assumed Values'!$C$9)*$B$5*'Inputs &amp; Outputs'!$C$21)+('Assumed Values'!$C$8-'Assumed Values'!$C$9)*$B$5*'Inputs &amp; Outputs'!$C$20)</f>
        <v>0.65923667202399971</v>
      </c>
      <c r="N13" s="95">
        <f t="shared" si="9"/>
        <v>0.87020736322323577</v>
      </c>
      <c r="O13" s="95">
        <f t="shared" si="1"/>
        <v>0</v>
      </c>
      <c r="P13" s="95">
        <f t="shared" si="6"/>
        <v>0</v>
      </c>
      <c r="Q13" s="99">
        <f>(P13*'Value of Emissions'!$D13)</f>
        <v>0</v>
      </c>
      <c r="R13" s="100">
        <f t="shared" si="7"/>
        <v>0</v>
      </c>
    </row>
    <row r="14" spans="1:21" x14ac:dyDescent="0.3">
      <c r="A14"/>
      <c r="B14"/>
      <c r="C14"/>
      <c r="D14" s="92">
        <f t="shared" si="8"/>
        <v>2033</v>
      </c>
      <c r="E14" s="93">
        <f>IF(AND(D14&gt;='Inputs &amp; Outputs'!C$12,D14&lt;'Inputs &amp; Outputs'!C$12+'Inputs &amp; Outputs'!C$14),1,0)</f>
        <v>0</v>
      </c>
      <c r="F14" s="94">
        <f>$B$10</f>
        <v>3.5558076341622114E-2</v>
      </c>
      <c r="G14" s="95">
        <f>((('Assumed Values'!$C$8-'Assumed Values'!$C$9)*$B$4*'Inputs &amp; Outputs'!$C$21)+(('Assumed Values'!$C$8-'Assumed Values'!$C$9)*$B$4*'Inputs &amp; Outputs'!$C$20))</f>
        <v>7.9934166666666631</v>
      </c>
      <c r="H14" s="95">
        <f t="shared" si="3"/>
        <v>11.33644936546253</v>
      </c>
      <c r="I14" s="95">
        <f t="shared" si="0"/>
        <v>0</v>
      </c>
      <c r="J14" s="95">
        <f t="shared" si="4"/>
        <v>0</v>
      </c>
      <c r="K14" s="96">
        <f>(J14*'Value of Emissions'!$C15)</f>
        <v>0</v>
      </c>
      <c r="L14" s="97">
        <f t="shared" si="5"/>
        <v>0</v>
      </c>
      <c r="M14" s="98">
        <f>((('Assumed Values'!$C$8-'Assumed Values'!$C$9)*$B$5*'Inputs &amp; Outputs'!$C$21)+('Assumed Values'!$C$8-'Assumed Values'!$C$9)*$B$5*'Inputs &amp; Outputs'!$C$20)</f>
        <v>0.65923667202399971</v>
      </c>
      <c r="N14" s="95">
        <f t="shared" si="9"/>
        <v>0.893648551134262</v>
      </c>
      <c r="O14" s="95">
        <f t="shared" si="1"/>
        <v>0</v>
      </c>
      <c r="P14" s="95">
        <f t="shared" si="6"/>
        <v>0</v>
      </c>
      <c r="Q14" s="99">
        <f>(P14*'Value of Emissions'!$D14)</f>
        <v>0</v>
      </c>
      <c r="R14" s="100">
        <f t="shared" si="7"/>
        <v>0</v>
      </c>
    </row>
    <row r="15" spans="1:21" x14ac:dyDescent="0.3">
      <c r="A15"/>
      <c r="B15"/>
      <c r="C15"/>
      <c r="D15" s="11">
        <f t="shared" si="8"/>
        <v>2034</v>
      </c>
      <c r="E15" s="93">
        <f>IF(AND(D15&gt;='Inputs &amp; Outputs'!C$12,D15&lt;'Inputs &amp; Outputs'!C$12+'Inputs &amp; Outputs'!C$14),1,0)</f>
        <v>0</v>
      </c>
      <c r="F15" s="94">
        <f t="shared" ref="F15:F34" si="10">$B$10</f>
        <v>3.5558076341622114E-2</v>
      </c>
      <c r="G15" s="95">
        <f>((('Assumed Values'!$C$8-'Assumed Values'!$C$9)*$B$4*'Inputs &amp; Outputs'!$C$21)+(('Assumed Values'!$C$8-'Assumed Values'!$C$9)*$B$4*'Inputs &amp; Outputs'!$C$20))</f>
        <v>7.9934166666666631</v>
      </c>
      <c r="H15" s="95">
        <f t="shared" si="3"/>
        <v>11.739551697442579</v>
      </c>
      <c r="I15" s="95">
        <f t="shared" si="0"/>
        <v>0</v>
      </c>
      <c r="J15" s="95">
        <f t="shared" si="4"/>
        <v>0</v>
      </c>
      <c r="K15" s="96">
        <f>(J15*'Value of Emissions'!$C16)</f>
        <v>0</v>
      </c>
      <c r="L15" s="97">
        <f t="shared" si="5"/>
        <v>0</v>
      </c>
      <c r="M15" s="98">
        <f>((('Assumed Values'!$C$8-'Assumed Values'!$C$9)*$B$5*'Inputs &amp; Outputs'!$C$21)+('Assumed Values'!$C$8-'Assumed Values'!$C$9)*$B$5*'Inputs &amp; Outputs'!$C$20)</f>
        <v>0.65923667202399971</v>
      </c>
      <c r="N15" s="95">
        <f t="shared" si="9"/>
        <v>0.91708973904528823</v>
      </c>
      <c r="O15" s="95">
        <f t="shared" si="1"/>
        <v>0</v>
      </c>
      <c r="P15" s="95">
        <f t="shared" si="6"/>
        <v>0</v>
      </c>
      <c r="Q15" s="99">
        <f>(P15*'Value of Emissions'!$D15)</f>
        <v>0</v>
      </c>
      <c r="R15" s="100">
        <f t="shared" si="7"/>
        <v>0</v>
      </c>
    </row>
    <row r="16" spans="1:21" x14ac:dyDescent="0.3">
      <c r="A16"/>
      <c r="B16"/>
      <c r="C16"/>
      <c r="D16" s="92">
        <f t="shared" si="8"/>
        <v>2035</v>
      </c>
      <c r="E16" s="93">
        <f>IF(AND(D16&gt;='Inputs &amp; Outputs'!C$12,D16&lt;'Inputs &amp; Outputs'!C$12+'Inputs &amp; Outputs'!C$14),1,0)</f>
        <v>0</v>
      </c>
      <c r="F16" s="94">
        <f t="shared" si="10"/>
        <v>3.5558076341622114E-2</v>
      </c>
      <c r="G16" s="95">
        <f>((('Assumed Values'!$C$8-'Assumed Values'!$C$9)*$B$4*'Inputs &amp; Outputs'!$C$21)+(('Assumed Values'!$C$8-'Assumed Values'!$C$9)*$B$4*'Inputs &amp; Outputs'!$C$20))</f>
        <v>7.9934166666666631</v>
      </c>
      <c r="H16" s="95">
        <f t="shared" si="3"/>
        <v>12.156987572916661</v>
      </c>
      <c r="I16" s="95">
        <f t="shared" si="0"/>
        <v>0</v>
      </c>
      <c r="J16" s="95">
        <f t="shared" si="4"/>
        <v>0</v>
      </c>
      <c r="K16" s="96">
        <f>(J16*'Value of Emissions'!$C17)</f>
        <v>0</v>
      </c>
      <c r="L16" s="97">
        <f t="shared" si="5"/>
        <v>0</v>
      </c>
      <c r="M16" s="98">
        <f>((('Assumed Values'!$C$8-'Assumed Values'!$C$9)*$B$5*'Inputs &amp; Outputs'!$C$21)+('Assumed Values'!$C$8-'Assumed Values'!$C$9)*$B$5*'Inputs &amp; Outputs'!$C$20)</f>
        <v>0.65923667202399971</v>
      </c>
      <c r="N16" s="95">
        <f t="shared" si="9"/>
        <v>0.94053092695631446</v>
      </c>
      <c r="O16" s="95">
        <f t="shared" si="1"/>
        <v>0</v>
      </c>
      <c r="P16" s="95">
        <f t="shared" si="6"/>
        <v>0</v>
      </c>
      <c r="Q16" s="99">
        <f>(P16*'Value of Emissions'!$D16)</f>
        <v>0</v>
      </c>
      <c r="R16" s="100">
        <f t="shared" si="7"/>
        <v>0</v>
      </c>
    </row>
    <row r="17" spans="1:18" x14ac:dyDescent="0.3">
      <c r="A17"/>
      <c r="B17"/>
      <c r="C17"/>
      <c r="D17" s="11">
        <f t="shared" si="8"/>
        <v>2036</v>
      </c>
      <c r="E17" s="93">
        <f>IF(AND(D17&gt;='Inputs &amp; Outputs'!C$12,D17&lt;'Inputs &amp; Outputs'!C$12+'Inputs &amp; Outputs'!C$14),1,0)</f>
        <v>0</v>
      </c>
      <c r="F17" s="94">
        <f t="shared" si="10"/>
        <v>3.5558076341622114E-2</v>
      </c>
      <c r="G17" s="95">
        <f>((('Assumed Values'!$C$8-'Assumed Values'!$C$9)*$B$4*'Inputs &amp; Outputs'!$C$21)+(('Assumed Values'!$C$8-'Assumed Values'!$C$9)*$B$4*'Inputs &amp; Outputs'!$C$20))</f>
        <v>7.9934166666666631</v>
      </c>
      <c r="H17" s="95">
        <f t="shared" si="3"/>
        <v>12.589266665118583</v>
      </c>
      <c r="I17" s="95">
        <f t="shared" si="0"/>
        <v>0</v>
      </c>
      <c r="J17" s="95">
        <f t="shared" si="4"/>
        <v>0</v>
      </c>
      <c r="K17" s="96">
        <f>(J17*'Value of Emissions'!$C18)</f>
        <v>0</v>
      </c>
      <c r="L17" s="97">
        <f t="shared" si="5"/>
        <v>0</v>
      </c>
      <c r="M17" s="98">
        <f>((('Assumed Values'!$C$8-'Assumed Values'!$C$9)*$B$5*'Inputs &amp; Outputs'!$C$21)+('Assumed Values'!$C$8-'Assumed Values'!$C$9)*$B$5*'Inputs &amp; Outputs'!$C$20)</f>
        <v>0.65923667202399971</v>
      </c>
      <c r="N17" s="95">
        <f t="shared" si="9"/>
        <v>0.96397211486734069</v>
      </c>
      <c r="O17" s="95">
        <f t="shared" si="1"/>
        <v>0</v>
      </c>
      <c r="P17" s="95">
        <f t="shared" si="6"/>
        <v>0</v>
      </c>
      <c r="Q17" s="99">
        <f>(P17*'Value of Emissions'!$D17)</f>
        <v>0</v>
      </c>
      <c r="R17" s="100">
        <f t="shared" si="7"/>
        <v>0</v>
      </c>
    </row>
    <row r="18" spans="1:18" x14ac:dyDescent="0.3">
      <c r="A18"/>
      <c r="B18"/>
      <c r="C18"/>
      <c r="D18" s="92">
        <f t="shared" si="8"/>
        <v>2037</v>
      </c>
      <c r="E18" s="93">
        <f>IF(AND(D18&gt;='Inputs &amp; Outputs'!C$12,D18&lt;'Inputs &amp; Outputs'!C$12+'Inputs &amp; Outputs'!C$14),1,0)</f>
        <v>0</v>
      </c>
      <c r="F18" s="94">
        <f t="shared" si="10"/>
        <v>3.5558076341622114E-2</v>
      </c>
      <c r="G18" s="95">
        <f>((('Assumed Values'!$C$8-'Assumed Values'!$C$9)*$B$4*'Inputs &amp; Outputs'!$C$21)+(('Assumed Values'!$C$8-'Assumed Values'!$C$9)*$B$4*'Inputs &amp; Outputs'!$C$20))</f>
        <v>7.9934166666666631</v>
      </c>
      <c r="H18" s="95">
        <f t="shared" si="3"/>
        <v>13.036916770281907</v>
      </c>
      <c r="I18" s="95">
        <f t="shared" si="0"/>
        <v>0</v>
      </c>
      <c r="J18" s="95">
        <f t="shared" si="4"/>
        <v>0</v>
      </c>
      <c r="K18" s="96">
        <f>(J18*'Value of Emissions'!$C19)</f>
        <v>0</v>
      </c>
      <c r="L18" s="97">
        <f t="shared" si="5"/>
        <v>0</v>
      </c>
      <c r="M18" s="98">
        <f>((('Assumed Values'!$C$8-'Assumed Values'!$C$9)*$B$5*'Inputs &amp; Outputs'!$C$21)+('Assumed Values'!$C$8-'Assumed Values'!$C$9)*$B$5*'Inputs &amp; Outputs'!$C$20)</f>
        <v>0.65923667202399971</v>
      </c>
      <c r="N18" s="95">
        <f t="shared" si="9"/>
        <v>0.98741330277836692</v>
      </c>
      <c r="O18" s="95">
        <f t="shared" si="1"/>
        <v>0</v>
      </c>
      <c r="P18" s="95">
        <f t="shared" si="6"/>
        <v>0</v>
      </c>
      <c r="Q18" s="99">
        <f>(P18*'Value of Emissions'!$D18)</f>
        <v>0</v>
      </c>
      <c r="R18" s="100">
        <f t="shared" si="7"/>
        <v>0</v>
      </c>
    </row>
    <row r="19" spans="1:18" x14ac:dyDescent="0.3">
      <c r="A19"/>
      <c r="B19"/>
      <c r="C19"/>
      <c r="D19" s="11">
        <f t="shared" si="8"/>
        <v>2038</v>
      </c>
      <c r="E19" s="93">
        <f>IF(AND(D19&gt;='Inputs &amp; Outputs'!C$12,D19&lt;'Inputs &amp; Outputs'!C$12+'Inputs &amp; Outputs'!C$14),1,0)</f>
        <v>0</v>
      </c>
      <c r="F19" s="94">
        <f t="shared" si="10"/>
        <v>3.5558076341622114E-2</v>
      </c>
      <c r="G19" s="95">
        <f>((('Assumed Values'!$C$8-'Assumed Values'!$C$9)*$B$4*'Inputs &amp; Outputs'!$C$21)+(('Assumed Values'!$C$8-'Assumed Values'!$C$9)*$B$4*'Inputs &amp; Outputs'!$C$20))</f>
        <v>7.9934166666666631</v>
      </c>
      <c r="H19" s="95">
        <f t="shared" si="3"/>
        <v>13.500484452058965</v>
      </c>
      <c r="I19" s="95">
        <f t="shared" si="0"/>
        <v>0</v>
      </c>
      <c r="J19" s="95">
        <f t="shared" si="4"/>
        <v>0</v>
      </c>
      <c r="K19" s="96">
        <f>(J19*'Value of Emissions'!$C20)</f>
        <v>0</v>
      </c>
      <c r="L19" s="97">
        <f t="shared" si="5"/>
        <v>0</v>
      </c>
      <c r="M19" s="98">
        <f>((('Assumed Values'!$C$8-'Assumed Values'!$C$9)*$B$5*'Inputs &amp; Outputs'!$C$21)+('Assumed Values'!$C$8-'Assumed Values'!$C$9)*$B$5*'Inputs &amp; Outputs'!$C$20)</f>
        <v>0.65923667202399971</v>
      </c>
      <c r="N19" s="95">
        <f t="shared" si="9"/>
        <v>1.0108544906893933</v>
      </c>
      <c r="O19" s="95">
        <f t="shared" si="1"/>
        <v>0</v>
      </c>
      <c r="P19" s="95">
        <f t="shared" si="6"/>
        <v>0</v>
      </c>
      <c r="Q19" s="99">
        <f>(P19*'Value of Emissions'!$D19)</f>
        <v>0</v>
      </c>
      <c r="R19" s="100">
        <f t="shared" si="7"/>
        <v>0</v>
      </c>
    </row>
    <row r="20" spans="1:18" x14ac:dyDescent="0.3">
      <c r="A20"/>
      <c r="B20"/>
      <c r="C20"/>
      <c r="D20" s="92">
        <f t="shared" si="8"/>
        <v>2039</v>
      </c>
      <c r="E20" s="93">
        <f>IF(AND(D20&gt;='Inputs &amp; Outputs'!C$12,D20&lt;'Inputs &amp; Outputs'!C$12+'Inputs &amp; Outputs'!C$14),1,0)</f>
        <v>0</v>
      </c>
      <c r="F20" s="94">
        <f t="shared" si="10"/>
        <v>3.5558076341622114E-2</v>
      </c>
      <c r="G20" s="95">
        <f>((('Assumed Values'!$C$8-'Assumed Values'!$C$9)*$B$4*'Inputs &amp; Outputs'!$C$21)+(('Assumed Values'!$C$8-'Assumed Values'!$C$9)*$B$4*'Inputs &amp; Outputs'!$C$20))</f>
        <v>7.9934166666666631</v>
      </c>
      <c r="H20" s="95">
        <f t="shared" si="3"/>
        <v>13.980535708854159</v>
      </c>
      <c r="I20" s="95">
        <f t="shared" si="0"/>
        <v>0</v>
      </c>
      <c r="J20" s="95">
        <f t="shared" si="4"/>
        <v>0</v>
      </c>
      <c r="K20" s="96">
        <f>(J20*'Value of Emissions'!$C21)</f>
        <v>0</v>
      </c>
      <c r="L20" s="97">
        <f t="shared" si="5"/>
        <v>0</v>
      </c>
      <c r="M20" s="98">
        <f>((('Assumed Values'!$C$8-'Assumed Values'!$C$9)*$B$5*'Inputs &amp; Outputs'!$C$21)+('Assumed Values'!$C$8-'Assumed Values'!$C$9)*$B$5*'Inputs &amp; Outputs'!$C$20)</f>
        <v>0.65923667202399971</v>
      </c>
      <c r="N20" s="95">
        <f t="shared" si="9"/>
        <v>1.0342956786004196</v>
      </c>
      <c r="O20" s="95">
        <f t="shared" si="1"/>
        <v>0</v>
      </c>
      <c r="P20" s="95">
        <f t="shared" si="6"/>
        <v>0</v>
      </c>
      <c r="Q20" s="99">
        <f>(P20*'Value of Emissions'!$D20)</f>
        <v>0</v>
      </c>
      <c r="R20" s="100">
        <f t="shared" si="7"/>
        <v>0</v>
      </c>
    </row>
    <row r="21" spans="1:18" x14ac:dyDescent="0.3">
      <c r="A21"/>
      <c r="B21"/>
      <c r="C21"/>
      <c r="D21" s="11">
        <f t="shared" si="8"/>
        <v>2040</v>
      </c>
      <c r="E21" s="93">
        <f>IF(AND(D21&gt;='Inputs &amp; Outputs'!C$12,D21&lt;'Inputs &amp; Outputs'!C$12+'Inputs &amp; Outputs'!C$14),1,0)</f>
        <v>0</v>
      </c>
      <c r="F21" s="94">
        <f t="shared" si="10"/>
        <v>3.5558076341622114E-2</v>
      </c>
      <c r="G21" s="95">
        <f>((('Assumed Values'!$C$8-'Assumed Values'!$C$9)*$B$4*'Inputs &amp; Outputs'!$C$21)+(('Assumed Values'!$C$8-'Assumed Values'!$C$9)*$B$4*'Inputs &amp; Outputs'!$C$20))</f>
        <v>7.9934166666666631</v>
      </c>
      <c r="H21" s="95">
        <f t="shared" si="3"/>
        <v>14.47765666488637</v>
      </c>
      <c r="I21" s="95">
        <f t="shared" si="0"/>
        <v>0</v>
      </c>
      <c r="J21" s="95">
        <f t="shared" si="4"/>
        <v>0</v>
      </c>
      <c r="K21" s="96">
        <f>(J21*'Value of Emissions'!$C22)</f>
        <v>0</v>
      </c>
      <c r="L21" s="97">
        <f t="shared" si="5"/>
        <v>0</v>
      </c>
      <c r="M21" s="98">
        <f>((('Assumed Values'!$C$8-'Assumed Values'!$C$9)*$B$5*'Inputs &amp; Outputs'!$C$21)+('Assumed Values'!$C$8-'Assumed Values'!$C$9)*$B$5*'Inputs &amp; Outputs'!$C$20)</f>
        <v>0.65923667202399971</v>
      </c>
      <c r="N21" s="95">
        <f t="shared" si="9"/>
        <v>1.0577368665114459</v>
      </c>
      <c r="O21" s="95">
        <f t="shared" si="1"/>
        <v>0</v>
      </c>
      <c r="P21" s="95">
        <f t="shared" si="6"/>
        <v>0</v>
      </c>
      <c r="Q21" s="99">
        <f>(P21*'Value of Emissions'!$D21)</f>
        <v>0</v>
      </c>
      <c r="R21" s="100">
        <f t="shared" si="7"/>
        <v>0</v>
      </c>
    </row>
    <row r="22" spans="1:18" x14ac:dyDescent="0.3">
      <c r="A22"/>
      <c r="B22"/>
      <c r="C22"/>
      <c r="D22" s="92">
        <f t="shared" si="8"/>
        <v>2041</v>
      </c>
      <c r="E22" s="93">
        <f>IF(AND(D22&gt;='Inputs &amp; Outputs'!C$12,D22&lt;'Inputs &amp; Outputs'!C$12+'Inputs &amp; Outputs'!C$14),1,0)</f>
        <v>0</v>
      </c>
      <c r="F22" s="94">
        <f t="shared" si="10"/>
        <v>3.5558076341622114E-2</v>
      </c>
      <c r="G22" s="95">
        <f>((('Assumed Values'!$C$8-'Assumed Values'!$C$9)*$B$4*'Inputs &amp; Outputs'!$C$21)+(('Assumed Values'!$C$8-'Assumed Values'!$C$9)*$B$4*'Inputs &amp; Outputs'!$C$20))</f>
        <v>7.9934166666666631</v>
      </c>
      <c r="H22" s="95">
        <f t="shared" si="3"/>
        <v>14.992454285824193</v>
      </c>
      <c r="I22" s="95">
        <f t="shared" si="0"/>
        <v>0</v>
      </c>
      <c r="J22" s="95">
        <f t="shared" si="4"/>
        <v>0</v>
      </c>
      <c r="K22" s="96">
        <f>(J22*'Value of Emissions'!$C23)</f>
        <v>0</v>
      </c>
      <c r="L22" s="97">
        <f t="shared" si="5"/>
        <v>0</v>
      </c>
      <c r="M22" s="98">
        <f>((('Assumed Values'!$C$8-'Assumed Values'!$C$9)*$B$5*'Inputs &amp; Outputs'!$C$21)+('Assumed Values'!$C$8-'Assumed Values'!$C$9)*$B$5*'Inputs &amp; Outputs'!$C$20)</f>
        <v>0.65923667202399971</v>
      </c>
      <c r="N22" s="95">
        <f t="shared" si="9"/>
        <v>1.0811780544224723</v>
      </c>
      <c r="O22" s="95">
        <f t="shared" si="1"/>
        <v>0</v>
      </c>
      <c r="P22" s="95">
        <f t="shared" si="6"/>
        <v>0</v>
      </c>
      <c r="Q22" s="99">
        <f>(P22*'Value of Emissions'!$D22)</f>
        <v>0</v>
      </c>
      <c r="R22" s="100">
        <f t="shared" si="7"/>
        <v>0</v>
      </c>
    </row>
    <row r="23" spans="1:18" x14ac:dyDescent="0.3">
      <c r="A23"/>
      <c r="B23"/>
      <c r="C23"/>
      <c r="D23" s="11">
        <f t="shared" si="8"/>
        <v>2042</v>
      </c>
      <c r="E23" s="93">
        <f>IF(AND(D23&gt;='Inputs &amp; Outputs'!C$12,D23&lt;'Inputs &amp; Outputs'!C$12+'Inputs &amp; Outputs'!C$14),1,0)</f>
        <v>0</v>
      </c>
      <c r="F23" s="94">
        <f t="shared" si="10"/>
        <v>3.5558076341622114E-2</v>
      </c>
      <c r="G23" s="95">
        <f>((('Assumed Values'!$C$8-'Assumed Values'!$C$9)*$B$4*'Inputs &amp; Outputs'!$C$21)+(('Assumed Values'!$C$8-'Assumed Values'!$C$9)*$B$4*'Inputs &amp; Outputs'!$C$20))</f>
        <v>7.9934166666666631</v>
      </c>
      <c r="H23" s="95">
        <f t="shared" si="3"/>
        <v>15.525557119867809</v>
      </c>
      <c r="I23" s="95">
        <f t="shared" si="0"/>
        <v>0</v>
      </c>
      <c r="J23" s="95">
        <f t="shared" si="4"/>
        <v>0</v>
      </c>
      <c r="K23" s="96">
        <f>(J23*'Value of Emissions'!$C24)</f>
        <v>0</v>
      </c>
      <c r="L23" s="97">
        <f t="shared" si="5"/>
        <v>0</v>
      </c>
      <c r="M23" s="98">
        <f>((('Assumed Values'!$C$8-'Assumed Values'!$C$9)*$B$5*'Inputs &amp; Outputs'!$C$21)+('Assumed Values'!$C$8-'Assumed Values'!$C$9)*$B$5*'Inputs &amp; Outputs'!$C$20)</f>
        <v>0.65923667202399971</v>
      </c>
      <c r="N23" s="95">
        <f t="shared" si="9"/>
        <v>1.1046192423334986</v>
      </c>
      <c r="O23" s="95">
        <f t="shared" si="1"/>
        <v>0</v>
      </c>
      <c r="P23" s="95">
        <f t="shared" si="6"/>
        <v>0</v>
      </c>
      <c r="Q23" s="99">
        <f>(P23*'Value of Emissions'!$D23)</f>
        <v>0</v>
      </c>
      <c r="R23" s="100">
        <f t="shared" si="7"/>
        <v>0</v>
      </c>
    </row>
    <row r="24" spans="1:18" x14ac:dyDescent="0.3">
      <c r="A24"/>
      <c r="B24"/>
      <c r="C24"/>
      <c r="D24" s="92">
        <f t="shared" si="8"/>
        <v>2043</v>
      </c>
      <c r="E24" s="93">
        <f>IF(AND(D24&gt;='Inputs &amp; Outputs'!C$12,D24&lt;'Inputs &amp; Outputs'!C$12+'Inputs &amp; Outputs'!C$14),1,0)</f>
        <v>0</v>
      </c>
      <c r="F24" s="94">
        <f t="shared" si="10"/>
        <v>3.5558076341622114E-2</v>
      </c>
      <c r="G24" s="95">
        <f>((('Assumed Values'!$C$8-'Assumed Values'!$C$9)*$B$4*'Inputs &amp; Outputs'!$C$21)+(('Assumed Values'!$C$8-'Assumed Values'!$C$9)*$B$4*'Inputs &amp; Outputs'!$C$20))</f>
        <v>7.9934166666666631</v>
      </c>
      <c r="H24" s="95">
        <f t="shared" si="3"/>
        <v>16.077616065182283</v>
      </c>
      <c r="I24" s="95">
        <f t="shared" si="0"/>
        <v>0</v>
      </c>
      <c r="J24" s="95">
        <f t="shared" si="4"/>
        <v>0</v>
      </c>
      <c r="K24" s="96">
        <f>(J24*'Value of Emissions'!$C25)</f>
        <v>0</v>
      </c>
      <c r="L24" s="97">
        <f t="shared" si="5"/>
        <v>0</v>
      </c>
      <c r="M24" s="98">
        <f>((('Assumed Values'!$C$8-'Assumed Values'!$C$9)*$B$5*'Inputs &amp; Outputs'!$C$21)+('Assumed Values'!$C$8-'Assumed Values'!$C$9)*$B$5*'Inputs &amp; Outputs'!$C$20)</f>
        <v>0.65923667202399971</v>
      </c>
      <c r="N24" s="95">
        <f t="shared" si="9"/>
        <v>1.128060430244525</v>
      </c>
      <c r="O24" s="95">
        <f t="shared" si="1"/>
        <v>0</v>
      </c>
      <c r="P24" s="95">
        <f t="shared" si="6"/>
        <v>0</v>
      </c>
      <c r="Q24" s="99">
        <f>(P24*'Value of Emissions'!$D24)</f>
        <v>0</v>
      </c>
      <c r="R24" s="100">
        <f t="shared" si="7"/>
        <v>0</v>
      </c>
    </row>
    <row r="25" spans="1:18" x14ac:dyDescent="0.3">
      <c r="A25"/>
      <c r="B25"/>
      <c r="C25"/>
      <c r="D25" s="11">
        <f t="shared" si="8"/>
        <v>2044</v>
      </c>
      <c r="E25" s="93">
        <f>IF(AND(D25&gt;='Inputs &amp; Outputs'!C$12,D25&lt;'Inputs &amp; Outputs'!C$12+'Inputs &amp; Outputs'!C$14),1,0)</f>
        <v>0</v>
      </c>
      <c r="F25" s="94">
        <f t="shared" si="10"/>
        <v>3.5558076341622114E-2</v>
      </c>
      <c r="G25" s="95">
        <f>((('Assumed Values'!$C$8-'Assumed Values'!$C$9)*$B$4*'Inputs &amp; Outputs'!$C$21)+(('Assumed Values'!$C$8-'Assumed Values'!$C$9)*$B$4*'Inputs &amp; Outputs'!$C$20))</f>
        <v>7.9934166666666631</v>
      </c>
      <c r="H25" s="95">
        <f t="shared" si="3"/>
        <v>16.649305164619324</v>
      </c>
      <c r="I25" s="95">
        <f t="shared" si="0"/>
        <v>0</v>
      </c>
      <c r="J25" s="95">
        <f t="shared" si="4"/>
        <v>0</v>
      </c>
      <c r="K25" s="96">
        <f>(J25*'Value of Emissions'!$C26)</f>
        <v>0</v>
      </c>
      <c r="L25" s="97">
        <f t="shared" si="5"/>
        <v>0</v>
      </c>
      <c r="M25" s="98">
        <f>((('Assumed Values'!$C$8-'Assumed Values'!$C$9)*$B$5*'Inputs &amp; Outputs'!$C$21)+('Assumed Values'!$C$8-'Assumed Values'!$C$9)*$B$5*'Inputs &amp; Outputs'!$C$20)</f>
        <v>0.65923667202399971</v>
      </c>
      <c r="N25" s="95">
        <f t="shared" si="9"/>
        <v>1.1515016181555513</v>
      </c>
      <c r="O25" s="95">
        <f t="shared" si="1"/>
        <v>0</v>
      </c>
      <c r="P25" s="95">
        <f t="shared" si="6"/>
        <v>0</v>
      </c>
      <c r="Q25" s="99">
        <f>(P25*'Value of Emissions'!$D25)</f>
        <v>0</v>
      </c>
      <c r="R25" s="100">
        <f t="shared" si="7"/>
        <v>0</v>
      </c>
    </row>
    <row r="26" spans="1:18" x14ac:dyDescent="0.3">
      <c r="A26"/>
      <c r="B26"/>
      <c r="C26"/>
      <c r="D26" s="92">
        <f t="shared" si="8"/>
        <v>2045</v>
      </c>
      <c r="E26" s="93">
        <f>IF(AND(D26&gt;='Inputs &amp; Outputs'!C$12,D26&lt;'Inputs &amp; Outputs'!C$12+'Inputs &amp; Outputs'!C$14),1,0)</f>
        <v>0</v>
      </c>
      <c r="F26" s="94">
        <f t="shared" si="10"/>
        <v>3.5558076341622114E-2</v>
      </c>
      <c r="G26" s="95">
        <f>((('Assumed Values'!$C$8-'Assumed Values'!$C$9)*$B$4*'Inputs &amp; Outputs'!$C$21)+(('Assumed Values'!$C$8-'Assumed Values'!$C$9)*$B$4*'Inputs &amp; Outputs'!$C$20))</f>
        <v>7.9934166666666631</v>
      </c>
      <c r="H26" s="95">
        <f t="shared" si="3"/>
        <v>17.241322428697821</v>
      </c>
      <c r="I26" s="95">
        <f t="shared" si="0"/>
        <v>0</v>
      </c>
      <c r="J26" s="95">
        <f t="shared" si="4"/>
        <v>0</v>
      </c>
      <c r="K26" s="96">
        <f>(J26*'Value of Emissions'!$C27)</f>
        <v>0</v>
      </c>
      <c r="L26" s="97">
        <f t="shared" si="5"/>
        <v>0</v>
      </c>
      <c r="M26" s="98">
        <f>((('Assumed Values'!$C$8-'Assumed Values'!$C$9)*$B$5*'Inputs &amp; Outputs'!$C$21)+('Assumed Values'!$C$8-'Assumed Values'!$C$9)*$B$5*'Inputs &amp; Outputs'!$C$20)</f>
        <v>0.65923667202399971</v>
      </c>
      <c r="N26" s="95">
        <f t="shared" si="9"/>
        <v>1.1749428060665776</v>
      </c>
      <c r="O26" s="95">
        <f t="shared" si="1"/>
        <v>0</v>
      </c>
      <c r="P26" s="95">
        <f t="shared" si="6"/>
        <v>0</v>
      </c>
      <c r="Q26" s="99">
        <f>(P26*'Value of Emissions'!$D26)</f>
        <v>0</v>
      </c>
      <c r="R26" s="100">
        <f t="shared" si="7"/>
        <v>0</v>
      </c>
    </row>
    <row r="27" spans="1:18" x14ac:dyDescent="0.3">
      <c r="A27"/>
      <c r="B27"/>
      <c r="C27"/>
      <c r="D27" s="11">
        <f t="shared" si="8"/>
        <v>2046</v>
      </c>
      <c r="E27" s="93">
        <f>IF(AND(D27&gt;='Inputs &amp; Outputs'!C$12,D27&lt;'Inputs &amp; Outputs'!C$12+'Inputs &amp; Outputs'!C$14),1,0)</f>
        <v>0</v>
      </c>
      <c r="F27" s="94">
        <f t="shared" si="10"/>
        <v>3.5558076341622114E-2</v>
      </c>
      <c r="G27" s="95">
        <f>((('Assumed Values'!$C$8-'Assumed Values'!$C$9)*$B$4*'Inputs &amp; Outputs'!$C$21)+(('Assumed Values'!$C$8-'Assumed Values'!$C$9)*$B$4*'Inputs &amp; Outputs'!$C$20))</f>
        <v>7.9934166666666631</v>
      </c>
      <c r="H27" s="95">
        <f t="shared" si="3"/>
        <v>17.854390687847978</v>
      </c>
      <c r="I27" s="95">
        <f t="shared" si="0"/>
        <v>0</v>
      </c>
      <c r="J27" s="95">
        <f t="shared" si="4"/>
        <v>0</v>
      </c>
      <c r="K27" s="96">
        <f>(J27*'Value of Emissions'!$C28)</f>
        <v>0</v>
      </c>
      <c r="L27" s="97">
        <f t="shared" si="5"/>
        <v>0</v>
      </c>
      <c r="M27" s="98">
        <f>((('Assumed Values'!$C$8-'Assumed Values'!$C$9)*$B$5*'Inputs &amp; Outputs'!$C$21)+('Assumed Values'!$C$8-'Assumed Values'!$C$9)*$B$5*'Inputs &amp; Outputs'!$C$20)</f>
        <v>0.65923667202399971</v>
      </c>
      <c r="N27" s="95">
        <f t="shared" si="9"/>
        <v>1.198383993977604</v>
      </c>
      <c r="O27" s="95">
        <f t="shared" si="1"/>
        <v>0</v>
      </c>
      <c r="P27" s="95">
        <f t="shared" si="6"/>
        <v>0</v>
      </c>
      <c r="Q27" s="99">
        <f>(P27*'Value of Emissions'!$D27)</f>
        <v>0</v>
      </c>
      <c r="R27" s="100">
        <f t="shared" si="7"/>
        <v>0</v>
      </c>
    </row>
    <row r="28" spans="1:18" x14ac:dyDescent="0.3">
      <c r="A28"/>
      <c r="B28"/>
      <c r="C28"/>
      <c r="D28" s="11">
        <f t="shared" si="8"/>
        <v>2047</v>
      </c>
      <c r="E28" s="93">
        <f>IF(AND(D28&gt;='Inputs &amp; Outputs'!C$12,D28&lt;'Inputs &amp; Outputs'!C$12+'Inputs &amp; Outputs'!C$14),1,0)</f>
        <v>0</v>
      </c>
      <c r="F28" s="94">
        <f t="shared" si="10"/>
        <v>3.5558076341622114E-2</v>
      </c>
      <c r="G28" s="95">
        <f>((('Assumed Values'!$C$8-'Assumed Values'!$C$9)*$B$4*'Inputs &amp; Outputs'!$C$21)+(('Assumed Values'!$C$8-'Assumed Values'!$C$9)*$B$4*'Inputs &amp; Outputs'!$C$20))</f>
        <v>7.9934166666666631</v>
      </c>
      <c r="H28" s="95">
        <f t="shared" si="3"/>
        <v>18.489258474959623</v>
      </c>
      <c r="I28" s="95">
        <f t="shared" si="0"/>
        <v>0</v>
      </c>
      <c r="J28" s="95">
        <f t="shared" si="4"/>
        <v>0</v>
      </c>
      <c r="K28" s="96">
        <f>(J28*'Value of Emissions'!$C29)</f>
        <v>0</v>
      </c>
      <c r="L28" s="97">
        <f t="shared" si="5"/>
        <v>0</v>
      </c>
      <c r="M28" s="98">
        <f>((('Assumed Values'!$C$8-'Assumed Values'!$C$9)*$B$5*'Inputs &amp; Outputs'!$C$21)+('Assumed Values'!$C$8-'Assumed Values'!$C$9)*$B$5*'Inputs &amp; Outputs'!$C$20)</f>
        <v>0.65923667202399971</v>
      </c>
      <c r="N28" s="95">
        <f t="shared" si="9"/>
        <v>1.2218251818886303</v>
      </c>
      <c r="O28" s="95">
        <f t="shared" si="1"/>
        <v>0</v>
      </c>
      <c r="P28" s="95">
        <f t="shared" si="6"/>
        <v>0</v>
      </c>
      <c r="Q28" s="99">
        <f>(P28*'Value of Emissions'!$D28)</f>
        <v>0</v>
      </c>
      <c r="R28" s="100">
        <f t="shared" si="7"/>
        <v>0</v>
      </c>
    </row>
    <row r="29" spans="1:18" x14ac:dyDescent="0.3">
      <c r="A29"/>
      <c r="B29"/>
      <c r="C29"/>
      <c r="D29" s="11">
        <f t="shared" si="8"/>
        <v>2048</v>
      </c>
      <c r="E29" s="93">
        <f>IF(AND(D29&gt;='Inputs &amp; Outputs'!C$12,D29&lt;'Inputs &amp; Outputs'!C$12+'Inputs &amp; Outputs'!C$14),1,0)</f>
        <v>0</v>
      </c>
      <c r="F29" s="94">
        <f t="shared" si="10"/>
        <v>3.5558076341622114E-2</v>
      </c>
      <c r="G29" s="95">
        <f>((('Assumed Values'!$C$8-'Assumed Values'!$C$9)*$B$4*'Inputs &amp; Outputs'!$C$21)+(('Assumed Values'!$C$8-'Assumed Values'!$C$9)*$B$4*'Inputs &amp; Outputs'!$C$20))</f>
        <v>7.9934166666666631</v>
      </c>
      <c r="H29" s="95">
        <f t="shared" si="3"/>
        <v>19.146700939312222</v>
      </c>
      <c r="I29" s="95">
        <f t="shared" si="0"/>
        <v>0</v>
      </c>
      <c r="J29" s="95">
        <f t="shared" si="4"/>
        <v>0</v>
      </c>
      <c r="K29" s="96">
        <f>(J29*'Value of Emissions'!$C30)</f>
        <v>0</v>
      </c>
      <c r="L29" s="97">
        <f t="shared" si="5"/>
        <v>0</v>
      </c>
      <c r="M29" s="98">
        <f>((('Assumed Values'!$C$8-'Assumed Values'!$C$9)*$B$5*'Inputs &amp; Outputs'!$C$21)+('Assumed Values'!$C$8-'Assumed Values'!$C$9)*$B$5*'Inputs &amp; Outputs'!$C$20)</f>
        <v>0.65923667202399971</v>
      </c>
      <c r="N29" s="95">
        <f t="shared" si="9"/>
        <v>1.2452663697996567</v>
      </c>
      <c r="O29" s="95">
        <f t="shared" si="1"/>
        <v>0</v>
      </c>
      <c r="P29" s="95">
        <f t="shared" si="6"/>
        <v>0</v>
      </c>
      <c r="Q29" s="99">
        <f>(P29*'Value of Emissions'!$D29)</f>
        <v>0</v>
      </c>
      <c r="R29" s="100">
        <f t="shared" si="7"/>
        <v>0</v>
      </c>
    </row>
    <row r="30" spans="1:18" x14ac:dyDescent="0.3">
      <c r="A30"/>
      <c r="B30"/>
      <c r="C30"/>
      <c r="D30" s="11">
        <f t="shared" si="8"/>
        <v>2049</v>
      </c>
      <c r="E30" s="93">
        <f>IF(AND(D30&gt;='Inputs &amp; Outputs'!C$12,D30&lt;'Inputs &amp; Outputs'!C$12+'Inputs &amp; Outputs'!C$14),1,0)</f>
        <v>0</v>
      </c>
      <c r="F30" s="94">
        <f t="shared" si="10"/>
        <v>3.5558076341622114E-2</v>
      </c>
      <c r="G30" s="95">
        <f>((('Assumed Values'!$C$8-'Assumed Values'!$C$9)*$B$4*'Inputs &amp; Outputs'!$C$21)+(('Assumed Values'!$C$8-'Assumed Values'!$C$9)*$B$4*'Inputs &amp; Outputs'!$C$20))</f>
        <v>7.9934166666666631</v>
      </c>
      <c r="H30" s="95">
        <f t="shared" si="3"/>
        <v>19.827520793002492</v>
      </c>
      <c r="I30" s="95">
        <f t="shared" si="0"/>
        <v>0</v>
      </c>
      <c r="J30" s="95">
        <f t="shared" si="4"/>
        <v>0</v>
      </c>
      <c r="K30" s="96">
        <f>(J30*'Value of Emissions'!$C31)</f>
        <v>0</v>
      </c>
      <c r="L30" s="97">
        <f t="shared" si="5"/>
        <v>0</v>
      </c>
      <c r="M30" s="98">
        <f>((('Assumed Values'!$C$8-'Assumed Values'!$C$9)*$B$5*'Inputs &amp; Outputs'!$C$21)+('Assumed Values'!$C$8-'Assumed Values'!$C$9)*$B$5*'Inputs &amp; Outputs'!$C$20)</f>
        <v>0.65923667202399971</v>
      </c>
      <c r="N30" s="95">
        <f t="shared" si="9"/>
        <v>1.268707557710683</v>
      </c>
      <c r="O30" s="95">
        <f t="shared" si="1"/>
        <v>0</v>
      </c>
      <c r="P30" s="95">
        <f t="shared" si="6"/>
        <v>0</v>
      </c>
      <c r="Q30" s="99">
        <f>(P30*'Value of Emissions'!$D30)</f>
        <v>0</v>
      </c>
      <c r="R30" s="100">
        <f t="shared" si="7"/>
        <v>0</v>
      </c>
    </row>
    <row r="31" spans="1:18" x14ac:dyDescent="0.3">
      <c r="A31"/>
      <c r="B31"/>
      <c r="C31"/>
      <c r="D31" s="11">
        <f t="shared" si="8"/>
        <v>2050</v>
      </c>
      <c r="E31" s="93">
        <f>IF(AND(D31&gt;='Inputs &amp; Outputs'!C$12,D31&lt;'Inputs &amp; Outputs'!C$12+'Inputs &amp; Outputs'!C$14),1,0)</f>
        <v>0</v>
      </c>
      <c r="F31" s="94">
        <f t="shared" si="10"/>
        <v>3.5558076341622114E-2</v>
      </c>
      <c r="G31" s="95">
        <f>((('Assumed Values'!$C$8-'Assumed Values'!$C$9)*$B$4*'Inputs &amp; Outputs'!$C$21)+(('Assumed Values'!$C$8-'Assumed Values'!$C$9)*$B$4*'Inputs &amp; Outputs'!$C$20))</f>
        <v>7.9934166666666631</v>
      </c>
      <c r="H31" s="95">
        <f t="shared" si="3"/>
        <v>20.532549291025173</v>
      </c>
      <c r="I31" s="95">
        <f t="shared" si="0"/>
        <v>0</v>
      </c>
      <c r="J31" s="95">
        <f t="shared" si="4"/>
        <v>0</v>
      </c>
      <c r="K31" s="96">
        <f>(J31*'Value of Emissions'!$C32)</f>
        <v>0</v>
      </c>
      <c r="L31" s="97">
        <f t="shared" si="5"/>
        <v>0</v>
      </c>
      <c r="M31" s="98">
        <f>((('Assumed Values'!$C$8-'Assumed Values'!$C$9)*$B$5*'Inputs &amp; Outputs'!$C$21)+('Assumed Values'!$C$8-'Assumed Values'!$C$9)*$B$5*'Inputs &amp; Outputs'!$C$20)</f>
        <v>0.65923667202399971</v>
      </c>
      <c r="N31" s="95">
        <f t="shared" si="9"/>
        <v>1.2921487456217093</v>
      </c>
      <c r="O31" s="95">
        <f t="shared" si="1"/>
        <v>0</v>
      </c>
      <c r="P31" s="95">
        <f t="shared" si="6"/>
        <v>0</v>
      </c>
      <c r="Q31" s="99">
        <f>(P31*'Value of Emissions'!$D31)</f>
        <v>0</v>
      </c>
      <c r="R31" s="100">
        <f t="shared" si="7"/>
        <v>0</v>
      </c>
    </row>
    <row r="32" spans="1:18" x14ac:dyDescent="0.3">
      <c r="A32"/>
      <c r="B32"/>
      <c r="C32"/>
      <c r="D32" s="11">
        <f t="shared" si="8"/>
        <v>2051</v>
      </c>
      <c r="E32" s="93">
        <f>IF(AND(D32&gt;='Inputs &amp; Outputs'!C$12,D32&lt;'Inputs &amp; Outputs'!C$12+'Inputs &amp; Outputs'!C$14),1,0)</f>
        <v>0</v>
      </c>
      <c r="F32" s="94">
        <f t="shared" si="10"/>
        <v>3.5558076341622114E-2</v>
      </c>
      <c r="G32" s="95">
        <f>((('Assumed Values'!$C$8-'Assumed Values'!$C$9)*$B$4*'Inputs &amp; Outputs'!$C$21)+(('Assumed Values'!$C$8-'Assumed Values'!$C$9)*$B$4*'Inputs &amp; Outputs'!$C$20))</f>
        <v>7.9934166666666631</v>
      </c>
      <c r="H32" s="95">
        <f t="shared" si="3"/>
        <v>21.262647246203564</v>
      </c>
      <c r="I32" s="95">
        <f t="shared" si="0"/>
        <v>0</v>
      </c>
      <c r="J32" s="95">
        <f t="shared" si="4"/>
        <v>0</v>
      </c>
      <c r="K32" s="96">
        <f>(J32*'Value of Emissions'!$C33)</f>
        <v>0</v>
      </c>
      <c r="L32" s="97">
        <f t="shared" si="5"/>
        <v>0</v>
      </c>
      <c r="M32" s="98">
        <f>((('Assumed Values'!$C$8-'Assumed Values'!$C$9)*$B$5*'Inputs &amp; Outputs'!$C$21)+('Assumed Values'!$C$8-'Assumed Values'!$C$9)*$B$5*'Inputs &amp; Outputs'!$C$20)</f>
        <v>0.65923667202399971</v>
      </c>
      <c r="N32" s="95">
        <f t="shared" si="9"/>
        <v>1.3155899335327357</v>
      </c>
      <c r="O32" s="95">
        <f t="shared" si="1"/>
        <v>0</v>
      </c>
      <c r="P32" s="95">
        <f t="shared" si="6"/>
        <v>0</v>
      </c>
      <c r="Q32" s="99">
        <f>(P32*'Value of Emissions'!$D32)</f>
        <v>0</v>
      </c>
      <c r="R32" s="100">
        <f t="shared" si="7"/>
        <v>0</v>
      </c>
    </row>
    <row r="33" spans="1:18" x14ac:dyDescent="0.3">
      <c r="A33"/>
      <c r="B33"/>
      <c r="C33"/>
      <c r="D33" s="11">
        <f t="shared" si="8"/>
        <v>2052</v>
      </c>
      <c r="E33" s="93">
        <f>IF(AND(D33&gt;='Inputs &amp; Outputs'!C$12,D33&lt;'Inputs &amp; Outputs'!C$12+'Inputs &amp; Outputs'!C$14),1,0)</f>
        <v>0</v>
      </c>
      <c r="F33" s="94">
        <f t="shared" si="10"/>
        <v>3.5558076341622114E-2</v>
      </c>
      <c r="G33" s="95">
        <f>((('Assumed Values'!$C$8-'Assumed Values'!$C$9)*$B$4*'Inputs &amp; Outputs'!$C$21)+(('Assumed Values'!$C$8-'Assumed Values'!$C$9)*$B$4*'Inputs &amp; Outputs'!$C$20))</f>
        <v>7.9934166666666631</v>
      </c>
      <c r="H33" s="95">
        <f t="shared" si="3"/>
        <v>22.01870608020905</v>
      </c>
      <c r="I33" s="95">
        <f t="shared" si="0"/>
        <v>0</v>
      </c>
      <c r="J33" s="95">
        <f t="shared" si="4"/>
        <v>0</v>
      </c>
      <c r="K33" s="96">
        <f>(J33*'Value of Emissions'!$C34)</f>
        <v>0</v>
      </c>
      <c r="L33" s="97">
        <f t="shared" si="5"/>
        <v>0</v>
      </c>
      <c r="M33" s="98">
        <f>((('Assumed Values'!$C$8-'Assumed Values'!$C$9)*$B$5*'Inputs &amp; Outputs'!$C$21)+('Assumed Values'!$C$8-'Assumed Values'!$C$9)*$B$5*'Inputs &amp; Outputs'!$C$20)</f>
        <v>0.65923667202399971</v>
      </c>
      <c r="N33" s="95">
        <f t="shared" si="9"/>
        <v>1.339031121443762</v>
      </c>
      <c r="O33" s="95">
        <f t="shared" si="1"/>
        <v>0</v>
      </c>
      <c r="P33" s="95">
        <f t="shared" si="6"/>
        <v>0</v>
      </c>
      <c r="Q33" s="99">
        <f>(P33*'Value of Emissions'!$D33)</f>
        <v>0</v>
      </c>
      <c r="R33" s="100">
        <f t="shared" si="7"/>
        <v>0</v>
      </c>
    </row>
    <row r="34" spans="1:18" x14ac:dyDescent="0.3">
      <c r="A34"/>
      <c r="B34"/>
      <c r="C34"/>
      <c r="D34" s="11">
        <f t="shared" si="8"/>
        <v>2053</v>
      </c>
      <c r="E34" s="93">
        <f>IF(AND(D34&gt;='Inputs &amp; Outputs'!C$12,D34&lt;'Inputs &amp; Outputs'!C$12+'Inputs &amp; Outputs'!C$14),1,0)</f>
        <v>0</v>
      </c>
      <c r="F34" s="94">
        <f t="shared" si="10"/>
        <v>3.5558076341622114E-2</v>
      </c>
      <c r="G34" s="95">
        <f>((('Assumed Values'!$C$8-'Assumed Values'!$C$9)*$B$4*'Inputs &amp; Outputs'!$C$21)+(('Assumed Values'!$C$8-'Assumed Values'!$C$9)*$B$4*'Inputs &amp; Outputs'!$C$20))</f>
        <v>7.9934166666666631</v>
      </c>
      <c r="H34" s="95">
        <f t="shared" si="3"/>
        <v>22.801648911952864</v>
      </c>
      <c r="I34" s="95">
        <f t="shared" si="0"/>
        <v>0</v>
      </c>
      <c r="J34" s="95">
        <f t="shared" si="4"/>
        <v>0</v>
      </c>
      <c r="K34" s="96">
        <f>(J34*'Value of Emissions'!$C35)</f>
        <v>0</v>
      </c>
      <c r="L34" s="97">
        <f t="shared" si="5"/>
        <v>0</v>
      </c>
      <c r="M34" s="98">
        <f>((('Assumed Values'!$C$8-'Assumed Values'!$C$9)*$B$5*'Inputs &amp; Outputs'!$C$21)+('Assumed Values'!$C$8-'Assumed Values'!$C$9)*$B$5*'Inputs &amp; Outputs'!$C$20)</f>
        <v>0.65923667202399971</v>
      </c>
      <c r="N34" s="95">
        <f t="shared" si="9"/>
        <v>1.3624723093547884</v>
      </c>
      <c r="O34" s="95">
        <f t="shared" si="1"/>
        <v>0</v>
      </c>
      <c r="P34" s="95">
        <f t="shared" si="6"/>
        <v>0</v>
      </c>
      <c r="Q34" s="99">
        <f>(P34*'Value of Emissions'!$D34)</f>
        <v>0</v>
      </c>
      <c r="R34" s="100">
        <f t="shared" si="7"/>
        <v>0</v>
      </c>
    </row>
    <row r="35" spans="1:18" x14ac:dyDescent="0.3">
      <c r="A35"/>
      <c r="B35"/>
      <c r="C35"/>
      <c r="D35" s="103" t="s">
        <v>55</v>
      </c>
      <c r="E35" s="104"/>
      <c r="F35" s="105"/>
      <c r="G35" s="106"/>
      <c r="H35" s="106"/>
      <c r="I35" s="107">
        <f>SUM(I4:I34)</f>
        <v>36.160495501656222</v>
      </c>
      <c r="J35" s="107">
        <f t="shared" ref="J35" si="11">I35*0.001*0.001102*260</f>
        <v>1.036070517113454E-2</v>
      </c>
      <c r="K35" s="108">
        <f>SUM(K4:K34)</f>
        <v>279.35743897657653</v>
      </c>
      <c r="L35" s="109">
        <f>SUM(L4:L34)</f>
        <v>250.69576783031425</v>
      </c>
      <c r="M35" s="110"/>
      <c r="N35" s="106"/>
      <c r="O35" s="107">
        <f>SUM(O4:O34)</f>
        <v>2.9651233188503658</v>
      </c>
      <c r="P35" s="107">
        <f>SUM(P4:P34)</f>
        <v>1.0822700113803834E-3</v>
      </c>
      <c r="Q35" s="111">
        <f>SUM(Q4:Q34)</f>
        <v>1086.1674093481163</v>
      </c>
      <c r="R35" s="112">
        <f>SUM(R4:R34)</f>
        <v>974.80293738909836</v>
      </c>
    </row>
    <row r="36" spans="1:18" x14ac:dyDescent="0.3">
      <c r="A36"/>
      <c r="B36"/>
      <c r="C36"/>
      <c r="D36" s="83"/>
      <c r="E36" s="83"/>
      <c r="F36" s="83"/>
      <c r="G36"/>
      <c r="H36"/>
      <c r="I36"/>
      <c r="J36"/>
      <c r="K36" s="84"/>
      <c r="L36" s="84"/>
      <c r="M36"/>
      <c r="N36"/>
      <c r="O36"/>
      <c r="P36"/>
      <c r="Q36" s="84"/>
      <c r="R36" s="84"/>
    </row>
  </sheetData>
  <sheetProtection algorithmName="SHA-512" hashValue="7SRkAh2rFHDhMJHbvzFhDQr+MkZ29oMDfyD7+oRomxrowCtzhwuG4/kcgxKV5lfqFfqhjdRO1sv3fuMABQ5tbA==" saltValue="iBLN+qXO3EPGttTcdHteoA==" spinCount="100000" sheet="1" objects="1" scenarios="1"/>
  <pageMargins left="0.25" right="0.25" top="0.75" bottom="0.75" header="0.3" footer="0.3"/>
  <pageSetup paperSize="3" scale="87"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D56F50-B136-48B6-8970-931B42003E41}">
  <sheetPr>
    <tabColor theme="1"/>
  </sheetPr>
  <dimension ref="B1:F36"/>
  <sheetViews>
    <sheetView zoomScale="130" zoomScaleNormal="130" workbookViewId="0">
      <selection activeCell="J4" sqref="J4"/>
    </sheetView>
  </sheetViews>
  <sheetFormatPr defaultRowHeight="14.4" x14ac:dyDescent="0.3"/>
  <cols>
    <col min="1" max="1" width="2.88671875" customWidth="1"/>
    <col min="2" max="6" width="15.6640625" customWidth="1"/>
  </cols>
  <sheetData>
    <row r="1" spans="2:6" x14ac:dyDescent="0.3">
      <c r="B1" s="2" t="s">
        <v>132</v>
      </c>
    </row>
    <row r="2" spans="2:6" ht="15" thickBot="1" x14ac:dyDescent="0.35">
      <c r="B2" s="2"/>
    </row>
    <row r="3" spans="2:6" x14ac:dyDescent="0.3">
      <c r="B3" s="113" t="s">
        <v>13</v>
      </c>
      <c r="C3" s="114" t="s">
        <v>96</v>
      </c>
      <c r="D3" s="114" t="s">
        <v>97</v>
      </c>
      <c r="E3" s="114" t="s">
        <v>98</v>
      </c>
      <c r="F3" s="115" t="s">
        <v>99</v>
      </c>
    </row>
    <row r="4" spans="2:6" x14ac:dyDescent="0.3">
      <c r="B4" s="116">
        <v>2023</v>
      </c>
      <c r="C4" s="117">
        <v>19800</v>
      </c>
      <c r="D4" s="117">
        <v>951000</v>
      </c>
      <c r="E4" s="117">
        <v>52900</v>
      </c>
      <c r="F4" s="118">
        <v>228</v>
      </c>
    </row>
    <row r="5" spans="2:6" x14ac:dyDescent="0.3">
      <c r="B5" s="116">
        <v>2024</v>
      </c>
      <c r="C5" s="117">
        <v>20100</v>
      </c>
      <c r="D5" s="117">
        <v>963200</v>
      </c>
      <c r="E5" s="117">
        <v>53800</v>
      </c>
      <c r="F5" s="118">
        <v>233</v>
      </c>
    </row>
    <row r="6" spans="2:6" x14ac:dyDescent="0.3">
      <c r="B6" s="116">
        <v>2025</v>
      </c>
      <c r="C6" s="117">
        <v>20300</v>
      </c>
      <c r="D6" s="117">
        <v>975500</v>
      </c>
      <c r="E6" s="117">
        <v>54800</v>
      </c>
      <c r="F6" s="118">
        <v>237</v>
      </c>
    </row>
    <row r="7" spans="2:6" x14ac:dyDescent="0.3">
      <c r="B7" s="116">
        <v>2026</v>
      </c>
      <c r="C7" s="117">
        <v>20600</v>
      </c>
      <c r="D7" s="117">
        <v>993500</v>
      </c>
      <c r="E7" s="117">
        <v>56100</v>
      </c>
      <c r="F7" s="118">
        <v>241</v>
      </c>
    </row>
    <row r="8" spans="2:6" x14ac:dyDescent="0.3">
      <c r="B8" s="116">
        <v>2027</v>
      </c>
      <c r="C8" s="117">
        <v>21000</v>
      </c>
      <c r="D8" s="117">
        <v>1011900</v>
      </c>
      <c r="E8" s="117">
        <v>57400</v>
      </c>
      <c r="F8" s="118">
        <v>245</v>
      </c>
    </row>
    <row r="9" spans="2:6" x14ac:dyDescent="0.3">
      <c r="B9" s="116">
        <v>2028</v>
      </c>
      <c r="C9" s="117">
        <v>21300</v>
      </c>
      <c r="D9" s="117">
        <v>1030600</v>
      </c>
      <c r="E9" s="117">
        <v>58700</v>
      </c>
      <c r="F9" s="118">
        <v>250</v>
      </c>
    </row>
    <row r="10" spans="2:6" x14ac:dyDescent="0.3">
      <c r="B10" s="116">
        <v>2029</v>
      </c>
      <c r="C10" s="117">
        <v>21700</v>
      </c>
      <c r="D10" s="117">
        <v>1049600</v>
      </c>
      <c r="E10" s="117">
        <v>60100</v>
      </c>
      <c r="F10" s="118">
        <v>253</v>
      </c>
    </row>
    <row r="11" spans="2:6" x14ac:dyDescent="0.3">
      <c r="B11" s="116">
        <v>2030</v>
      </c>
      <c r="C11" s="117">
        <v>22000</v>
      </c>
      <c r="D11" s="117">
        <v>1069000</v>
      </c>
      <c r="E11" s="117">
        <v>61500</v>
      </c>
      <c r="F11" s="118">
        <v>257</v>
      </c>
    </row>
    <row r="12" spans="2:6" x14ac:dyDescent="0.3">
      <c r="B12" s="116">
        <v>2031</v>
      </c>
      <c r="C12" s="117">
        <v>22000</v>
      </c>
      <c r="D12" s="117">
        <v>1069000</v>
      </c>
      <c r="E12" s="117">
        <v>61500</v>
      </c>
      <c r="F12" s="118">
        <v>262</v>
      </c>
    </row>
    <row r="13" spans="2:6" x14ac:dyDescent="0.3">
      <c r="B13" s="116">
        <v>2032</v>
      </c>
      <c r="C13" s="117">
        <v>22000</v>
      </c>
      <c r="D13" s="117">
        <v>1069000</v>
      </c>
      <c r="E13" s="117">
        <v>61500</v>
      </c>
      <c r="F13" s="118">
        <v>265</v>
      </c>
    </row>
    <row r="14" spans="2:6" x14ac:dyDescent="0.3">
      <c r="B14" s="116">
        <v>2033</v>
      </c>
      <c r="C14" s="117">
        <v>22000</v>
      </c>
      <c r="D14" s="117">
        <v>1069000</v>
      </c>
      <c r="E14" s="117">
        <v>61500</v>
      </c>
      <c r="F14" s="118">
        <v>270</v>
      </c>
    </row>
    <row r="15" spans="2:6" x14ac:dyDescent="0.3">
      <c r="B15" s="116">
        <v>2034</v>
      </c>
      <c r="C15" s="117">
        <v>22000</v>
      </c>
      <c r="D15" s="117">
        <v>1069000</v>
      </c>
      <c r="E15" s="117">
        <v>61500</v>
      </c>
      <c r="F15" s="118">
        <v>274</v>
      </c>
    </row>
    <row r="16" spans="2:6" x14ac:dyDescent="0.3">
      <c r="B16" s="116">
        <v>2035</v>
      </c>
      <c r="C16" s="117">
        <v>22000</v>
      </c>
      <c r="D16" s="117">
        <v>1069000</v>
      </c>
      <c r="E16" s="117">
        <v>61500</v>
      </c>
      <c r="F16" s="118">
        <v>278</v>
      </c>
    </row>
    <row r="17" spans="2:6" x14ac:dyDescent="0.3">
      <c r="B17" s="116">
        <v>2036</v>
      </c>
      <c r="C17" s="117">
        <v>22000</v>
      </c>
      <c r="D17" s="117">
        <v>1069000</v>
      </c>
      <c r="E17" s="117">
        <v>61500</v>
      </c>
      <c r="F17" s="118">
        <v>282</v>
      </c>
    </row>
    <row r="18" spans="2:6" x14ac:dyDescent="0.3">
      <c r="B18" s="116">
        <v>2037</v>
      </c>
      <c r="C18" s="117">
        <v>22000</v>
      </c>
      <c r="D18" s="117">
        <v>1069000</v>
      </c>
      <c r="E18" s="117">
        <v>61500</v>
      </c>
      <c r="F18" s="118">
        <v>287</v>
      </c>
    </row>
    <row r="19" spans="2:6" x14ac:dyDescent="0.3">
      <c r="B19" s="116">
        <v>2038</v>
      </c>
      <c r="C19" s="117">
        <v>22000</v>
      </c>
      <c r="D19" s="117">
        <v>1069000</v>
      </c>
      <c r="E19" s="117">
        <v>61500</v>
      </c>
      <c r="F19" s="118">
        <v>290</v>
      </c>
    </row>
    <row r="20" spans="2:6" x14ac:dyDescent="0.3">
      <c r="B20" s="116">
        <v>2039</v>
      </c>
      <c r="C20" s="117">
        <v>22000</v>
      </c>
      <c r="D20" s="117">
        <v>1069000</v>
      </c>
      <c r="E20" s="117">
        <v>61500</v>
      </c>
      <c r="F20" s="118">
        <v>294</v>
      </c>
    </row>
    <row r="21" spans="2:6" x14ac:dyDescent="0.3">
      <c r="B21" s="116">
        <v>2040</v>
      </c>
      <c r="C21" s="117">
        <v>22000</v>
      </c>
      <c r="D21" s="117">
        <v>1069000</v>
      </c>
      <c r="E21" s="117">
        <v>61500</v>
      </c>
      <c r="F21" s="118">
        <v>299</v>
      </c>
    </row>
    <row r="22" spans="2:6" x14ac:dyDescent="0.3">
      <c r="B22" s="116">
        <v>2041</v>
      </c>
      <c r="C22" s="117">
        <v>22000</v>
      </c>
      <c r="D22" s="117">
        <v>1069000</v>
      </c>
      <c r="E22" s="117">
        <v>61500</v>
      </c>
      <c r="F22" s="118">
        <v>303</v>
      </c>
    </row>
    <row r="23" spans="2:6" x14ac:dyDescent="0.3">
      <c r="B23" s="116">
        <v>2042</v>
      </c>
      <c r="C23" s="117">
        <v>22000</v>
      </c>
      <c r="D23" s="117">
        <v>1069000</v>
      </c>
      <c r="E23" s="117">
        <v>61500</v>
      </c>
      <c r="F23" s="118">
        <v>308</v>
      </c>
    </row>
    <row r="24" spans="2:6" x14ac:dyDescent="0.3">
      <c r="B24" s="116">
        <v>2043</v>
      </c>
      <c r="C24" s="117">
        <v>22000</v>
      </c>
      <c r="D24" s="117">
        <v>1069000</v>
      </c>
      <c r="E24" s="117">
        <v>61500</v>
      </c>
      <c r="F24" s="118">
        <v>312</v>
      </c>
    </row>
    <row r="25" spans="2:6" x14ac:dyDescent="0.3">
      <c r="B25" s="116">
        <v>2044</v>
      </c>
      <c r="C25" s="117">
        <v>22000</v>
      </c>
      <c r="D25" s="117">
        <v>1069000</v>
      </c>
      <c r="E25" s="117">
        <v>61500</v>
      </c>
      <c r="F25" s="118">
        <v>317</v>
      </c>
    </row>
    <row r="26" spans="2:6" x14ac:dyDescent="0.3">
      <c r="B26" s="116">
        <v>2045</v>
      </c>
      <c r="C26" s="117">
        <v>22000</v>
      </c>
      <c r="D26" s="117">
        <v>1069000</v>
      </c>
      <c r="E26" s="117">
        <v>61500</v>
      </c>
      <c r="F26" s="118">
        <v>321</v>
      </c>
    </row>
    <row r="27" spans="2:6" x14ac:dyDescent="0.3">
      <c r="B27" s="116">
        <v>2046</v>
      </c>
      <c r="C27" s="117">
        <v>22000</v>
      </c>
      <c r="D27" s="117">
        <v>1069000</v>
      </c>
      <c r="E27" s="117">
        <v>61500</v>
      </c>
      <c r="F27" s="118">
        <v>326</v>
      </c>
    </row>
    <row r="28" spans="2:6" x14ac:dyDescent="0.3">
      <c r="B28" s="116">
        <v>2047</v>
      </c>
      <c r="C28" s="117">
        <v>22000</v>
      </c>
      <c r="D28" s="117">
        <v>1069000</v>
      </c>
      <c r="E28" s="117">
        <v>61500</v>
      </c>
      <c r="F28" s="118">
        <v>331</v>
      </c>
    </row>
    <row r="29" spans="2:6" x14ac:dyDescent="0.3">
      <c r="B29" s="116">
        <v>2048</v>
      </c>
      <c r="C29" s="117">
        <v>22000</v>
      </c>
      <c r="D29" s="117">
        <v>1069000</v>
      </c>
      <c r="E29" s="117">
        <v>61500</v>
      </c>
      <c r="F29" s="118">
        <v>336</v>
      </c>
    </row>
    <row r="30" spans="2:6" x14ac:dyDescent="0.3">
      <c r="B30" s="116">
        <v>2049</v>
      </c>
      <c r="C30" s="117">
        <v>22000</v>
      </c>
      <c r="D30" s="117">
        <v>1069000</v>
      </c>
      <c r="E30" s="117">
        <v>61500</v>
      </c>
      <c r="F30" s="118">
        <v>340</v>
      </c>
    </row>
    <row r="31" spans="2:6" x14ac:dyDescent="0.3">
      <c r="B31" s="116">
        <v>2050</v>
      </c>
      <c r="C31" s="117">
        <v>22000</v>
      </c>
      <c r="D31" s="117">
        <v>1069000</v>
      </c>
      <c r="E31" s="117">
        <v>61500</v>
      </c>
      <c r="F31" s="118">
        <v>345</v>
      </c>
    </row>
    <row r="32" spans="2:6" x14ac:dyDescent="0.3">
      <c r="B32" s="116">
        <v>2051</v>
      </c>
      <c r="C32" s="117">
        <v>22000</v>
      </c>
      <c r="D32" s="117">
        <v>1069000</v>
      </c>
      <c r="E32" s="117">
        <v>61500</v>
      </c>
      <c r="F32" s="118">
        <v>349</v>
      </c>
    </row>
    <row r="33" spans="2:6" x14ac:dyDescent="0.3">
      <c r="B33" s="116">
        <v>2052</v>
      </c>
      <c r="C33" s="117">
        <v>22000</v>
      </c>
      <c r="D33" s="117">
        <v>1069000</v>
      </c>
      <c r="E33" s="117">
        <v>61500</v>
      </c>
      <c r="F33" s="118">
        <v>353</v>
      </c>
    </row>
    <row r="34" spans="2:6" x14ac:dyDescent="0.3">
      <c r="B34" s="119">
        <v>2053</v>
      </c>
      <c r="C34" s="120">
        <v>22000</v>
      </c>
      <c r="D34" s="120">
        <v>1069000</v>
      </c>
      <c r="E34" s="120">
        <v>61500</v>
      </c>
      <c r="F34" s="121">
        <v>357</v>
      </c>
    </row>
    <row r="36" spans="2:6" x14ac:dyDescent="0.3">
      <c r="B36" s="58" t="s">
        <v>133</v>
      </c>
    </row>
  </sheetData>
  <sheetProtection algorithmName="SHA-512" hashValue="8YaxO249hMVqFw0FBjtFB+/rPVOs6nxILlXsh8LBGh6SoJJGhca5VpyeUyJOr1TTEhKv8KcRuQrbkAf2LPKcqQ==" saltValue="tyNGALIvNT3wHQNLCRb0iA==" spinCount="100000" sheet="1" objects="1" scenarios="1"/>
  <hyperlinks>
    <hyperlink ref="B36" r:id="rId1" xr:uid="{7E2BCCBC-E86A-4CEC-874C-D9C958EC3E34}"/>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1"/>
  </sheetPr>
  <dimension ref="A1:M16"/>
  <sheetViews>
    <sheetView workbookViewId="0">
      <selection activeCell="I9" sqref="I9"/>
    </sheetView>
  </sheetViews>
  <sheetFormatPr defaultRowHeight="14.4" x14ac:dyDescent="0.3"/>
  <cols>
    <col min="1" max="1" width="13.44140625" bestFit="1" customWidth="1"/>
    <col min="2" max="4" width="12.44140625" style="37" bestFit="1" customWidth="1"/>
    <col min="5" max="5" width="15.109375" style="37" bestFit="1" customWidth="1"/>
    <col min="6" max="7" width="12.44140625" style="37" bestFit="1" customWidth="1"/>
    <col min="8" max="8" width="12.5546875" style="37" bestFit="1" customWidth="1"/>
    <col min="9" max="9" width="12.44140625" style="37" bestFit="1" customWidth="1"/>
    <col min="10" max="10" width="12.109375" bestFit="1" customWidth="1"/>
  </cols>
  <sheetData>
    <row r="1" spans="1:13" x14ac:dyDescent="0.3">
      <c r="A1" s="133" t="s">
        <v>91</v>
      </c>
      <c r="B1" s="133"/>
      <c r="C1" s="133"/>
      <c r="D1" s="133"/>
      <c r="E1" s="133"/>
      <c r="F1" s="133"/>
      <c r="G1" s="133"/>
      <c r="H1" s="133"/>
      <c r="I1" s="133"/>
    </row>
    <row r="2" spans="1:13" x14ac:dyDescent="0.3">
      <c r="A2" s="42" t="s">
        <v>59</v>
      </c>
      <c r="B2" s="43" t="s">
        <v>61</v>
      </c>
      <c r="C2" s="43" t="s">
        <v>62</v>
      </c>
      <c r="D2" s="43" t="s">
        <v>63</v>
      </c>
      <c r="E2" s="43" t="s">
        <v>64</v>
      </c>
      <c r="F2" s="43" t="s">
        <v>65</v>
      </c>
      <c r="G2" s="43" t="s">
        <v>66</v>
      </c>
      <c r="H2" s="43" t="s">
        <v>67</v>
      </c>
      <c r="I2" s="43" t="s">
        <v>68</v>
      </c>
    </row>
    <row r="3" spans="1:13" x14ac:dyDescent="0.3">
      <c r="A3" s="41" t="s">
        <v>75</v>
      </c>
      <c r="B3" s="128">
        <v>0.19927300000000001</v>
      </c>
      <c r="C3" s="128">
        <v>0.19725999999999999</v>
      </c>
      <c r="D3" s="128">
        <v>0.173239</v>
      </c>
      <c r="E3" s="128">
        <v>0.212952</v>
      </c>
      <c r="F3" s="128">
        <v>0.202295</v>
      </c>
      <c r="G3" s="128">
        <v>0.25398900000000002</v>
      </c>
      <c r="H3" s="128">
        <v>0.191497</v>
      </c>
      <c r="I3" s="128">
        <v>0.29597800000000002</v>
      </c>
      <c r="K3" s="1" t="s">
        <v>69</v>
      </c>
    </row>
    <row r="4" spans="1:13" x14ac:dyDescent="0.3">
      <c r="K4" t="s">
        <v>74</v>
      </c>
      <c r="M4" t="s">
        <v>90</v>
      </c>
    </row>
    <row r="5" spans="1:13" x14ac:dyDescent="0.3">
      <c r="A5" s="133" t="s">
        <v>91</v>
      </c>
      <c r="B5" s="133"/>
      <c r="C5" s="133"/>
      <c r="D5" s="133"/>
      <c r="E5" s="133"/>
      <c r="F5" s="133"/>
      <c r="G5" s="133"/>
      <c r="H5" s="133"/>
      <c r="I5" s="133"/>
      <c r="K5" t="s">
        <v>75</v>
      </c>
    </row>
    <row r="6" spans="1:13" x14ac:dyDescent="0.3">
      <c r="A6" s="42" t="s">
        <v>59</v>
      </c>
      <c r="B6" s="43" t="s">
        <v>61</v>
      </c>
      <c r="C6" s="43" t="s">
        <v>62</v>
      </c>
      <c r="D6" s="43" t="s">
        <v>63</v>
      </c>
      <c r="E6" s="43" t="s">
        <v>64</v>
      </c>
      <c r="F6" s="43" t="s">
        <v>65</v>
      </c>
      <c r="G6" s="43" t="s">
        <v>66</v>
      </c>
      <c r="H6" s="43" t="s">
        <v>67</v>
      </c>
      <c r="I6" s="43" t="s">
        <v>68</v>
      </c>
      <c r="K6" t="s">
        <v>75</v>
      </c>
    </row>
    <row r="7" spans="1:13" x14ac:dyDescent="0.3">
      <c r="A7" s="41" t="s">
        <v>74</v>
      </c>
      <c r="B7" s="129">
        <v>0.66136700000000004</v>
      </c>
      <c r="C7" s="130">
        <v>0.65713500000000002</v>
      </c>
      <c r="D7" s="129">
        <v>0.58803300000000003</v>
      </c>
      <c r="E7" s="130">
        <v>0.68442400000000003</v>
      </c>
      <c r="F7" s="129">
        <v>0.68515000000000004</v>
      </c>
      <c r="G7" s="129">
        <v>0.86008399999999996</v>
      </c>
      <c r="H7" s="129">
        <v>0.62116000000000005</v>
      </c>
      <c r="I7" s="129">
        <v>0.90632900000000005</v>
      </c>
    </row>
    <row r="10" spans="1:13" x14ac:dyDescent="0.3">
      <c r="B10" s="123"/>
      <c r="C10" s="123"/>
      <c r="D10" s="124"/>
      <c r="E10" s="123"/>
      <c r="F10" s="123"/>
      <c r="G10" s="123"/>
      <c r="H10" s="123"/>
      <c r="I10" s="123"/>
      <c r="J10" s="125"/>
    </row>
    <row r="11" spans="1:13" x14ac:dyDescent="0.3">
      <c r="B11" s="126"/>
      <c r="C11" s="126"/>
      <c r="D11" s="126"/>
      <c r="E11" s="126"/>
      <c r="F11" s="126"/>
      <c r="G11" s="126"/>
      <c r="H11" s="126"/>
      <c r="I11" s="126"/>
      <c r="J11" s="125"/>
    </row>
    <row r="12" spans="1:13" x14ac:dyDescent="0.3">
      <c r="B12" s="126"/>
      <c r="C12" s="126"/>
      <c r="D12" s="126"/>
      <c r="E12" s="126"/>
      <c r="F12" s="126"/>
      <c r="G12" s="126"/>
      <c r="H12" s="126"/>
      <c r="I12" s="126"/>
      <c r="J12" s="125"/>
    </row>
    <row r="13" spans="1:13" x14ac:dyDescent="0.3">
      <c r="B13" s="123"/>
      <c r="C13" s="124"/>
      <c r="D13" s="123"/>
      <c r="E13" s="124"/>
      <c r="F13" s="123"/>
      <c r="G13" s="123"/>
      <c r="H13" s="123"/>
      <c r="I13" s="123"/>
      <c r="J13" s="125"/>
    </row>
    <row r="14" spans="1:13" ht="18" x14ac:dyDescent="0.3">
      <c r="B14" s="126"/>
      <c r="C14" s="127"/>
      <c r="D14" s="126"/>
      <c r="E14" s="127"/>
      <c r="F14" s="126"/>
      <c r="G14" s="126"/>
      <c r="H14" s="126"/>
      <c r="I14" s="126"/>
      <c r="J14" s="125"/>
    </row>
    <row r="15" spans="1:13" x14ac:dyDescent="0.3">
      <c r="B15" s="126"/>
      <c r="C15" s="126"/>
      <c r="D15" s="126"/>
      <c r="E15" s="126"/>
      <c r="F15" s="126"/>
      <c r="G15" s="126"/>
      <c r="H15" s="126"/>
      <c r="I15" s="126"/>
      <c r="J15" s="125"/>
    </row>
    <row r="16" spans="1:13" x14ac:dyDescent="0.3">
      <c r="B16" s="126"/>
      <c r="C16" s="126"/>
      <c r="D16" s="126"/>
      <c r="E16" s="126"/>
      <c r="F16" s="126"/>
      <c r="G16" s="126"/>
      <c r="H16" s="126"/>
      <c r="I16" s="126"/>
      <c r="J16" s="125"/>
    </row>
  </sheetData>
  <sheetProtection algorithmName="SHA-512" hashValue="5jZcAZw+HvxjmvDvSrCQyAfZUyzW2pGoIWrxYoWFnOWDoRJYnw7g/wujmW+g2umMl9bH3TzF9WUOUo4V2M5U7A==" saltValue="NMVfNOGliXC6SUIRU8KmHA==" spinCount="100000" sheet="1" objects="1" scenarios="1"/>
  <mergeCells count="2">
    <mergeCell ref="A1:I1"/>
    <mergeCell ref="A5:I5"/>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1"/>
  </sheetPr>
  <dimension ref="A1:M20"/>
  <sheetViews>
    <sheetView workbookViewId="0">
      <selection activeCell="I15" sqref="I15"/>
    </sheetView>
  </sheetViews>
  <sheetFormatPr defaultRowHeight="14.4" x14ac:dyDescent="0.3"/>
  <cols>
    <col min="1" max="1" width="13.44140625" bestFit="1" customWidth="1"/>
    <col min="2" max="8" width="12.109375" style="37" bestFit="1" customWidth="1"/>
    <col min="9" max="9" width="10.5546875" style="37" bestFit="1" customWidth="1"/>
  </cols>
  <sheetData>
    <row r="1" spans="1:13" x14ac:dyDescent="0.3">
      <c r="A1" s="133" t="s">
        <v>91</v>
      </c>
      <c r="B1" s="133"/>
      <c r="C1" s="133"/>
      <c r="D1" s="133"/>
      <c r="E1" s="133"/>
      <c r="F1" s="133"/>
      <c r="G1" s="133"/>
      <c r="H1" s="133"/>
      <c r="I1" s="133"/>
    </row>
    <row r="2" spans="1:13" s="1" customFormat="1" x14ac:dyDescent="0.3">
      <c r="A2" s="42" t="s">
        <v>59</v>
      </c>
      <c r="B2" s="43" t="s">
        <v>61</v>
      </c>
      <c r="C2" s="43" t="s">
        <v>62</v>
      </c>
      <c r="D2" s="43" t="s">
        <v>63</v>
      </c>
      <c r="E2" s="43" t="s">
        <v>64</v>
      </c>
      <c r="F2" s="43" t="s">
        <v>65</v>
      </c>
      <c r="G2" s="43" t="s">
        <v>66</v>
      </c>
      <c r="H2" s="43" t="s">
        <v>67</v>
      </c>
      <c r="I2" s="43" t="s">
        <v>68</v>
      </c>
    </row>
    <row r="3" spans="1:13" x14ac:dyDescent="0.3">
      <c r="A3" s="41" t="s">
        <v>75</v>
      </c>
      <c r="B3" s="44">
        <v>5.8609999716300001E-2</v>
      </c>
      <c r="C3" s="44">
        <v>7.0484898984399996E-2</v>
      </c>
      <c r="D3" s="44">
        <v>5.5012099444900001E-2</v>
      </c>
      <c r="E3" s="44">
        <v>6.3270196318599994E-2</v>
      </c>
      <c r="F3" s="44">
        <v>5.65058998764E-2</v>
      </c>
      <c r="G3" s="44">
        <v>9.6514701843299994E-2</v>
      </c>
      <c r="H3" s="44">
        <v>5.7858299464E-2</v>
      </c>
      <c r="I3" s="44">
        <v>0.110799998045</v>
      </c>
      <c r="K3" s="1" t="s">
        <v>69</v>
      </c>
    </row>
    <row r="4" spans="1:13" x14ac:dyDescent="0.3">
      <c r="K4" t="s">
        <v>74</v>
      </c>
      <c r="M4" t="s">
        <v>90</v>
      </c>
    </row>
    <row r="5" spans="1:13" x14ac:dyDescent="0.3">
      <c r="A5" s="133" t="s">
        <v>91</v>
      </c>
      <c r="B5" s="133"/>
      <c r="C5" s="133"/>
      <c r="D5" s="133"/>
      <c r="E5" s="133"/>
      <c r="F5" s="133"/>
      <c r="G5" s="133"/>
      <c r="H5" s="133"/>
      <c r="I5" s="133"/>
      <c r="K5" t="s">
        <v>75</v>
      </c>
    </row>
    <row r="6" spans="1:13" x14ac:dyDescent="0.3">
      <c r="A6" s="42" t="s">
        <v>59</v>
      </c>
      <c r="B6" s="43" t="s">
        <v>61</v>
      </c>
      <c r="C6" s="43" t="s">
        <v>62</v>
      </c>
      <c r="D6" s="43" t="s">
        <v>63</v>
      </c>
      <c r="E6" s="43" t="s">
        <v>64</v>
      </c>
      <c r="F6" s="43" t="s">
        <v>65</v>
      </c>
      <c r="G6" s="43" t="s">
        <v>66</v>
      </c>
      <c r="H6" s="43" t="s">
        <v>67</v>
      </c>
      <c r="I6" s="43" t="s">
        <v>68</v>
      </c>
      <c r="K6" t="s">
        <v>75</v>
      </c>
    </row>
    <row r="7" spans="1:13" x14ac:dyDescent="0.3">
      <c r="A7" s="41" t="s">
        <v>74</v>
      </c>
      <c r="B7" s="44">
        <v>5.8609899133399999E-2</v>
      </c>
      <c r="C7" s="44">
        <v>1.8333099782500001E-2</v>
      </c>
      <c r="D7" s="44">
        <v>1.2588200159399999E-2</v>
      </c>
      <c r="E7" s="44">
        <v>6.3270196318599994E-2</v>
      </c>
      <c r="F7" s="44">
        <v>5.6506000459199998E-2</v>
      </c>
      <c r="G7" s="44">
        <v>9.65145975351E-2</v>
      </c>
      <c r="H7" s="44">
        <v>5.7858299464E-2</v>
      </c>
      <c r="I7" s="44">
        <v>3.5873699933300002E-2</v>
      </c>
    </row>
    <row r="20" spans="1:9" s="1" customFormat="1" x14ac:dyDescent="0.3">
      <c r="A20"/>
      <c r="B20" s="37"/>
      <c r="C20" s="37"/>
      <c r="D20" s="37"/>
      <c r="E20" s="37"/>
      <c r="F20" s="37"/>
      <c r="G20" s="37"/>
      <c r="H20" s="37"/>
      <c r="I20" s="37"/>
    </row>
  </sheetData>
  <sheetProtection algorithmName="SHA-512" hashValue="UHf/y/dropOcFrYo7x0Oz7lIdv/FloPSTGT+AsIlEGbTXeW8YX9T98Vh1R0kP7tV7a70MB+HEghuX4LXxnf5Lw==" saltValue="lCZ7TWFS+9lYeGi3VJ6M7w==" spinCount="100000" sheet="1" objects="1" scenarios="1"/>
  <mergeCells count="2">
    <mergeCell ref="A1:I1"/>
    <mergeCell ref="A5:I5"/>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224F2D-D2C0-48A5-AE85-02742D1F8138}">
  <sheetPr>
    <tabColor theme="1" tint="4.9989318521683403E-2"/>
  </sheetPr>
  <dimension ref="C2:E9"/>
  <sheetViews>
    <sheetView zoomScale="160" zoomScaleNormal="160" workbookViewId="0">
      <selection activeCell="E17" sqref="E17"/>
    </sheetView>
  </sheetViews>
  <sheetFormatPr defaultRowHeight="14.4" x14ac:dyDescent="0.3"/>
  <cols>
    <col min="4" max="4" width="45.109375" customWidth="1"/>
    <col min="5" max="5" width="20.44140625" bestFit="1" customWidth="1"/>
  </cols>
  <sheetData>
    <row r="2" spans="3:5" x14ac:dyDescent="0.3">
      <c r="C2" t="s">
        <v>93</v>
      </c>
      <c r="D2" s="58" t="s">
        <v>103</v>
      </c>
    </row>
    <row r="3" spans="3:5" x14ac:dyDescent="0.3">
      <c r="D3" t="s">
        <v>104</v>
      </c>
    </row>
    <row r="5" spans="3:5" x14ac:dyDescent="0.3">
      <c r="D5" s="60" t="s">
        <v>88</v>
      </c>
      <c r="E5" s="60" t="s">
        <v>89</v>
      </c>
    </row>
    <row r="6" spans="3:5" x14ac:dyDescent="0.3">
      <c r="D6" s="61" t="s">
        <v>106</v>
      </c>
      <c r="E6" s="39">
        <v>4</v>
      </c>
    </row>
    <row r="7" spans="3:5" x14ac:dyDescent="0.3">
      <c r="D7" s="61" t="s">
        <v>107</v>
      </c>
      <c r="E7" s="39">
        <v>3</v>
      </c>
    </row>
    <row r="9" spans="3:5" x14ac:dyDescent="0.3">
      <c r="C9" t="s">
        <v>105</v>
      </c>
      <c r="D9" t="s">
        <v>95</v>
      </c>
    </row>
  </sheetData>
  <hyperlinks>
    <hyperlink ref="D2" r:id="rId1" xr:uid="{27818C94-79A7-4BC8-BCBE-6097D6DC3988}"/>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12FC740BCA03C479DA71D811169BFA1" ma:contentTypeVersion="5" ma:contentTypeDescription="Create a new document." ma:contentTypeScope="" ma:versionID="55c1fcfba0b50bee698a5af054f21b19">
  <xsd:schema xmlns:xsd="http://www.w3.org/2001/XMLSchema" xmlns:xs="http://www.w3.org/2001/XMLSchema" xmlns:p="http://schemas.microsoft.com/office/2006/metadata/properties" xmlns:ns2="12c48a06-edc6-4ccf-ab50-6f21e6b801cd" xmlns:ns3="6a71ecd6-7a08-4b40-8c69-f5ec8494976e" targetNamespace="http://schemas.microsoft.com/office/2006/metadata/properties" ma:root="true" ma:fieldsID="620b7003fcbb9a2700d630a39e7fc411" ns2:_="" ns3:_="">
    <xsd:import namespace="12c48a06-edc6-4ccf-ab50-6f21e6b801cd"/>
    <xsd:import namespace="6a71ecd6-7a08-4b40-8c69-f5ec8494976e"/>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2c48a06-edc6-4ccf-ab50-6f21e6b801c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a71ecd6-7a08-4b40-8c69-f5ec8494976e"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08C15EB-6F74-4875-BF59-9F0D320880F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2c48a06-edc6-4ccf-ab50-6f21e6b801cd"/>
    <ds:schemaRef ds:uri="6a71ecd6-7a08-4b40-8c69-f5ec8494976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2CF3A55-F1B2-4686-B08B-7DA5A8757564}">
  <ds:schemaRefs>
    <ds:schemaRef ds:uri="http://schemas.microsoft.com/sharepoint/v3/contenttype/forms"/>
  </ds:schemaRefs>
</ds:datastoreItem>
</file>

<file path=customXml/itemProps3.xml><?xml version="1.0" encoding="utf-8"?>
<ds:datastoreItem xmlns:ds="http://schemas.openxmlformats.org/officeDocument/2006/customXml" ds:itemID="{54E1F95D-6BD7-4015-B7BE-F908C6BFEBC9}">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4</vt:i4>
      </vt:variant>
    </vt:vector>
  </HeadingPairs>
  <TitlesOfParts>
    <vt:vector size="15" baseType="lpstr">
      <vt:lpstr>Instructions</vt:lpstr>
      <vt:lpstr>ITS Delay Worksheet</vt:lpstr>
      <vt:lpstr>Emissions Reduction Worksheet</vt:lpstr>
      <vt:lpstr>Inputs &amp; Outputs</vt:lpstr>
      <vt:lpstr>Benefit Calculations</vt:lpstr>
      <vt:lpstr>Value of Emissions</vt:lpstr>
      <vt:lpstr>Emission Factors - NOx</vt:lpstr>
      <vt:lpstr>Emission Factors - VOC</vt:lpstr>
      <vt:lpstr>Service Life </vt:lpstr>
      <vt:lpstr>Assumed Values</vt:lpstr>
      <vt:lpstr>Growth Rates</vt:lpstr>
      <vt:lpstr>'Assumed Values'!Print_Area</vt:lpstr>
      <vt:lpstr>'Emissions Reduction Worksheet'!Print_Area</vt:lpstr>
      <vt:lpstr>Instructions!Print_Area</vt:lpstr>
      <vt:lpstr>'ITS Delay Worksheet'!Print_Area</vt:lpstr>
    </vt:vector>
  </TitlesOfParts>
  <Company>Houston-Galveston Area Council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wurdlow</dc:creator>
  <cp:lastModifiedBy>Lingala, Vishu</cp:lastModifiedBy>
  <cp:lastPrinted>2018-04-10T17:15:43Z</cp:lastPrinted>
  <dcterms:created xsi:type="dcterms:W3CDTF">2012-07-25T15:48:32Z</dcterms:created>
  <dcterms:modified xsi:type="dcterms:W3CDTF">2024-07-29T11:30:32Z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0x010100412FC740BCA03C479DA71D811169BFA1</vt:lpwstr>
  </property>
</Properties>
</file>