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7_IH10/"/>
    </mc:Choice>
  </mc:AlternateContent>
  <xr:revisionPtr revIDLastSave="14" documentId="8_{C9DCC34C-C569-4934-A1DE-052F91F8DA45}" xr6:coauthVersionLast="40" xr6:coauthVersionMax="40" xr10:uidLastSave="{728C1A96-5907-49A5-87B5-42C71595126E}"/>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B10" i="12"/>
  <c r="B9" i="12"/>
  <c r="O5" i="12"/>
  <c r="B12" i="12"/>
  <c r="P4" i="12"/>
  <c r="B13" i="12"/>
  <c r="B15" i="12"/>
  <c r="P5" i="12"/>
  <c r="Q5" i="12"/>
  <c r="R5" i="12"/>
  <c r="S5" i="12"/>
  <c r="T5" i="12"/>
  <c r="U5" i="12"/>
  <c r="O6" i="12"/>
  <c r="P6" i="12"/>
  <c r="Q6" i="12"/>
  <c r="R6" i="12"/>
  <c r="T6" i="12"/>
  <c r="U6" i="12"/>
  <c r="O7" i="12"/>
  <c r="P7" i="12"/>
  <c r="Q7" i="12"/>
  <c r="R7" i="12"/>
  <c r="T7" i="12"/>
  <c r="U7" i="12"/>
  <c r="O8" i="12"/>
  <c r="P8" i="12"/>
  <c r="Q8" i="12"/>
  <c r="R8" i="12"/>
  <c r="T8" i="12"/>
  <c r="U8" i="12"/>
  <c r="O9" i="12"/>
  <c r="P9" i="12"/>
  <c r="Q9" i="12"/>
  <c r="R9" i="12"/>
  <c r="T9" i="12"/>
  <c r="U9" i="12"/>
  <c r="O10" i="12"/>
  <c r="P10" i="12"/>
  <c r="Q10" i="12"/>
  <c r="R10" i="12"/>
  <c r="T10" i="12"/>
  <c r="U10" i="12"/>
  <c r="N4" i="12"/>
  <c r="N5" i="12"/>
  <c r="N6" i="12"/>
  <c r="N7" i="12"/>
  <c r="N8" i="12"/>
  <c r="N9" i="12"/>
  <c r="N10" i="12"/>
  <c r="O11" i="12"/>
  <c r="N11" i="12"/>
  <c r="B11"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4" i="12"/>
  <c r="I24" i="9"/>
  <c r="H24" i="9"/>
  <c r="G24" i="9"/>
  <c r="F24" i="9"/>
  <c r="E24" i="9"/>
  <c r="D24" i="9"/>
  <c r="B16" i="12"/>
  <c r="Q4" i="12"/>
  <c r="B17" i="12"/>
  <c r="O15" i="12"/>
  <c r="O33" i="12"/>
  <c r="O35" i="12"/>
  <c r="O32" i="12"/>
  <c r="O34" i="12"/>
  <c r="O36" i="12"/>
  <c r="O31" i="12"/>
  <c r="O30" i="12"/>
  <c r="O24" i="12"/>
  <c r="O17" i="12"/>
  <c r="O28" i="12"/>
  <c r="O20" i="12"/>
  <c r="O29" i="12"/>
  <c r="O21" i="12"/>
  <c r="O13" i="12"/>
  <c r="O16" i="12"/>
  <c r="O27" i="12"/>
  <c r="O25" i="12"/>
  <c r="O26" i="12"/>
  <c r="O18" i="12"/>
  <c r="O19" i="12"/>
  <c r="O12" i="12"/>
  <c r="O22" i="12"/>
  <c r="O14" i="12"/>
  <c r="O23" i="12"/>
  <c r="M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P11" i="12"/>
  <c r="H8" i="7"/>
  <c r="I8" i="7"/>
  <c r="J8" i="7"/>
  <c r="G9" i="7"/>
  <c r="J17" i="5"/>
  <c r="K17" i="5"/>
  <c r="G18" i="5"/>
  <c r="H17" i="5"/>
  <c r="I17" i="5"/>
  <c r="I16" i="5"/>
  <c r="S10" i="12"/>
  <c r="M11"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E19" i="12"/>
  <c r="F26" i="12"/>
  <c r="E17" i="12"/>
  <c r="D26" i="12"/>
  <c r="E18" i="12"/>
  <c r="E26" i="12"/>
  <c r="E21" i="12"/>
  <c r="H26" i="12"/>
  <c r="E20" i="12"/>
  <c r="G26" i="12"/>
  <c r="E22" i="12"/>
  <c r="I26" i="12"/>
  <c r="H27" i="12"/>
  <c r="H28" i="12"/>
  <c r="H33" i="12"/>
  <c r="H29" i="12"/>
  <c r="H30" i="12"/>
  <c r="H31" i="12"/>
  <c r="H32" i="12"/>
  <c r="E30" i="12"/>
  <c r="E29" i="12"/>
  <c r="E32" i="12"/>
  <c r="E31" i="12"/>
  <c r="E28" i="12"/>
  <c r="E27" i="12"/>
  <c r="E33" i="12"/>
  <c r="D30" i="12"/>
  <c r="F30" i="12"/>
  <c r="G30" i="12"/>
  <c r="I30" i="12"/>
  <c r="J30" i="12"/>
  <c r="D33" i="12"/>
  <c r="F33" i="12"/>
  <c r="G33" i="12"/>
  <c r="I33" i="12"/>
  <c r="J33" i="12"/>
  <c r="D32" i="12"/>
  <c r="F32" i="12"/>
  <c r="G32" i="12"/>
  <c r="I32" i="12"/>
  <c r="J32" i="12"/>
  <c r="D29" i="12"/>
  <c r="F29" i="12"/>
  <c r="G29" i="12"/>
  <c r="I29" i="12"/>
  <c r="J29" i="12"/>
  <c r="D27" i="12"/>
  <c r="F27" i="12"/>
  <c r="G27" i="12"/>
  <c r="I27" i="12"/>
  <c r="J27" i="12"/>
  <c r="D28" i="12"/>
  <c r="F28" i="12"/>
  <c r="G28" i="12"/>
  <c r="I28" i="12"/>
  <c r="J28" i="12"/>
  <c r="D31" i="12"/>
  <c r="F31" i="12"/>
  <c r="G31" i="12"/>
  <c r="I31" i="12"/>
  <c r="J31" i="12"/>
  <c r="J5" i="12"/>
  <c r="R11" i="12"/>
  <c r="T11" i="12"/>
  <c r="U11" i="12"/>
  <c r="R12"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<sst xmlns="http://schemas.openxmlformats.org/spreadsheetml/2006/main" count="441" uniqueCount="286">
  <si>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</si>
  <si>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</si>
  <si>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</si>
  <si>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</si>
  <si>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</si>
  <si>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</si>
  <si>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</si>
  <si>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</si>
  <si>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</si>
  <si>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</si>
  <si>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</si>
  <si>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</si>
  <si>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</si>
  <si>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</si>
  <si>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</si>
  <si>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</si>
  <si>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</si>
  <si>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</si>
  <si>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</si>
  <si>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</si>
  <si>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</si>
  <si>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</si>
  <si>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</si>
  <si>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</si>
  <si>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</si>
  <si>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</si>
  <si>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</si>
  <si>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</si>
  <si>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</si>
  <si>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</si>
  <si>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</si>
  <si>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</si>
  <si>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</si>
  <si>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</si>
  <si>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</si>
  <si>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</si>
  <si>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</si>
  <si>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</si>
  <si>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</si>
  <si>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</si>
  <si>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</si>
  <si>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</si>
  <si>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</si>
  <si>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</si>
  <si>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</si>
  <si>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</si>
  <si>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</si>
  <si>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</si>
  <si>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10/SH 73 Ramp Overpass</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</si>
  <si>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</si>
  <si>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</si>
  <si>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</si>
  <si>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</si>
  <si>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</si>
  <si>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</si>
  <si>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</si>
  <si>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</si>
  <si>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</si>
  <si>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</si>
  <si>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At SH 73</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</si>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</sst>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6"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0.6</v>
      </c>
      <c r="D12" s="79"/>
      <c r="N12" s="134"/>
      <c r="O12" s="134"/>
      <c r="P12" s="134"/>
      <c r="Q12" s="134"/>
      <c r="R12" s="134"/>
      <c r="S12" s="134"/>
    </row>
    <row r="13" spans="2:19">
      <c r="B13" s="3" t="s">
        <v>64</v>
      </c>
      <c r="C13" s="97">
        <v>245</v>
      </c>
      <c r="D13" s="53"/>
    </row>
    <row r="14" spans="2:19">
      <c r="B14" s="3" t="s">
        <v>65</v>
      </c>
      <c r="C14" s="97" t="s">
        <v>66</v>
      </c>
      <c r="D14" s="53"/>
      <c r="G14" s="90"/>
    </row>
    <row r="15" spans="2:19">
      <c r="C15" s="53"/>
      <c r="D15" s="53"/>
    </row>
    <row r="16" spans="2:19">
      <c r="B16" s="5" t="s">
        <v>67</v>
      </c>
    </row>
    <row r="17" spans="2:13">
      <c r="B17" s="3" t="s">
        <v>68</v>
      </c>
      <c r="C17" s="97">
        <v>2025</v>
      </c>
      <c r="D17" s="80"/>
    </row>
    <row r="18" spans="2:13" ht="15">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76620</v>
      </c>
      <c r="D25" s="82"/>
      <c r="I25" s="41"/>
    </row>
    <row r="26" spans="2:13">
      <c r="I26" s="41"/>
    </row>
    <row r="27" spans="2:13">
      <c r="B27" s="73" t="s">
        <v>76</v>
      </c>
      <c r="C27" s="74">
        <v>24595</v>
      </c>
      <c r="D27" s="82"/>
      <c r="I27" s="41"/>
    </row>
    <row r="28" spans="2:13">
      <c r="B28" s="73" t="s">
        <v>77</v>
      </c>
      <c r="C28" s="74">
        <v>68382</v>
      </c>
      <c r="D28" s="82"/>
      <c r="I28" s="41"/>
    </row>
    <row r="29" spans="2:13">
      <c r="B29" s="73" t="s">
        <v>78</v>
      </c>
      <c r="C29" s="75">
        <v>29137</v>
      </c>
      <c r="D29" s="58"/>
      <c r="I29" s="41"/>
    </row>
    <row r="30" spans="2:13">
      <c r="B30" s="73" t="s">
        <v>79</v>
      </c>
      <c r="C30" s="75">
        <v>90286</v>
      </c>
      <c r="D30" s="58"/>
      <c r="I30" s="41"/>
    </row>
    <row r="31" spans="2:13">
      <c r="B31" s="73" t="s">
        <v>80</v>
      </c>
      <c r="C31" s="74">
        <v>38935</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1834.2205296726816</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90769.544216304159</v>
      </c>
      <c r="G4" s="137" t="s">
        <v>95</v>
      </c>
      <c r="H4" s="137"/>
      <c r="I4" s="137"/>
      <c r="J4" s="137"/>
      <c r="L4" s="106"/>
      <c r="M4" s="107">
        <v>2018</v>
      </c>
      <c r="N4" s="108">
        <f>_2018_Volume_ADT</f>
        <v>76620</v>
      </c>
      <c r="O4" s="109" t="s">
        <v>96</v>
      </c>
      <c r="P4" s="110">
        <f>MIN(B12,1)</f>
        <v>0.3596706735690679</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54461.726529782492</v>
      </c>
      <c r="G5" s="138" t="s">
        <v>99</v>
      </c>
      <c r="H5" s="138"/>
      <c r="I5" s="138"/>
      <c r="J5" s="111">
        <f>SUMPRODUCT(Possible_Crash_Reductions,'Value of Statistical Life'!E5:E11)</f>
        <v>203604.72326300634</v>
      </c>
      <c r="L5" s="106"/>
      <c r="M5" s="11">
        <f t="shared" ref="M5:M36" si="1">M4+1</f>
        <v>2019</v>
      </c>
      <c r="N5" s="112">
        <f>N4+(N4*O5)</f>
        <v>78497.558411417485</v>
      </c>
      <c r="O5" s="113">
        <f t="shared" ref="O5:O11" si="2">IF(ISERROR(_2025_2045_Demand_Growth),_2018_2045_Demand_Growth,_2018_2025_Demand_Growth)</f>
        <v>2.4504808293102087E-2</v>
      </c>
      <c r="P5" s="114">
        <f t="shared" ref="P5:P11" si="3">P4*(1+IFERROR(_2018_2025_V_C_Growth,_2018_2045_V_C_Growth))</f>
        <v>0.35414346097939098</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14160048.897743449</v>
      </c>
      <c r="L6" s="106"/>
      <c r="M6" s="107">
        <f t="shared" si="1"/>
        <v>2020</v>
      </c>
      <c r="N6" s="112">
        <f t="shared" ref="N6:N36" si="6">N5+(N5*O6)</f>
        <v>80421.12603176586</v>
      </c>
      <c r="O6" s="113">
        <f t="shared" si="2"/>
        <v>2.4504808293102087E-2</v>
      </c>
      <c r="P6" s="114">
        <f t="shared" si="3"/>
        <v>0.34870118742215817</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82391.830307889686</v>
      </c>
      <c r="O7" s="113">
        <f t="shared" si="2"/>
        <v>2.4504808293102087E-2</v>
      </c>
      <c r="P7" s="114">
        <f t="shared" si="3"/>
        <v>0.34334254760304339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84410.826314502323</v>
      </c>
      <c r="O8" s="113">
        <f t="shared" si="2"/>
        <v>2.4504808293102087E-2</v>
      </c>
      <c r="P8" s="114">
        <f t="shared" si="3"/>
        <v>0.33806625628673492</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2.4504808293102087E-2</v>
      </c>
      <c r="D9" s="39" t="s">
        <v>104</v>
      </c>
      <c r="E9" s="119">
        <f>IF('Inputs &amp; Outputs'!$C$8='CRASH RATES'!$D$3, VLOOKUP('Inputs &amp; Outputs'!$C$7,'CRASH RATES'!$C$14:$J$21,3,FALSE), VLOOKUP('Inputs &amp; Outputs'!$C$7,'CRASH RATES'!$C$28:$J$35,3,FALSE))</f>
        <v>0</v>
      </c>
      <c r="F9" s="85"/>
      <c r="L9" s="106"/>
      <c r="M9" s="11">
        <f t="shared" si="1"/>
        <v>2023</v>
      </c>
      <c r="N9" s="112">
        <f t="shared" si="6"/>
        <v>86479.297431201543</v>
      </c>
      <c r="O9" s="113">
        <f t="shared" si="2"/>
        <v>2.4504808293102087E-2</v>
      </c>
      <c r="P9" s="114">
        <f t="shared" si="3"/>
        <v>0.33287104798868011</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1.4599788041073314E-2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88598.456036075295</v>
      </c>
      <c r="O10" s="113">
        <f t="shared" si="2"/>
        <v>2.4504808293102087E-2</v>
      </c>
      <c r="P10" s="114">
        <f t="shared" si="3"/>
        <v>0.32775567667156696</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1.7158523404409376E-2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90769.544216304159</v>
      </c>
      <c r="O11" s="113">
        <f t="shared" si="2"/>
        <v>2.4504808293102087E-2</v>
      </c>
      <c r="P11" s="114">
        <f t="shared" si="3"/>
        <v>0.32271891544647008</v>
      </c>
      <c r="Q11" s="115">
        <f t="shared" si="4"/>
        <v>1</v>
      </c>
      <c r="R11" s="30">
        <f>IF(M11=Year_Open_to_Traffic?,Calculations!$J$5,Calculations!R10+(Calculations!R10*Calculations!O11*Q11))</f>
        <v>203604.72326300634</v>
      </c>
      <c r="S11" s="45">
        <f t="shared" si="0"/>
        <v>1</v>
      </c>
      <c r="T11" s="30">
        <f t="shared" si="5"/>
        <v>203.60472326300635</v>
      </c>
      <c r="U11" s="31">
        <f>T11/(1+Real_Discount_Rate)^(Calculations!M11-'Assumed Values'!$C$5)</f>
        <v>126.7947888585208</v>
      </c>
    </row>
    <row r="12" spans="1:21" ht="15.6">
      <c r="A12" s="39" t="s">
        <v>109</v>
      </c>
      <c r="B12" s="120">
        <f>'Inputs &amp; Outputs'!C27/_2018_Peak_Period_Capacity</f>
        <v>0.3596706735690679</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92094.760322447037</v>
      </c>
      <c r="O12" s="113">
        <f t="shared" ref="O12:O36" si="7">IFERROR(_2025_2045_Demand_Growth,_2018_2045_Demand_Growth)</f>
        <v>1.4599788041073314E-2</v>
      </c>
      <c r="P12" s="114">
        <f t="shared" ref="P12:P36" si="8">P11*(1+IFERROR(_2025_2040_V_C_Growth,_2018_2045_V_C_Growth))</f>
        <v>0.32743054320883358</v>
      </c>
      <c r="Q12" s="115">
        <f t="shared" si="4"/>
        <v>1</v>
      </c>
      <c r="R12" s="30">
        <f>IF(M12=Year_Open_to_Traffic?,Calculations!$J$5,Calculations!R11+(Calculations!R11*Calculations!O12*Q12))</f>
        <v>206577.30906680762</v>
      </c>
      <c r="S12" s="45">
        <f t="shared" si="0"/>
        <v>1</v>
      </c>
      <c r="T12" s="30">
        <f t="shared" si="5"/>
        <v>206.57730906680763</v>
      </c>
      <c r="U12" s="31">
        <f>T12/(1+Real_Discount_Rate)^(Calculations!M12-'Assumed Values'!$C$5)</f>
        <v>120.2298746734279</v>
      </c>
    </row>
    <row r="13" spans="1:21" ht="15.6">
      <c r="A13" s="39" t="s">
        <v>111</v>
      </c>
      <c r="B13" s="120">
        <f>_2025_Peak_Period_Volume/_2025_Peak_Period_Capacity</f>
        <v>0.32271891544647013</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93439.32430284821</v>
      </c>
      <c r="O13" s="113">
        <f t="shared" si="7"/>
        <v>1.4599788041073314E-2</v>
      </c>
      <c r="P13" s="114">
        <f t="shared" si="8"/>
        <v>0.33221095973785603</v>
      </c>
      <c r="Q13" s="115">
        <f t="shared" si="4"/>
        <v>1</v>
      </c>
      <c r="R13" s="30">
        <f>IF(M13=Year_Open_to_Traffic?,Calculations!$J$5,Calculations!R12+(Calculations!R12*Calculations!O13*Q13))</f>
        <v>209593.29399327829</v>
      </c>
      <c r="S13" s="45">
        <f t="shared" si="0"/>
        <v>1</v>
      </c>
      <c r="T13" s="30">
        <f t="shared" si="5"/>
        <v>209.59329399327828</v>
      </c>
      <c r="U13" s="31">
        <f>T13/(1+Real_Discount_Rate)^(Calculations!M13-'Assumed Values'!$C$5)</f>
        <v>114.00486482230349</v>
      </c>
    </row>
    <row r="14" spans="1:21" ht="15.6">
      <c r="A14" s="39" t="s">
        <v>113</v>
      </c>
      <c r="B14" s="120">
        <f>_2045_Peak_Period_Volume/_2045_Peak_Period_Capacity</f>
        <v>0.43124072392175972</v>
      </c>
      <c r="D14" s="39" t="s">
        <v>114</v>
      </c>
      <c r="E14" s="119">
        <f>IF('Inputs &amp; Outputs'!$C$8='CRASH RATES'!$D$3, VLOOKUP('Inputs &amp; Outputs'!$C$7,'CRASH RATES'!$C$14:$J$21,8,FALSE), VLOOKUP('Inputs &amp; Outputs'!$C$7,'CRASH RATES'!$C$28:$J$35,8,FALSE))</f>
        <v>1.4317516877815335</v>
      </c>
      <c r="F14" s="85"/>
      <c r="L14" s="106"/>
      <c r="M14" s="107">
        <f>M13+1</f>
        <v>2028</v>
      </c>
      <c r="N14" s="112">
        <f t="shared" si="6"/>
        <v>94803.518632370906</v>
      </c>
      <c r="O14" s="113">
        <f t="shared" si="7"/>
        <v>1.4599788041073314E-2</v>
      </c>
      <c r="P14" s="114">
        <f>P13*(1+IFERROR(_2025_2040_V_C_Growth,_2018_2045_V_C_Growth))</f>
        <v>0.33706116933495028</v>
      </c>
      <c r="Q14" s="115">
        <f t="shared" si="4"/>
        <v>1</v>
      </c>
      <c r="R14" s="30">
        <f>IF(M14=Year_Open_to_Traffic?,Calculations!$J$5,Calculations!R13+(Calculations!R13*Calculations!O14*Q14))</f>
        <v>212653.31166041052</v>
      </c>
      <c r="S14" s="45">
        <f t="shared" si="0"/>
        <v>1</v>
      </c>
      <c r="T14" s="30">
        <f t="shared" si="5"/>
        <v>212.65331166041051</v>
      </c>
      <c r="U14" s="31">
        <f>T14/(1+Real_Discount_Rate)^(Calculations!M14-'Assumed Values'!$C$5)</f>
        <v>108.10216045267322</v>
      </c>
    </row>
    <row r="15" spans="1:21" ht="15.6">
      <c r="A15" s="39" t="s">
        <v>115</v>
      </c>
      <c r="B15" s="118">
        <f>(B13/B12)^(1/(2025-2018))-1</f>
        <v>-1.5367426359312319E-2</v>
      </c>
      <c r="L15" s="106"/>
      <c r="M15" s="11">
        <f>M14+1</f>
        <v>2029</v>
      </c>
      <c r="N15" s="112">
        <f t="shared" si="6"/>
        <v>96187.629909951473</v>
      </c>
      <c r="O15" s="113">
        <f t="shared" si="7"/>
        <v>1.4599788041073314E-2</v>
      </c>
      <c r="P15" s="114">
        <f>P14*(1+IFERROR(_2025_2040_V_C_Growth,_2018_2045_V_C_Growth))</f>
        <v>0.34198219096411686</v>
      </c>
      <c r="Q15" s="115">
        <f t="shared" si="4"/>
        <v>1</v>
      </c>
      <c r="R15" s="30">
        <f>IF(M15=Year_Open_to_Traffic?,Calculations!$J$5,Calculations!R14+(Calculations!R14*Calculations!O15*Q15))</f>
        <v>215758.00493688483</v>
      </c>
      <c r="S15" s="45">
        <f t="shared" si="0"/>
        <v>1</v>
      </c>
      <c r="T15" s="30">
        <f t="shared" si="5"/>
        <v>215.75800493688482</v>
      </c>
      <c r="U15" s="31">
        <f>T15/(1+Real_Discount_Rate)^(Calculations!M15-'Assumed Values'!$C$5)</f>
        <v>102.50507390847133</v>
      </c>
    </row>
    <row r="16" spans="1:21" ht="15.6">
      <c r="A16" s="39" t="s">
        <v>116</v>
      </c>
      <c r="B16" s="118">
        <f>(B14/B13)^(1/(2045-2025))-1</f>
        <v>1.4599788041073314E-2</v>
      </c>
      <c r="D16" s="121" t="s">
        <v>117</v>
      </c>
      <c r="E16" s="57"/>
      <c r="L16" s="106"/>
      <c r="M16" s="107">
        <f t="shared" si="1"/>
        <v>2030</v>
      </c>
      <c r="N16" s="112">
        <f t="shared" si="6"/>
        <v>97591.948918809969</v>
      </c>
      <c r="O16" s="113">
        <f t="shared" si="7"/>
        <v>1.4599788041073314E-2</v>
      </c>
      <c r="P16" s="114">
        <f t="shared" si="8"/>
        <v>0.34697505846601484</v>
      </c>
      <c r="Q16" s="115">
        <f t="shared" si="4"/>
        <v>1</v>
      </c>
      <c r="R16" s="30">
        <f>IF(M16=Year_Open_to_Traffic?,Calculations!$J$5,Calculations!R15+(Calculations!R15*Calculations!O16*Q16))</f>
        <v>218908.02607712819</v>
      </c>
      <c r="S16" s="45">
        <f t="shared" si="0"/>
        <v>1</v>
      </c>
      <c r="T16" s="30">
        <f t="shared" si="5"/>
        <v>218.9080260771282</v>
      </c>
      <c r="U16" s="31">
        <f>T16/(1+Real_Discount_Rate)^(Calculations!M16-'Assumed Values'!$C$5)</f>
        <v>97.197781552027664</v>
      </c>
    </row>
    <row r="17" spans="1:21" ht="15.6">
      <c r="A17" s="39" t="s">
        <v>118</v>
      </c>
      <c r="B17" s="118">
        <f>(B14/B12)^(1/(2045-2018))-1</f>
        <v>6.7440333834984934E-3</v>
      </c>
      <c r="D17" s="39" t="s">
        <v>119</v>
      </c>
      <c r="E17" s="122">
        <f>($E$6*Death_Rate)/100000000</f>
        <v>0</v>
      </c>
      <c r="L17" s="106"/>
      <c r="M17" s="11">
        <f t="shared" si="1"/>
        <v>2031</v>
      </c>
      <c r="N17" s="112">
        <f t="shared" si="6"/>
        <v>99016.770687539843</v>
      </c>
      <c r="O17" s="113">
        <f t="shared" si="7"/>
        <v>1.4599788041073314E-2</v>
      </c>
      <c r="P17" s="114">
        <f t="shared" si="8"/>
        <v>0.35204082077515769</v>
      </c>
      <c r="Q17" s="115">
        <f t="shared" si="4"/>
        <v>1</v>
      </c>
      <c r="R17" s="30">
        <f>IF(M17=Year_Open_to_Traffic?,Calculations!$J$5,Calculations!R16+(Calculations!R16*Calculations!O17*Q17))</f>
        <v>222104.03685834401</v>
      </c>
      <c r="S17" s="45">
        <f t="shared" si="0"/>
        <v>1</v>
      </c>
      <c r="T17" s="30">
        <f t="shared" si="5"/>
        <v>222.10403685834402</v>
      </c>
      <c r="U17" s="31">
        <f>T17/(1+Real_Discount_Rate)^(Calculations!M17-'Assumed Values'!$C$5)</f>
        <v>92.165279028738126</v>
      </c>
    </row>
    <row r="18" spans="1:21" ht="15.6">
      <c r="D18" s="39" t="s">
        <v>120</v>
      </c>
      <c r="E18" s="122">
        <f>($E$6*Incap_Injry_Rate)/100000000</f>
        <v>0.10136836954206611</v>
      </c>
      <c r="L18" s="106"/>
      <c r="M18" s="107">
        <f t="shared" si="1"/>
        <v>2032</v>
      </c>
      <c r="N18" s="112">
        <f t="shared" si="6"/>
        <v>100462.39455208949</v>
      </c>
      <c r="O18" s="113">
        <f t="shared" si="7"/>
        <v>1.4599788041073314E-2</v>
      </c>
      <c r="P18" s="114">
        <f t="shared" si="8"/>
        <v>0.3571805421402805</v>
      </c>
      <c r="Q18" s="115">
        <f t="shared" si="4"/>
        <v>1</v>
      </c>
      <c r="R18" s="30">
        <f>IF(M18=Year_Open_to_Traffic?,Calculations!$J$5,Calculations!R17+(Calculations!R17*Calculations!O18*Q18))</f>
        <v>225346.70871954257</v>
      </c>
      <c r="S18" s="45">
        <f t="shared" si="0"/>
        <v>1</v>
      </c>
      <c r="T18" s="30">
        <f t="shared" si="5"/>
        <v>225.34670871954256</v>
      </c>
      <c r="U18" s="31">
        <f>T18/(1+Real_Discount_Rate)^(Calculations!M18-'Assumed Values'!$C$5)</f>
        <v>87.393338847947746</v>
      </c>
    </row>
    <row r="19" spans="1:21" ht="15.6">
      <c r="D19" s="39" t="s">
        <v>121</v>
      </c>
      <c r="E19" s="122">
        <f>($E$6*Nonincap_Injry_Rate)/100000000</f>
        <v>0.66903123897763639</v>
      </c>
      <c r="L19" s="106"/>
      <c r="M19" s="11">
        <f t="shared" si="1"/>
        <v>2033</v>
      </c>
      <c r="N19" s="112">
        <f t="shared" si="6"/>
        <v>101929.12421864868</v>
      </c>
      <c r="O19" s="113">
        <f t="shared" si="7"/>
        <v>1.4599788041073314E-2</v>
      </c>
      <c r="P19" s="114">
        <f t="shared" si="8"/>
        <v>0.36239530234792428</v>
      </c>
      <c r="Q19" s="115">
        <f t="shared" si="4"/>
        <v>1</v>
      </c>
      <c r="R19" s="30">
        <f>IF(M19=Year_Open_to_Traffic?,Calculations!$J$5,Calculations!R18+(Calculations!R18*Calculations!O19*Q19))</f>
        <v>228636.72290260138</v>
      </c>
      <c r="S19" s="45">
        <f t="shared" si="0"/>
        <v>1</v>
      </c>
      <c r="T19" s="30">
        <f t="shared" si="5"/>
        <v>228.63672290260138</v>
      </c>
      <c r="U19" s="31">
        <f>T19/(1+Real_Discount_Rate)^(Calculations!M19-'Assumed Values'!$C$5)</f>
        <v>82.868470160121007</v>
      </c>
    </row>
    <row r="20" spans="1:21" ht="15.6">
      <c r="D20" s="39" t="s">
        <v>122</v>
      </c>
      <c r="E20" s="122">
        <f>($E$6*Poss_Injry_Rate/100000000)</f>
        <v>0.54738919552715715</v>
      </c>
      <c r="L20" s="106"/>
      <c r="M20" s="107">
        <f t="shared" si="1"/>
        <v>2034</v>
      </c>
      <c r="N20" s="112">
        <f t="shared" si="6"/>
        <v>103417.26782745318</v>
      </c>
      <c r="O20" s="113">
        <f t="shared" si="7"/>
        <v>1.4599788041073314E-2</v>
      </c>
      <c r="P20" s="114">
        <f t="shared" si="8"/>
        <v>0.36768619694928467</v>
      </c>
      <c r="Q20" s="115">
        <f t="shared" si="4"/>
        <v>1</v>
      </c>
      <c r="R20" s="30">
        <f>IF(M20=Year_Open_to_Traffic?,Calculations!$J$5,Calculations!R19+(Calculations!R19*Calculations!O20*Q20))</f>
        <v>231974.77059538497</v>
      </c>
      <c r="S20" s="45">
        <f t="shared" si="0"/>
        <v>1</v>
      </c>
      <c r="T20" s="30">
        <f t="shared" si="5"/>
        <v>231.97477059538497</v>
      </c>
      <c r="U20" s="31">
        <f>T20/(1+Real_Discount_Rate)^(Calculations!M20-'Assumed Values'!$C$5)</f>
        <v>78.577880616585787</v>
      </c>
    </row>
    <row r="21" spans="1:21" ht="15.6">
      <c r="D21" s="39" t="s">
        <v>123</v>
      </c>
      <c r="E21" s="122">
        <f>($E$6*Non_Injry_Rate)/100000000</f>
        <v>8.474395693716728</v>
      </c>
      <c r="L21" s="106"/>
      <c r="M21" s="11">
        <f>M20+1</f>
        <v>2035</v>
      </c>
      <c r="N21" s="112">
        <f t="shared" si="6"/>
        <v>104927.13801752091</v>
      </c>
      <c r="O21" s="113">
        <f t="shared" si="7"/>
        <v>1.4599788041073314E-2</v>
      </c>
      <c r="P21" s="114">
        <f>P20*(1+IFERROR(_2025_2040_V_C_Growth,_2018_2045_V_C_Growth))</f>
        <v>0.37305433749037259</v>
      </c>
      <c r="Q21" s="115">
        <f t="shared" si="4"/>
        <v>1</v>
      </c>
      <c r="R21" s="30">
        <f>IF(M21=Year_Open_to_Traffic?,Calculations!$J$5,Calculations!R20+(Calculations!R20*Calculations!O21*Q21))</f>
        <v>235361.55307695418</v>
      </c>
      <c r="S21" s="45">
        <f t="shared" si="0"/>
        <v>1</v>
      </c>
      <c r="T21" s="30">
        <f t="shared" si="5"/>
        <v>235.36155307695418</v>
      </c>
      <c r="U21" s="31">
        <f>T21/(1+Real_Discount_Rate)^(Calculations!M21-'Assumed Values'!$C$5)</f>
        <v>74.509440204023079</v>
      </c>
    </row>
    <row r="22" spans="1:21" ht="15.6">
      <c r="D22" s="39" t="s">
        <v>124</v>
      </c>
      <c r="E22" s="122">
        <f>($E$6*Unkn_Injry_Rate)/100000000</f>
        <v>0.20273673908413223</v>
      </c>
      <c r="L22" s="106"/>
      <c r="M22" s="107">
        <f>M21+1</f>
        <v>2036</v>
      </c>
      <c r="N22" s="112">
        <f t="shared" si="6"/>
        <v>106459.05199233316</v>
      </c>
      <c r="O22" s="113">
        <f t="shared" si="7"/>
        <v>1.4599788041073314E-2</v>
      </c>
      <c r="P22" s="114">
        <f t="shared" si="8"/>
        <v>0.37850085174553505</v>
      </c>
      <c r="Q22" s="115">
        <f t="shared" si="4"/>
        <v>1</v>
      </c>
      <c r="R22" s="30">
        <f>IF(M22=Year_Open_to_Traffic?,Calculations!$J$5,Calculations!R21+(Calculations!R21*Calculations!O22*Q22))</f>
        <v>238797.78186489554</v>
      </c>
      <c r="S22" s="45">
        <f t="shared" si="0"/>
        <v>1</v>
      </c>
      <c r="T22" s="30">
        <f t="shared" si="5"/>
        <v>238.79778186489554</v>
      </c>
      <c r="U22" s="31">
        <f>T22/(1+Real_Discount_Rate)^(Calculations!M22-'Assumed Values'!$C$5)</f>
        <v>70.65164695145873</v>
      </c>
    </row>
    <row r="23" spans="1:21" ht="15.6">
      <c r="L23" s="106"/>
      <c r="M23" s="11">
        <f t="shared" si="1"/>
        <v>2037</v>
      </c>
      <c r="N23" s="112">
        <f t="shared" si="6"/>
        <v>108013.33158647483</v>
      </c>
      <c r="O23" s="113">
        <f t="shared" si="7"/>
        <v>1.4599788041073314E-2</v>
      </c>
      <c r="P23" s="114">
        <f t="shared" si="8"/>
        <v>0.38402688395438556</v>
      </c>
      <c r="Q23" s="115">
        <f t="shared" si="4"/>
        <v>1</v>
      </c>
      <c r="R23" s="30">
        <f>IF(M23=Year_Open_to_Traffic?,Calculations!$J$5,Calculations!R22+(Calculations!R22*Calculations!O23*Q23))</f>
        <v>242284.17886480148</v>
      </c>
      <c r="S23" s="45">
        <f t="shared" si="0"/>
        <v>1</v>
      </c>
      <c r="T23" s="30">
        <f t="shared" si="5"/>
        <v>242.28417886480148</v>
      </c>
      <c r="U23" s="31">
        <f>T23/(1+Real_Discount_Rate)^(Calculations!M23-'Assumed Values'!$C$5)</f>
        <v>66.993594412806331</v>
      </c>
    </row>
    <row r="24" spans="1:21" ht="15.6">
      <c r="L24" s="106"/>
      <c r="M24" s="107">
        <f t="shared" si="1"/>
        <v>2038</v>
      </c>
      <c r="N24" s="112">
        <f t="shared" si="6"/>
        <v>109590.30333324753</v>
      </c>
      <c r="O24" s="113">
        <f t="shared" si="7"/>
        <v>1.4599788041073314E-2</v>
      </c>
      <c r="P24" s="114">
        <f t="shared" si="8"/>
        <v>0.38963359506219342</v>
      </c>
      <c r="Q24" s="115">
        <f t="shared" si="4"/>
        <v>1</v>
      </c>
      <c r="R24" s="30">
        <f>IF(M24=Year_Open_to_Traffic?,Calculations!$J$5,Calculations!R23+(Calculations!R23*Calculations!O24*Q24))</f>
        <v>245821.47652193307</v>
      </c>
      <c r="S24" s="45">
        <f t="shared" si="0"/>
        <v>1</v>
      </c>
      <c r="T24" s="30">
        <f t="shared" si="5"/>
        <v>245.82147652193308</v>
      </c>
      <c r="U24" s="31">
        <f>T24/(1+Real_Discount_Rate)^(Calculations!M24-'Assumed Values'!$C$5)</f>
        <v>63.524940833030783</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111190.29853326987</v>
      </c>
      <c r="O25" s="113">
        <f t="shared" si="7"/>
        <v>1.4599788041073314E-2</v>
      </c>
      <c r="P25" s="114">
        <f t="shared" si="8"/>
        <v>0.39532216296378281</v>
      </c>
      <c r="Q25" s="115">
        <f t="shared" si="4"/>
        <v>1</v>
      </c>
      <c r="R25" s="30">
        <f>IF(M25=Year_Open_to_Traffic?,Calculations!$J$5,Calculations!R24+(Calculations!R24*Calculations!O25*Q25))</f>
        <v>249410.41797509696</v>
      </c>
      <c r="S25" s="45">
        <f t="shared" si="0"/>
        <v>1</v>
      </c>
      <c r="T25" s="30">
        <f t="shared" si="5"/>
        <v>249.41041797509698</v>
      </c>
      <c r="U25" s="31">
        <f>T25/(1+Real_Discount_Rate)^(Calculations!M25-'Assumed Values'!$C$5)</f>
        <v>60.235879910761447</v>
      </c>
    </row>
    <row r="26" spans="1:21" ht="15.6">
      <c r="A26" s="135"/>
      <c r="B26" s="135"/>
      <c r="D26" s="123">
        <f>Calculations!E17</f>
        <v>0</v>
      </c>
      <c r="E26" s="123">
        <f>Calculations!E18</f>
        <v>0.10136836954206611</v>
      </c>
      <c r="F26" s="123">
        <f>Calculations!E19</f>
        <v>0.66903123897763639</v>
      </c>
      <c r="G26" s="123">
        <f>Calculations!E20</f>
        <v>0.54738919552715715</v>
      </c>
      <c r="H26" s="123">
        <f>Calculations!E21</f>
        <v>8.474395693716728</v>
      </c>
      <c r="I26" s="123">
        <f>Calculations!E22</f>
        <v>0.20273673908413223</v>
      </c>
      <c r="J26" s="136"/>
      <c r="L26" s="106"/>
      <c r="M26" s="107">
        <f t="shared" si="1"/>
        <v>2040</v>
      </c>
      <c r="N26" s="112">
        <f t="shared" si="6"/>
        <v>112813.65332407928</v>
      </c>
      <c r="O26" s="113">
        <f t="shared" si="7"/>
        <v>1.4599788041073314E-2</v>
      </c>
      <c r="P26" s="114">
        <f t="shared" si="8"/>
        <v>0.40109378275099267</v>
      </c>
      <c r="Q26" s="115">
        <f t="shared" si="4"/>
        <v>1</v>
      </c>
      <c r="R26" s="30">
        <f>IF(M26=Year_Open_to_Traffic?,Calculations!$J$5,Calculations!R25+(Calculations!R25*Calculations!O26*Q26))</f>
        <v>253051.75721276889</v>
      </c>
      <c r="S26" s="45">
        <f t="shared" si="0"/>
        <v>1</v>
      </c>
      <c r="T26" s="30">
        <f t="shared" si="5"/>
        <v>253.0517572127689</v>
      </c>
      <c r="U26" s="31">
        <f>T26/(1+Real_Discount_Rate)^(Calculations!M26-'Assumed Values'!$C$5)</f>
        <v>57.117113074697308</v>
      </c>
    </row>
    <row r="27" spans="1:21" ht="15.6">
      <c r="A27" s="38" t="s">
        <v>127</v>
      </c>
      <c r="B27" s="39" t="s">
        <v>128</v>
      </c>
      <c r="D27" s="124">
        <f>D$26*'Value of Statistical Life'!D17*Appropriate_Crash_Reduction_Factor</f>
        <v>0</v>
      </c>
      <c r="E27" s="124">
        <f>E$26*'Value of Statistical Life'!E17*Appropriate_Crash_Reduction_Factor</f>
        <v>2.7872246889286498E-3</v>
      </c>
      <c r="F27" s="124">
        <f>F$26*'Value of Statistical Life'!F17*Appropriate_Crash_Reduction_Factor</f>
        <v>4.4675230013970654E-2</v>
      </c>
      <c r="G27" s="124">
        <f>G$26*'Value of Statistical Life'!G17*Appropriate_Crash_Reduction_Factor</f>
        <v>0.10263328460455985</v>
      </c>
      <c r="H27" s="124">
        <f>H$26*'Value of Statistical Life'!H17*Appropriate_Crash_Reduction_Factor</f>
        <v>6.2733578489790709</v>
      </c>
      <c r="I27" s="124">
        <f>I$26*'Value of Statistical Life'!I17*Appropriate_Crash_Reduction_Factor</f>
        <v>7.0837838529908478E-2</v>
      </c>
      <c r="J27" s="124">
        <f t="shared" ref="J27:J33" si="9">SUM(D27:I27)</f>
        <v>6.4942914268164387</v>
      </c>
      <c r="K27" s="69"/>
      <c r="L27" s="106"/>
      <c r="M27" s="11">
        <f t="shared" si="1"/>
        <v>2041</v>
      </c>
      <c r="N27" s="112">
        <f t="shared" si="6"/>
        <v>114460.70875074997</v>
      </c>
      <c r="O27" s="113">
        <f t="shared" si="7"/>
        <v>1.4599788041073314E-2</v>
      </c>
      <c r="P27" s="114">
        <f t="shared" si="8"/>
        <v>0.40694966696374946</v>
      </c>
      <c r="Q27" s="115">
        <f t="shared" si="4"/>
        <v>1</v>
      </c>
      <c r="R27" s="30">
        <f>IF(M27=Year_Open_to_Traffic?,Calculations!$J$5,Calculations!R26+(Calculations!R26*Calculations!O27*Q27))</f>
        <v>256746.25923149646</v>
      </c>
      <c r="S27" s="45">
        <f t="shared" si="0"/>
        <v>1</v>
      </c>
      <c r="T27" s="30">
        <f t="shared" si="5"/>
        <v>256.74625923149648</v>
      </c>
      <c r="U27" s="31">
        <f>T27/(1+Real_Discount_Rate)^(Calculations!M27-'Assumed Values'!$C$5)</f>
        <v>54.159823195426078</v>
      </c>
    </row>
    <row r="28" spans="1:21" ht="15.6">
      <c r="A28" s="38" t="s">
        <v>129</v>
      </c>
      <c r="B28" s="39" t="s">
        <v>130</v>
      </c>
      <c r="D28" s="124">
        <f>D$26*'Value of Statistical Life'!D18*Appropriate_Crash_Reduction_Factor</f>
        <v>0</v>
      </c>
      <c r="E28" s="124">
        <f>E$26*'Value of Statistical Life'!E18*Appropriate_Crash_Reduction_Factor</f>
        <v>4.4966197781904194E-2</v>
      </c>
      <c r="F28" s="124">
        <f>F$26*'Value of Statistical Life'!F18*Appropriate_Crash_Reduction_Factor</f>
        <v>0.41128293997406812</v>
      </c>
      <c r="G28" s="124">
        <f>G$26*'Value of Statistical Life'!G18*Appropriate_Crash_Reduction_Factor</f>
        <v>0.301922363798523</v>
      </c>
      <c r="H28" s="124">
        <f>H$26*'Value of Statistical Life'!H18*Appropriate_Crash_Reduction_Factor</f>
        <v>0.49198951639441835</v>
      </c>
      <c r="I28" s="124">
        <f>I$26*'Value of Statistical Life'!I18*Appropriate_Crash_Reduction_Factor</f>
        <v>6.769623002106076E-2</v>
      </c>
      <c r="J28" s="124">
        <f t="shared" si="9"/>
        <v>1.3178572479699746</v>
      </c>
      <c r="K28" s="69"/>
      <c r="L28" s="106"/>
      <c r="M28" s="107">
        <f t="shared" si="1"/>
        <v>2042</v>
      </c>
      <c r="N28" s="112">
        <f t="shared" si="6"/>
        <v>116131.81083754194</v>
      </c>
      <c r="O28" s="113">
        <f t="shared" si="7"/>
        <v>1.4599788041073314E-2</v>
      </c>
      <c r="P28" s="114">
        <f t="shared" si="8"/>
        <v>0.41289104584480557</v>
      </c>
      <c r="Q28" s="115">
        <f t="shared" si="4"/>
        <v>1</v>
      </c>
      <c r="R28" s="30">
        <f>IF(M28=Year_Open_to_Traffic?,Calculations!$J$5,Calculations!R27+(Calculations!R27*Calculations!O28*Q28))</f>
        <v>260494.70019661478</v>
      </c>
      <c r="S28" s="45">
        <f t="shared" si="0"/>
        <v>1</v>
      </c>
      <c r="T28" s="30">
        <f t="shared" si="5"/>
        <v>260.49470019661476</v>
      </c>
      <c r="U28" s="31">
        <f>T28/(1+Real_Discount_Rate)^(Calculations!M28-'Assumed Values'!$C$5)</f>
        <v>51.355649658337661</v>
      </c>
    </row>
    <row r="29" spans="1:21" ht="15.6">
      <c r="A29" s="38" t="s">
        <v>131</v>
      </c>
      <c r="B29" s="39" t="s">
        <v>132</v>
      </c>
      <c r="D29" s="124">
        <f>D$26*'Value of Statistical Life'!D19*Appropriate_Crash_Reduction_Factor</f>
        <v>0</v>
      </c>
      <c r="E29" s="124">
        <f>E$26*'Value of Statistical Life'!E19*Appropriate_Crash_Reduction_Factor</f>
        <v>1.6955278963084144E-2</v>
      </c>
      <c r="F29" s="124">
        <f>F$26*'Value of Statistical Life'!F19*Appropriate_Crash_Reduction_Factor</f>
        <v>5.8328819539026244E-2</v>
      </c>
      <c r="G29" s="124">
        <f>G$26*'Value of Statistical Life'!G19*Appropriate_Crash_Reduction_Factor</f>
        <v>2.7986914788912489E-2</v>
      </c>
      <c r="H29" s="124">
        <f>H$26*'Value of Statistical Life'!H19*Appropriate_Crash_Reduction_Factor</f>
        <v>1.3423442778847298E-2</v>
      </c>
      <c r="I29" s="124">
        <f>I$26*'Value of Statistical Life'!I19*Appropriate_Crash_Reduction_Factor</f>
        <v>1.4389442793235369E-2</v>
      </c>
      <c r="J29" s="124">
        <f t="shared" si="9"/>
        <v>0.13108389886310556</v>
      </c>
      <c r="K29" s="69"/>
      <c r="L29" s="106"/>
      <c r="M29" s="11">
        <f t="shared" si="1"/>
        <v>2043</v>
      </c>
      <c r="N29" s="112">
        <f t="shared" si="6"/>
        <v>117827.31066059608</v>
      </c>
      <c r="O29" s="113">
        <f t="shared" si="7"/>
        <v>1.4599788041073314E-2</v>
      </c>
      <c r="P29" s="114">
        <f t="shared" si="8"/>
        <v>0.41891916759819681</v>
      </c>
      <c r="Q29" s="115">
        <f t="shared" si="4"/>
        <v>1</v>
      </c>
      <c r="R29" s="30">
        <f>IF(M29=Year_Open_to_Traffic?,Calculations!$J$5,Calculations!R28+(Calculations!R28*Calculations!O29*Q29))</f>
        <v>264297.8676053083</v>
      </c>
      <c r="S29" s="45">
        <f t="shared" si="0"/>
        <v>1</v>
      </c>
      <c r="T29" s="30">
        <f t="shared" si="5"/>
        <v>264.29786760530828</v>
      </c>
      <c r="U29" s="31">
        <f>T29/(1+Real_Discount_Rate)^(Calculations!M29-'Assumed Values'!$C$5)</f>
        <v>48.696664727159821</v>
      </c>
    </row>
    <row r="30" spans="1:21" ht="15.6">
      <c r="A30" s="38" t="s">
        <v>133</v>
      </c>
      <c r="B30" s="39" t="s">
        <v>134</v>
      </c>
      <c r="D30" s="124">
        <f>D$26*'Value of Statistical Life'!D20*Appropriate_Crash_Reduction_Factor</f>
        <v>0</v>
      </c>
      <c r="E30" s="124">
        <f>E$26*'Value of Statistical Life'!E20*Appropriate_Crash_Reduction_Factor</f>
        <v>1.1707641208630468E-2</v>
      </c>
      <c r="F30" s="124">
        <f>F$26*'Value of Statistical Life'!F20*Appropriate_Crash_Reduction_Factor</f>
        <v>1.7079029468621103E-2</v>
      </c>
      <c r="G30" s="124">
        <f>G$26*'Value of Statistical Life'!G20*Appropriate_Crash_Reduction_Factor</f>
        <v>4.6900306272766833E-3</v>
      </c>
      <c r="H30" s="124">
        <f>H$26*'Value of Statistical Life'!H20*Appropriate_Crash_Reduction_Factor</f>
        <v>5.4236132439787065E-4</v>
      </c>
      <c r="I30" s="124">
        <f>I$26*'Value of Statistical Life'!I20*Appropriate_Crash_Reduction_Factor</f>
        <v>7.8126629773461187E-3</v>
      </c>
      <c r="J30" s="124">
        <f t="shared" si="9"/>
        <v>4.1831725606272241E-2</v>
      </c>
      <c r="K30" s="69"/>
      <c r="L30" s="106"/>
      <c r="M30" s="11">
        <f t="shared" si="1"/>
        <v>2044</v>
      </c>
      <c r="N30" s="112">
        <f t="shared" si="6"/>
        <v>119547.56442169048</v>
      </c>
      <c r="O30" s="113">
        <f t="shared" si="7"/>
        <v>1.4599788041073314E-2</v>
      </c>
      <c r="P30" s="114">
        <f t="shared" si="8"/>
        <v>0.42503529865147333</v>
      </c>
      <c r="Q30" s="115">
        <f t="shared" si="4"/>
        <v>1</v>
      </c>
      <c r="R30" s="30">
        <f>IF(M30=Year_Open_to_Traffic?,Calculations!$J$5,Calculations!R29+(Calculations!R29*Calculations!O30*Q30))</f>
        <v>268156.56045205344</v>
      </c>
      <c r="S30" s="45">
        <f t="shared" si="0"/>
        <v>1</v>
      </c>
      <c r="T30" s="30">
        <f t="shared" si="5"/>
        <v>268.15656045205344</v>
      </c>
      <c r="U30" s="31">
        <f>T30/(1+Real_Discount_Rate)^(Calculations!M30-'Assumed Values'!$C$5)</f>
        <v>46.175351131293056</v>
      </c>
    </row>
    <row r="31" spans="1:21" ht="15.6">
      <c r="A31" s="38" t="s">
        <v>135</v>
      </c>
      <c r="B31" s="39" t="s">
        <v>136</v>
      </c>
      <c r="D31" s="124">
        <f>D$26*'Value of Statistical Life'!D21*Appropriate_Crash_Reduction_Factor</f>
        <v>0</v>
      </c>
      <c r="E31" s="124">
        <f>E$26*'Value of Statistical Life'!E21*Appropriate_Crash_Reduction_Factor</f>
        <v>3.2324345679574044E-3</v>
      </c>
      <c r="F31" s="124">
        <f>F$26*'Value of Statistical Life'!F21*Appropriate_Crash_Reduction_Factor</f>
        <v>3.3183949453290764E-3</v>
      </c>
      <c r="G31" s="124">
        <f>G$26*'Value of Statistical Life'!G21*Appropriate_Crash_Reduction_Factor</f>
        <v>6.2183412611885053E-4</v>
      </c>
      <c r="H31" s="124">
        <f>H$26*'Value of Statistical Life'!H21*Appropriate_Crash_Reduction_Factor</f>
        <v>0</v>
      </c>
      <c r="I31" s="124">
        <f>I$26*'Value of Statistical Life'!I21*Appropriate_Crash_Reduction_Factor</f>
        <v>1.0007085441192767E-3</v>
      </c>
      <c r="J31" s="124">
        <f t="shared" si="9"/>
        <v>8.1733721835246069E-3</v>
      </c>
      <c r="K31" s="69"/>
      <c r="L31" s="106"/>
      <c r="M31" s="11">
        <f t="shared" si="1"/>
        <v>2045</v>
      </c>
      <c r="N31" s="112">
        <f t="shared" si="6"/>
        <v>121292.93352307372</v>
      </c>
      <c r="O31" s="113">
        <f t="shared" si="7"/>
        <v>1.4599788041073314E-2</v>
      </c>
      <c r="P31" s="114">
        <f t="shared" si="8"/>
        <v>0.43124072392175911</v>
      </c>
      <c r="Q31" s="115">
        <f t="shared" si="4"/>
        <v>1</v>
      </c>
      <c r="R31" s="30">
        <f>IF(M31=Year_Open_to_Traffic?,Calculations!$J$5,Calculations!R30+(Calculations!R30*Calculations!O31*Q31))</f>
        <v>272071.58939647669</v>
      </c>
      <c r="S31" s="45">
        <f t="shared" si="0"/>
        <v>1</v>
      </c>
      <c r="T31" s="30">
        <f t="shared" si="5"/>
        <v>272.07158939647667</v>
      </c>
      <c r="U31" s="31">
        <f>T31/(1+Real_Discount_Rate)^(Calculations!M31-'Assumed Values'!$C$5)</f>
        <v>43.784580813581357</v>
      </c>
    </row>
    <row r="32" spans="1:21" ht="15.6">
      <c r="A32" s="38" t="s">
        <v>137</v>
      </c>
      <c r="B32" s="39" t="s">
        <v>138</v>
      </c>
      <c r="D32" s="124">
        <f>D$26*'Value of Statistical Life'!D22*Appropriate_Crash_Reduction_Factor</f>
        <v>0</v>
      </c>
      <c r="E32" s="124">
        <f>E$26*'Value of Statistical Life'!E22*Appropriate_Crash_Reduction_Factor</f>
        <v>1.445918423148031E-3</v>
      </c>
      <c r="F32" s="124">
        <f>F$26*'Value of Statistical Life'!F22*Appropriate_Crash_Reduction_Factor</f>
        <v>5.4057724109393029E-4</v>
      </c>
      <c r="G32" s="124">
        <f>G$26*'Value of Statistical Life'!G22*Appropriate_Crash_Reduction_Factor</f>
        <v>5.6928476334824348E-5</v>
      </c>
      <c r="H32" s="124">
        <f>H$26*'Value of Statistical Life'!H22*Appropriate_Crash_Reduction_Factor</f>
        <v>2.0338549664920149E-4</v>
      </c>
      <c r="I32" s="124">
        <f>I$26*'Value of Statistical Life'!I22*Appropriate_Crash_Reduction_Factor</f>
        <v>4.5250840163578313E-4</v>
      </c>
      <c r="J32" s="124">
        <f t="shared" si="9"/>
        <v>2.6993180388617702E-3</v>
      </c>
      <c r="K32" s="69"/>
      <c r="L32" s="106"/>
      <c r="M32" s="11">
        <f t="shared" si="1"/>
        <v>2046</v>
      </c>
      <c r="N32" s="112">
        <f t="shared" si="6"/>
        <v>123063.78464339059</v>
      </c>
      <c r="O32" s="113">
        <f t="shared" si="7"/>
        <v>1.4599788041073314E-2</v>
      </c>
      <c r="P32" s="114">
        <f t="shared" si="8"/>
        <v>0.43753674708569579</v>
      </c>
      <c r="Q32" s="115">
        <f t="shared" si="4"/>
        <v>1</v>
      </c>
      <c r="R32" s="30">
        <f>IF(M32=Year_Open_to_Traffic?,Calculations!$J$5,Calculations!R31+(Calculations!R31*Calculations!O32*Q32))</f>
        <v>276043.77693366318</v>
      </c>
      <c r="S32" s="45">
        <f t="shared" si="0"/>
        <v>1</v>
      </c>
      <c r="T32" s="30">
        <f t="shared" si="5"/>
        <v>276.0437769336632</v>
      </c>
      <c r="U32" s="31">
        <f>T32/(1+Real_Discount_Rate)^(Calculations!M32-'Assumed Values'!$C$5)</f>
        <v>41.517594778436361</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124860.48981471639</v>
      </c>
      <c r="O33" s="113">
        <f t="shared" si="7"/>
        <v>1.4599788041073314E-2</v>
      </c>
      <c r="P33" s="114">
        <f t="shared" si="8"/>
        <v>0.44392469085332764</v>
      </c>
      <c r="Q33" s="115">
        <f t="shared" si="4"/>
        <v>1</v>
      </c>
      <c r="R33" s="30">
        <f>IF(M33=Year_Open_to_Traffic?,Calculations!$J$5,Calculations!R32+(Calculations!R32*Calculations!O33*Q33))</f>
        <v>280073.95756695198</v>
      </c>
      <c r="S33" s="45">
        <f t="shared" si="0"/>
        <v>1</v>
      </c>
      <c r="T33" s="30">
        <f t="shared" si="5"/>
        <v>280.073957566952</v>
      </c>
      <c r="U33" s="31">
        <f>T33/(1+Real_Discount_Rate)^(Calculations!M33-'Assumed Values'!$C$5)</f>
        <v>39.367983983342711</v>
      </c>
    </row>
    <row r="34" spans="1:21" ht="15.6">
      <c r="J34" s="125"/>
      <c r="L34" s="106"/>
      <c r="M34" s="11">
        <f t="shared" si="1"/>
        <v>2048</v>
      </c>
      <c r="N34" s="112">
        <f t="shared" si="6"/>
        <v>126683.42650071584</v>
      </c>
      <c r="O34" s="113">
        <f t="shared" si="7"/>
        <v>1.4599788041073314E-2</v>
      </c>
      <c r="P34" s="114">
        <f t="shared" si="8"/>
        <v>0.45040589724598523</v>
      </c>
      <c r="Q34" s="115">
        <f t="shared" si="4"/>
        <v>1</v>
      </c>
      <c r="R34" s="30">
        <f>IF(M34=Year_Open_to_Traffic?,Calculations!$J$5,Calculations!R33+(Calculations!R33*Calculations!O34*Q34))</f>
        <v>284162.97798325407</v>
      </c>
      <c r="S34" s="45">
        <f t="shared" si="0"/>
        <v>1</v>
      </c>
      <c r="T34" s="30">
        <f t="shared" si="5"/>
        <v>284.16297798325405</v>
      </c>
      <c r="U34" s="31">
        <f>T34/(1+Real_Discount_Rate)^(Calculations!M34-'Assumed Values'!$C$5)</f>
        <v>37.329671219723259</v>
      </c>
    </row>
    <row r="35" spans="1:21" ht="15.6">
      <c r="G35" s="41"/>
      <c r="H35" s="41"/>
      <c r="L35" s="106"/>
      <c r="M35" s="11">
        <f t="shared" si="1"/>
        <v>2049</v>
      </c>
      <c r="N35" s="112">
        <f t="shared" si="6"/>
        <v>128532.97767594318</v>
      </c>
      <c r="O35" s="113">
        <f t="shared" si="7"/>
        <v>1.4599788041073314E-2</v>
      </c>
      <c r="P35" s="114">
        <f t="shared" si="8"/>
        <v>0.45698172787822605</v>
      </c>
      <c r="Q35" s="115">
        <f t="shared" si="4"/>
        <v>1</v>
      </c>
      <c r="R35" s="30">
        <f>IF(M35=Year_Open_to_Traffic?,Calculations!$J$5,Calculations!R34+(Calculations!R34*Calculations!O35*Q35))</f>
        <v>288311.69723092974</v>
      </c>
      <c r="S35" s="45">
        <f t="shared" si="0"/>
        <v>1</v>
      </c>
      <c r="T35" s="30">
        <f t="shared" si="5"/>
        <v>288.31169723092972</v>
      </c>
      <c r="U35" s="31">
        <f>T35/(1+Real_Discount_Rate)^(Calculations!M35-'Assumed Values'!$C$5)</f>
        <v>35.396893931938472</v>
      </c>
    </row>
    <row r="36" spans="1:21" ht="15.6">
      <c r="G36" s="41"/>
      <c r="H36" s="41"/>
      <c r="L36" s="106"/>
      <c r="M36" s="11">
        <f t="shared" si="1"/>
        <v>2050</v>
      </c>
      <c r="N36" s="112">
        <f t="shared" si="6"/>
        <v>130409.53190629996</v>
      </c>
      <c r="O36" s="113">
        <f t="shared" si="7"/>
        <v>1.4599788041073314E-2</v>
      </c>
      <c r="P36" s="114">
        <f t="shared" si="8"/>
        <v>0.46365356424389159</v>
      </c>
      <c r="Q36" s="115">
        <f t="shared" si="4"/>
        <v>1</v>
      </c>
      <c r="R36" s="30">
        <f>IF(M36=Year_Open_to_Traffic?,Calculations!$J$5,Calculations!R35+(Calculations!R35*Calculations!O36*Q36))</f>
        <v>292520.98690026341</v>
      </c>
      <c r="S36" s="45">
        <f t="shared" si="0"/>
        <v>1</v>
      </c>
      <c r="T36" s="30">
        <f t="shared" si="5"/>
        <v>292.52098690026338</v>
      </c>
      <c r="U36" s="31">
        <f>T36/(1+Real_Discount_Rate)^(Calculations!M36-'Assumed Values'!$C$5)</f>
        <v>33.564187925847783</v>
      </c>
    </row>
    <row r="37" spans="1:21">
      <c r="M37" s="39"/>
      <c r="N37" s="39"/>
      <c r="O37" s="118"/>
      <c r="P37" s="120"/>
      <c r="Q37" s="39"/>
      <c r="R37" s="39"/>
      <c r="S37" s="39"/>
      <c r="T37" s="39"/>
      <c r="U37" s="31">
        <f>SUM(U4:U36)</f>
        <v>1834.2205296726816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63246-A8E2-4857-9E98-9D6267BD2D53}"/>
</file>

<file path=customXml/itemProps2.xml><?xml version="1.0" encoding="utf-8"?>
<ds:datastoreItem xmlns:ds="http://schemas.openxmlformats.org/officeDocument/2006/customXml" ds:itemID="{2C748254-F346-4AA3-B82F-106860C99CAB}"/>
</file>

<file path=customXml/itemProps3.xml><?xml version="1.0" encoding="utf-8"?>
<ds:datastoreItem xmlns:ds="http://schemas.openxmlformats.org/officeDocument/2006/customXml" ds:itemID="{227FA0AF-761E-45A5-B4E4-636305698E2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