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Safety\"/>
    </mc:Choice>
  </mc:AlternateContent>
  <xr:revisionPtr revIDLastSave="17" documentId="8_{F87C0881-72DE-4542-A046-FD46F0F36375}" xr6:coauthVersionLast="40" xr6:coauthVersionMax="40" xr10:uidLastSave="{E92D2888-2780-4E47-A4A2-F945B3552557}"/>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P5" i="12"/>
  <c r="Q5" i="12"/>
  <c r="R5" i="12"/>
  <c r="M6" i="12"/>
  <c r="S6" i="12"/>
  <c r="P6" i="12"/>
  <c r="Q6" i="12"/>
  <c r="R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R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R8" i="12"/>
  <c r="K10" i="5"/>
  <c r="K12" i="5"/>
  <c r="K8" i="5"/>
  <c r="K14" i="5"/>
  <c r="K7" i="5"/>
  <c r="K5" i="5"/>
  <c r="K6" i="5"/>
  <c r="K13" i="5"/>
  <c r="K11" i="5"/>
  <c r="K9" i="5"/>
  <c r="I13" i="5"/>
  <c r="M9" i="12"/>
  <c r="S9" i="12"/>
  <c r="I7" i="5"/>
  <c r="I8" i="5"/>
  <c r="I10" i="5"/>
  <c r="I9" i="5"/>
  <c r="I14" i="5"/>
  <c r="I12" i="5"/>
  <c r="I5" i="5"/>
  <c r="I6" i="5"/>
  <c r="I11" i="5"/>
  <c r="I4" i="5"/>
  <c r="P9" i="12"/>
  <c r="Q9" i="12"/>
  <c r="R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M21" i="12"/>
  <c r="M22" i="12"/>
  <c r="M23" i="12"/>
  <c r="M24" i="12"/>
  <c r="M25" i="12"/>
  <c r="M26" i="12"/>
  <c r="M27" i="12"/>
  <c r="M28" i="12"/>
  <c r="M29" i="12"/>
  <c r="M30" i="12"/>
  <c r="M31" i="12"/>
  <c r="M32" i="12"/>
  <c r="M33" i="12"/>
  <c r="M34" i="12"/>
  <c r="M35" i="12"/>
  <c r="M36" i="12"/>
  <c r="E4" i="12"/>
  <c r="E5" i="12"/>
  <c r="E6" i="12"/>
  <c r="E19" i="12"/>
  <c r="F26" i="12"/>
  <c r="E18" i="12"/>
  <c r="E26" i="12"/>
  <c r="E21" i="12"/>
  <c r="H26" i="12"/>
  <c r="E17" i="12"/>
  <c r="D26" i="12"/>
  <c r="E22" i="12"/>
  <c r="I26" i="12"/>
  <c r="E20" i="12"/>
  <c r="G26" i="12"/>
  <c r="G19" i="7"/>
  <c r="H18" i="7"/>
  <c r="I18" i="7"/>
  <c r="J18" i="7"/>
  <c r="H27" i="5"/>
  <c r="I27" i="5"/>
  <c r="J27" i="5"/>
  <c r="K27" i="5"/>
  <c r="G28" i="5"/>
  <c r="S20" i="12"/>
  <c r="P21" i="12"/>
  <c r="Q20" i="12"/>
  <c r="G27" i="12"/>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c r="J28" i="5"/>
  <c r="K28" i="5"/>
  <c r="G29" i="5"/>
  <c r="G20" i="7"/>
  <c r="H19" i="7"/>
  <c r="I19" i="7"/>
  <c r="J19" i="7"/>
  <c r="S21" i="12"/>
  <c r="P22" i="12"/>
  <c r="Q21" i="12"/>
  <c r="J27" i="12"/>
  <c r="J30" i="12"/>
  <c r="J32" i="12"/>
  <c r="J31" i="12"/>
  <c r="J28" i="12"/>
  <c r="J33" i="12"/>
  <c r="J29" i="12"/>
  <c r="H20" i="7"/>
  <c r="I20" i="7"/>
  <c r="J20" i="7"/>
  <c r="G21" i="7"/>
  <c r="J29" i="5"/>
  <c r="K29" i="5"/>
  <c r="H29" i="5"/>
  <c r="S22" i="12"/>
  <c r="P23" i="12"/>
  <c r="Q22" i="12"/>
  <c r="J5" i="12"/>
  <c r="R10" i="12"/>
  <c r="R11" i="12"/>
  <c r="R12" i="12"/>
  <c r="R13" i="12"/>
  <c r="R14" i="12"/>
  <c r="R15" i="12"/>
  <c r="R16" i="12"/>
  <c r="R17" i="12"/>
  <c r="R18" i="12"/>
  <c r="R19" i="12"/>
  <c r="R20" i="12"/>
  <c r="R21" i="12"/>
  <c r="R22" i="12"/>
  <c r="H21" i="7"/>
  <c r="I21" i="7"/>
  <c r="J21" i="7"/>
  <c r="G22" i="7"/>
  <c r="I29" i="5"/>
  <c r="B13" i="5"/>
  <c r="S23" i="12"/>
  <c r="P24" i="12"/>
  <c r="Q23" i="12"/>
  <c r="R23" i="12"/>
  <c r="T4" i="12"/>
  <c r="U4" i="12"/>
  <c r="G23" i="7"/>
  <c r="H22" i="7"/>
  <c r="I22" i="7"/>
  <c r="J22" i="7"/>
  <c r="S24" i="12"/>
  <c r="P25" i="12"/>
  <c r="Q24" i="12"/>
  <c r="R24" i="12"/>
  <c r="T5" i="12"/>
  <c r="U5" i="12"/>
  <c r="G24" i="7"/>
  <c r="H23" i="7"/>
  <c r="I23" i="7"/>
  <c r="J23" i="7"/>
  <c r="S25" i="12"/>
  <c r="P26" i="12"/>
  <c r="Q25" i="12"/>
  <c r="R25" i="12"/>
  <c r="T6" i="12"/>
  <c r="U6" i="12"/>
  <c r="H24" i="7"/>
  <c r="I24" i="7"/>
  <c r="J24" i="7"/>
  <c r="G25" i="7"/>
  <c r="S26" i="12"/>
  <c r="P27" i="12"/>
  <c r="Q26" i="12"/>
  <c r="R26" i="12"/>
  <c r="T7" i="12"/>
  <c r="U7" i="12"/>
  <c r="H25" i="7"/>
  <c r="I25" i="7"/>
  <c r="J25" i="7"/>
  <c r="G26" i="7"/>
  <c r="S27" i="12"/>
  <c r="P28" i="12"/>
  <c r="Q27" i="12"/>
  <c r="R27" i="12"/>
  <c r="T8" i="12"/>
  <c r="U8" i="12"/>
  <c r="G27" i="7"/>
  <c r="H26" i="7"/>
  <c r="I26" i="7"/>
  <c r="J26" i="7"/>
  <c r="S28" i="12"/>
  <c r="P29" i="12"/>
  <c r="Q28" i="12"/>
  <c r="R28" i="12"/>
  <c r="T9" i="12"/>
  <c r="U9" i="12"/>
  <c r="G28" i="7"/>
  <c r="H27" i="7"/>
  <c r="I27" i="7"/>
  <c r="J27" i="7"/>
  <c r="Q29" i="12"/>
  <c r="P30" i="12"/>
  <c r="Q30" i="12"/>
  <c r="S29" i="12"/>
  <c r="R29" i="12"/>
  <c r="R30" i="12"/>
  <c r="T10" i="12"/>
  <c r="U10" i="12"/>
  <c r="H28" i="7"/>
  <c r="I28" i="7"/>
  <c r="J28" i="7"/>
  <c r="G29" i="7"/>
  <c r="P31" i="12"/>
  <c r="Q31" i="12"/>
  <c r="S30" i="12"/>
  <c r="R31" i="12"/>
  <c r="T11" i="12"/>
  <c r="U11" i="12"/>
  <c r="H29" i="7"/>
  <c r="I29" i="7"/>
  <c r="J29" i="7"/>
  <c r="B11" i="7"/>
  <c r="B12" i="7"/>
  <c r="S32" i="12"/>
  <c r="P32" i="12"/>
  <c r="Q32" i="12"/>
  <c r="S31" i="12"/>
  <c r="R32" i="12"/>
  <c r="T12" i="12"/>
  <c r="U12" i="12"/>
  <c r="S33" i="12"/>
  <c r="P33" i="12"/>
  <c r="Q33" i="12"/>
  <c r="R33" i="12"/>
  <c r="T13" i="12"/>
  <c r="U13" i="12"/>
  <c r="S34" i="12"/>
  <c r="P34" i="12"/>
  <c r="Q34" i="12"/>
  <c r="R34" i="12"/>
  <c r="T14" i="12"/>
  <c r="U14" i="12"/>
  <c r="S35" i="12"/>
  <c r="P35" i="12"/>
  <c r="Q35" i="12"/>
  <c r="R35" i="12"/>
  <c r="T15" i="12"/>
  <c r="U15" i="12"/>
  <c r="S36" i="12"/>
  <c r="P36" i="12"/>
  <c r="Q36" i="12"/>
  <c r="R36" i="12"/>
  <c r="T16" i="12"/>
  <c r="U16" i="12"/>
  <c r="T17" i="12"/>
  <c r="U17" i="12"/>
  <c r="T18" i="12"/>
  <c r="U18" i="12"/>
  <c r="T19" i="12"/>
  <c r="U19" i="12"/>
  <c r="T20" i="12"/>
  <c r="U20" i="12"/>
  <c r="T21" i="12"/>
  <c r="U21" i="12"/>
  <c r="T22" i="12"/>
  <c r="U22" i="12"/>
  <c r="T23" i="12"/>
  <c r="U23" i="12"/>
  <c r="T24" i="12"/>
  <c r="U24" i="12"/>
  <c r="T25" i="12"/>
  <c r="U25" i="12"/>
  <c r="T26" i="12"/>
  <c r="U26" i="12"/>
  <c r="T27" i="12"/>
  <c r="U27" i="12"/>
  <c r="T28" i="12"/>
  <c r="U28" i="12"/>
  <c r="T29" i="12"/>
  <c r="U29" i="12"/>
  <c r="T30" i="12"/>
  <c r="U30" i="12"/>
  <c r="T31" i="12"/>
  <c r="U31" i="12"/>
  <c r="T32" i="12"/>
  <c r="U32" i="12"/>
  <c r="T33" i="12"/>
  <c r="U33" i="12"/>
  <c r="T34" i="12"/>
  <c r="U34" i="12"/>
  <c r="T35" i="12"/>
  <c r="U35"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<sst xmlns="http://schemas.openxmlformats.org/spreadsheetml/2006/main" count="441" uniqueCount="286">
  <si>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</si>
  <si>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</si>
  <si>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</si>
  <si>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</si>
  <si>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</si>
  <si>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</si>
  <si>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</si>
  <si>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</si>
  <si>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</si>
  <si>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</si>
  <si>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</si>
  <si>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</si>
  <si>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</si>
  <si>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</si>
  <si>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</si>
  <si>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</si>
  <si>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</si>
  <si>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</si>
  <si>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</si>
  <si>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</si>
  <si>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</si>
  <si>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</si>
  <si>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</si>
  <si>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</si>
  <si>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</si>
  <si>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</si>
  <si>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</si>
  <si>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</si>
  <si>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</si>
  <si>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</si>
  <si>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</si>
  <si>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</si>
  <si>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</si>
  <si>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</si>
  <si>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</si>
  <si>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</si>
  <si>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</si>
  <si>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</si>
  <si>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</si>
  <si>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</si>
  <si>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</si>
  <si>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</si>
  <si>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</si>
  <si>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</si>
  <si>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</si>
  <si>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</si>
  <si>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</si>
  <si>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</si>
  <si>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518 Widening</t>
  </si>
  <si>
    <t>County</t>
  </si>
  <si>
    <t>Brazoria</t>
  </si>
  <si>
    <t>Data entered by the sponsors</t>
  </si>
  <si>
    <t>Facility Type</t>
  </si>
  <si>
    <t>Non-Freeway</t>
  </si>
  <si>
    <t>HGAC regional travel demand model data provided by HGAC upon request</t>
  </si>
  <si>
    <t>Street Name:</t>
  </si>
  <si>
    <t>FM 518</t>
  </si>
  <si>
    <t>Populated based on selection in cell "C18"</t>
  </si>
  <si>
    <t>Limits (From)</t>
  </si>
  <si>
    <t>SH 288</t>
  </si>
  <si>
    <t>Benefits calculated by the template</t>
  </si>
  <si>
    <t>Limits (To)</t>
  </si>
  <si>
    <t>FM 865</t>
  </si>
  <si>
    <t>Length (in Miles)</t>
  </si>
  <si>
    <t>Application ID Number:</t>
  </si>
  <si>
    <t>Sponsor ID Number (CSJ, etc.):</t>
  </si>
  <si>
    <t>3416-01-012</t>
  </si>
  <si>
    <t>Proposed Improvements Information</t>
  </si>
  <si>
    <r>
      <t xml:space="preserve">Year Open to Traffic? </t>
    </r>
    <r>
      <rPr>
        <b/>
        <sz val="11"/>
        <color theme="1"/>
        <rFont val="Calibri"/>
        <family val="2"/>
        <scheme val="minor"/>
      </rPr>
      <t>(Must be &gt;=2021)</t>
    </r>
  </si>
  <si>
    <t>Safety Improvement Type</t>
  </si>
  <si>
    <t>Install Raised Median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</si>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</sst>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2" zoomScaleNormal="100" workbookViewId="0" xr3:uid="{51F8DEE0-4D01-5F28-A812-FC0BD7CAC4A5}">
      <selection activeCell="C25" sqref="C25"/>
    </sheetView>
  </sheetViews>
  <sheetFormatPr defaultRowHeight="1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c r="B3" s="43" t="s">
        <v>46</v>
      </c>
      <c r="C3" s="44"/>
      <c r="D3" s="44"/>
      <c r="E3" s="44"/>
      <c r="F3" s="44"/>
    </row>
    <row r="5" spans="2:19">
      <c r="B5" s="5" t="s">
        <v>0</v>
      </c>
    </row>
    <row r="6" spans="2:1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2.12</v>
      </c>
      <c r="D12" s="79"/>
      <c r="N12" s="133"/>
      <c r="O12" s="133"/>
      <c r="P12" s="133"/>
      <c r="Q12" s="133"/>
      <c r="R12" s="133"/>
      <c r="S12" s="133"/>
    </row>
    <row r="13" spans="2:19">
      <c r="B13" s="3" t="s">
        <v>64</v>
      </c>
      <c r="C13" s="97"/>
      <c r="D13" s="53"/>
    </row>
    <row r="14" spans="2:19">
      <c r="B14" s="3" t="s">
        <v>65</v>
      </c>
      <c r="C14" s="97" t="s">
        <v>66</v>
      </c>
      <c r="D14" s="53"/>
      <c r="G14" s="90"/>
    </row>
    <row r="15" spans="2:19">
      <c r="C15" s="53"/>
      <c r="D15" s="53"/>
    </row>
    <row r="16" spans="2:19">
      <c r="B16" s="5" t="s">
        <v>67</v>
      </c>
    </row>
    <row r="17" spans="2:13">
      <c r="B17" s="3" t="s">
        <v>68</v>
      </c>
      <c r="C17" s="97">
        <v>2024</v>
      </c>
      <c r="D17" s="80"/>
    </row>
    <row r="18" spans="2:13">
      <c r="B18" s="3" t="s">
        <v>69</v>
      </c>
      <c r="C18" s="98" t="s">
        <v>70</v>
      </c>
    </row>
    <row r="19" spans="2:13">
      <c r="B19" s="99" t="s">
        <v>71</v>
      </c>
      <c r="C19" s="128">
        <f>VLOOKUP(C18,'CRF Lookup Table'!C3:F84,2, FALSE)</f>
        <v>203</v>
      </c>
      <c r="D19" s="81"/>
    </row>
    <row r="20" spans="2:13">
      <c r="B20" s="99" t="s">
        <v>72</v>
      </c>
      <c r="C20" s="129">
        <f>VLOOKUP(C18,'CRF Lookup Table'!C3:F84,3, FALSE)</f>
        <v>0.4</v>
      </c>
      <c r="D20" s="53"/>
      <c r="F20" s="57"/>
    </row>
    <row r="21" spans="2:13">
      <c r="B21" s="99" t="s">
        <v>73</v>
      </c>
      <c r="C21" s="128">
        <f>VLOOKUP(C18,'CRF Lookup Table'!C3:F84,4, FALSE)</f>
        <v>20</v>
      </c>
      <c r="D21" s="53"/>
      <c r="F21" s="57"/>
    </row>
    <row r="22" spans="2:13">
      <c r="F22" s="57"/>
      <c r="M22" s="87"/>
    </row>
    <row r="23" spans="2:13">
      <c r="C23" s="53"/>
      <c r="D23" s="53"/>
      <c r="F23" s="57"/>
    </row>
    <row r="24" spans="2:13">
      <c r="B24" s="91" t="s">
        <v>74</v>
      </c>
      <c r="C24" s="61"/>
      <c r="D24" s="61"/>
      <c r="M24" s="87"/>
    </row>
    <row r="25" spans="2:13">
      <c r="B25" s="3" t="s">
        <v>75</v>
      </c>
      <c r="C25" s="7">
        <v>35861</v>
      </c>
      <c r="D25" s="82"/>
      <c r="I25" s="41"/>
    </row>
    <row r="26" spans="2:13">
      <c r="I26" s="41"/>
    </row>
    <row r="27" spans="2:13">
      <c r="B27" s="73" t="s">
        <v>76</v>
      </c>
      <c r="C27" s="74">
        <v>16589</v>
      </c>
      <c r="D27" s="82"/>
      <c r="I27" s="41"/>
    </row>
    <row r="28" spans="2:13">
      <c r="B28" s="73" t="s">
        <v>77</v>
      </c>
      <c r="C28" s="74">
        <v>23508</v>
      </c>
      <c r="D28" s="82"/>
      <c r="I28" s="41"/>
    </row>
    <row r="29" spans="2:13">
      <c r="B29" s="73" t="s">
        <v>78</v>
      </c>
      <c r="C29" s="75">
        <v>17118</v>
      </c>
      <c r="D29" s="58"/>
      <c r="I29" s="41"/>
    </row>
    <row r="30" spans="2:13">
      <c r="B30" s="73" t="s">
        <v>79</v>
      </c>
      <c r="C30" s="75">
        <v>23508</v>
      </c>
      <c r="D30" s="58"/>
      <c r="I30" s="41"/>
    </row>
    <row r="31" spans="2:13">
      <c r="B31" s="73" t="s">
        <v>80</v>
      </c>
      <c r="C31" s="74">
        <v>21374</v>
      </c>
      <c r="D31" s="82"/>
      <c r="H31" s="59"/>
    </row>
    <row r="32" spans="2:13">
      <c r="B32" s="73" t="s">
        <v>81</v>
      </c>
      <c r="C32" s="74">
        <v>31094</v>
      </c>
      <c r="D32" s="82"/>
    </row>
    <row r="34" spans="2:9" ht="18.75">
      <c r="B34" s="43" t="s">
        <v>82</v>
      </c>
      <c r="C34" s="44"/>
      <c r="D34" s="44"/>
      <c r="E34" s="44"/>
      <c r="F34" s="44"/>
      <c r="I34" s="59"/>
    </row>
    <row r="36" spans="2:9">
      <c r="B36" s="9" t="s">
        <v>83</v>
      </c>
    </row>
    <row r="37" spans="2:9">
      <c r="B37" s="8" t="s">
        <v>84</v>
      </c>
      <c r="C37" s="34">
        <f>Calculations!U37</f>
        <v>28584.437063250902</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75">
      <c r="A4" s="13" t="s">
        <v>20</v>
      </c>
      <c r="B4" s="39">
        <v>2018</v>
      </c>
      <c r="D4" s="104" t="s">
        <v>94</v>
      </c>
      <c r="E4" s="105">
        <f>VLOOKUP(Year_Open_to_Traffic?,Calculations!M4:N36,2,Calculations!N4:N36)</f>
        <v>36838.985842823757</v>
      </c>
      <c r="G4" s="136" t="s">
        <v>95</v>
      </c>
      <c r="H4" s="136"/>
      <c r="I4" s="136"/>
      <c r="J4" s="136"/>
      <c r="L4" s="106"/>
      <c r="M4" s="107">
        <v>2018</v>
      </c>
      <c r="N4" s="108">
        <f>_2018_Volume_ADT</f>
        <v>35861</v>
      </c>
      <c r="O4" s="109" t="s">
        <v>96</v>
      </c>
      <c r="P4" s="110">
        <f>MIN(B12,1)</f>
        <v>0.70567466394418921</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c r="A5" s="13" t="s">
        <v>97</v>
      </c>
      <c r="B5" s="13">
        <f>Service_Life</f>
        <v>20</v>
      </c>
      <c r="D5" s="104" t="s">
        <v>98</v>
      </c>
      <c r="E5" s="105">
        <f>$E$4*'Inputs &amp; Outputs'!$C$12</f>
        <v>78098.649986786375</v>
      </c>
      <c r="G5" s="137" t="s">
        <v>99</v>
      </c>
      <c r="H5" s="137"/>
      <c r="I5" s="137"/>
      <c r="J5" s="111">
        <f>SUMPRODUCT(Possible_Crash_Reductions,'Value of Statistical Life'!E5:E11)</f>
        <v>3503725.5958020077</v>
      </c>
      <c r="L5" s="106"/>
      <c r="M5" s="11">
        <f t="shared" ref="M5:M36" si="1">M4+1</f>
        <v>2019</v>
      </c>
      <c r="N5" s="112">
        <f>N4+(N4*O5)</f>
        <v>36022.175757076773</v>
      </c>
      <c r="O5" s="113">
        <f t="shared" ref="O5:O11" si="2">IF(ISERROR(_2025_2045_Demand_Growth),_2018_2045_Demand_Growth,_2018_2025_Demand_Growth)</f>
        <v>4.4944579648300564E-3</v>
      </c>
      <c r="P5" s="114">
        <f t="shared" ref="P5:P11" si="3">P4*(1+IFERROR(_2018_2025_V_C_Growth,_2018_2045_V_C_Growth))</f>
        <v>0.70884628905813196</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c r="A6" s="13" t="s">
        <v>100</v>
      </c>
      <c r="B6" s="13">
        <v>260</v>
      </c>
      <c r="D6" s="104" t="s">
        <v>101</v>
      </c>
      <c r="E6" s="105">
        <f>$E$5*$B$6</f>
        <v>20305648.996564459</v>
      </c>
      <c r="L6" s="106"/>
      <c r="M6" s="107">
        <f t="shared" si="1"/>
        <v>2020</v>
      </c>
      <c r="N6" s="112">
        <f t="shared" ref="N6:N36" si="6">N5+(N5*O6)</f>
        <v>36184.075911818676</v>
      </c>
      <c r="O6" s="113">
        <f t="shared" si="2"/>
        <v>4.4944579648300564E-3</v>
      </c>
      <c r="P6" s="114">
        <f t="shared" si="3"/>
        <v>0.7120321689078295</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c r="B7" s="53"/>
      <c r="L7" s="106"/>
      <c r="M7" s="11">
        <f t="shared" si="1"/>
        <v>2021</v>
      </c>
      <c r="N7" s="112">
        <f t="shared" si="6"/>
        <v>36346.703720000565</v>
      </c>
      <c r="O7" s="113">
        <f t="shared" si="2"/>
        <v>4.4944579648300564E-3</v>
      </c>
      <c r="P7" s="114">
        <f t="shared" si="3"/>
        <v>0.7152323675605925</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c r="A8" s="116" t="s">
        <v>21</v>
      </c>
      <c r="B8" s="100"/>
      <c r="D8" s="117" t="s">
        <v>102</v>
      </c>
      <c r="E8" s="57"/>
      <c r="L8" s="106"/>
      <c r="M8" s="107">
        <f t="shared" si="1"/>
        <v>2022</v>
      </c>
      <c r="N8" s="112">
        <f t="shared" si="6"/>
        <v>36510.062452030237</v>
      </c>
      <c r="O8" s="113">
        <f t="shared" si="2"/>
        <v>4.4944579648300564E-3</v>
      </c>
      <c r="P8" s="114">
        <f t="shared" si="3"/>
        <v>0.71844694937167941</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c r="A9" s="39" t="s">
        <v>103</v>
      </c>
      <c r="B9" s="118">
        <f>(_2025_Peak_Period_Volume/'Inputs &amp; Outputs'!$C$27)^(1/(2025-2018))-1</f>
        <v>4.4944579648300564E-3</v>
      </c>
      <c r="D9" s="39" t="s">
        <v>104</v>
      </c>
      <c r="E9" s="119">
        <f>IF('Inputs &amp; Outputs'!$C$8='CRASH RATES'!$D$3, VLOOKUP('Inputs &amp; Outputs'!$C$7,'CRASH RATES'!$C$14:$J$21,3,FALSE), VLOOKUP('Inputs &amp; Outputs'!$C$7,'CRASH RATES'!$C$28:$J$35,3,FALSE))</f>
        <v>2.3625405586197226</v>
      </c>
      <c r="F9" s="85"/>
      <c r="L9" s="106"/>
      <c r="M9" s="11">
        <f t="shared" si="1"/>
        <v>2023</v>
      </c>
      <c r="N9" s="112">
        <f t="shared" si="6"/>
        <v>36674.155393014211</v>
      </c>
      <c r="O9" s="113">
        <f t="shared" si="2"/>
        <v>4.4944579648300564E-3</v>
      </c>
      <c r="P9" s="114">
        <f t="shared" si="3"/>
        <v>0.72167597898559077</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c r="A10" s="39" t="s">
        <v>105</v>
      </c>
      <c r="B10" s="118">
        <f>(_2045_Peak_Period_Volume/_2025_Peak_Period_Volume)^(1/(2045-2025))-1</f>
        <v>1.116409294748455E-2</v>
      </c>
      <c r="D10" s="39" t="s">
        <v>106</v>
      </c>
      <c r="E10" s="119">
        <f>IF('Inputs &amp; Outputs'!$C$8='CRASH RATES'!$D$3, VLOOKUP('Inputs &amp; Outputs'!$C$7,'CRASH RATES'!$C$14:$J$21,4,FALSE), VLOOKUP('Inputs &amp; Outputs'!$C$7,'CRASH RATES'!$C$28:$J$35,4,FALSE))</f>
        <v>8.4203368627728583</v>
      </c>
      <c r="F10" s="85"/>
      <c r="L10" s="106"/>
      <c r="M10" s="107">
        <f t="shared" si="1"/>
        <v>2024</v>
      </c>
      <c r="N10" s="112">
        <f t="shared" si="6"/>
        <v>36838.985842823757</v>
      </c>
      <c r="O10" s="113">
        <f t="shared" si="2"/>
        <v>4.4944579648300564E-3</v>
      </c>
      <c r="P10" s="114">
        <f t="shared" si="3"/>
        <v>0.72491952133736914</v>
      </c>
      <c r="Q10" s="115">
        <f t="shared" si="4"/>
        <v>1</v>
      </c>
      <c r="R10" s="30">
        <f>IF(M10=Year_Open_to_Traffic?,Calculations!$J$5,Calculations!R9+(Calculations!R9*Calculations!O10*Q10))</f>
        <v>3503725.5958020077</v>
      </c>
      <c r="S10" s="45">
        <f t="shared" si="0"/>
        <v>1</v>
      </c>
      <c r="T10" s="30">
        <f t="shared" si="5"/>
        <v>3503.7255958020078</v>
      </c>
      <c r="U10" s="31">
        <f>T10/(1+Real_Discount_Rate)^(Calculations!M10-'Assumed Values'!$C$5)</f>
        <v>2334.6803051495453</v>
      </c>
    </row>
    <row r="11" spans="1:21" ht="15.75">
      <c r="A11" s="39" t="s">
        <v>107</v>
      </c>
      <c r="B11" s="118">
        <f>(_2045_Peak_Period_Volume/'Inputs &amp; Outputs'!$C$27)^(1/(2045-2018))-1</f>
        <v>9.4306877982948123E-3</v>
      </c>
      <c r="D11" s="39" t="s">
        <v>108</v>
      </c>
      <c r="E11" s="119">
        <f>IF('Inputs &amp; Outputs'!$C$8='CRASH RATES'!$D$3, VLOOKUP('Inputs &amp; Outputs'!$C$7,'CRASH RATES'!$C$14:$J$21,5,FALSE), VLOOKUP('Inputs &amp; Outputs'!$C$7,'CRASH RATES'!$C$28:$J$35,5,FALSE))</f>
        <v>41.314170794324376</v>
      </c>
      <c r="F11" s="85"/>
      <c r="L11" s="106"/>
      <c r="M11" s="11">
        <f t="shared" si="1"/>
        <v>2025</v>
      </c>
      <c r="N11" s="112">
        <f t="shared" si="6"/>
        <v>37004.557116161297</v>
      </c>
      <c r="O11" s="113">
        <f t="shared" si="2"/>
        <v>4.4944579648300564E-3</v>
      </c>
      <c r="P11" s="114">
        <f t="shared" si="3"/>
        <v>0.72817764165390464</v>
      </c>
      <c r="Q11" s="115">
        <f t="shared" si="4"/>
        <v>1</v>
      </c>
      <c r="R11" s="30">
        <f>IF(M11=Year_Open_to_Traffic?,Calculations!$J$5,Calculations!R10+(Calculations!R10*Calculations!O11*Q11))</f>
        <v>3519472.9432126391</v>
      </c>
      <c r="S11" s="45">
        <f t="shared" si="0"/>
        <v>1</v>
      </c>
      <c r="T11" s="30">
        <f t="shared" si="5"/>
        <v>3519.4729432126392</v>
      </c>
      <c r="U11" s="31">
        <f>T11/(1+Real_Discount_Rate)^(Calculations!M11-'Assumed Values'!$C$5)</f>
        <v>2191.7508669554732</v>
      </c>
    </row>
    <row r="12" spans="1:21" ht="15.75">
      <c r="A12" s="39" t="s">
        <v>109</v>
      </c>
      <c r="B12" s="120">
        <f>'Inputs &amp; Outputs'!C27/_2018_Peak_Period_Capacity</f>
        <v>0.70567466394418921</v>
      </c>
      <c r="D12" s="39" t="s">
        <v>110</v>
      </c>
      <c r="E12" s="119">
        <f>IF('Inputs &amp; Outputs'!$C$8='CRASH RATES'!$D$3, VLOOKUP('Inputs &amp; Outputs'!$C$7,'CRASH RATES'!$C$14:$J$21,6,FALSE), VLOOKUP('Inputs &amp; Outputs'!$C$7,'CRASH RATES'!$C$28:$J$35,6,FALSE))</f>
        <v>65.121310269646187</v>
      </c>
      <c r="F12" s="85"/>
      <c r="L12" s="106"/>
      <c r="M12" s="107">
        <f t="shared" si="1"/>
        <v>2026</v>
      </c>
      <c r="N12" s="112">
        <f t="shared" si="6"/>
        <v>37417.679431286626</v>
      </c>
      <c r="O12" s="113">
        <f t="shared" ref="O12:O36" si="7">IFERROR(_2025_2045_Demand_Growth,_2018_2045_Demand_Growth)</f>
        <v>1.116409294748455E-2</v>
      </c>
      <c r="P12" s="114">
        <f t="shared" ref="P12:P36" si="8">P11*(1+IFERROR(_2025_2040_V_C_Growth,_2018_2045_V_C_Growth))</f>
        <v>0.72608243980932252</v>
      </c>
      <c r="Q12" s="115">
        <f t="shared" si="4"/>
        <v>1</v>
      </c>
      <c r="R12" s="30">
        <f>IF(M12=Year_Open_to_Traffic?,Calculations!$J$5,Calculations!R11+(Calculations!R11*Calculations!O12*Q12))</f>
        <v>3558764.6662768219</v>
      </c>
      <c r="S12" s="45">
        <f t="shared" si="0"/>
        <v>1</v>
      </c>
      <c r="T12" s="30">
        <f t="shared" si="5"/>
        <v>3558.764666276822</v>
      </c>
      <c r="U12" s="31">
        <f>T12/(1+Real_Discount_Rate)^(Calculations!M12-'Assumed Values'!$C$5)</f>
        <v>2071.2334367774711</v>
      </c>
    </row>
    <row r="13" spans="1:21" ht="15.75">
      <c r="A13" s="39" t="s">
        <v>111</v>
      </c>
      <c r="B13" s="120">
        <f>_2025_Peak_Period_Volume/_2025_Peak_Period_Capacity</f>
        <v>0.72817764165390508</v>
      </c>
      <c r="D13" s="39" t="s">
        <v>112</v>
      </c>
      <c r="E13" s="119">
        <f>IF('Inputs &amp; Outputs'!$C$8='CRASH RATES'!$D$3, VLOOKUP('Inputs &amp; Outputs'!$C$7,'CRASH RATES'!$C$14:$J$21,7,FALSE), VLOOKUP('Inputs &amp; Outputs'!$C$7,'CRASH RATES'!$C$28:$J$35,7,FALSE))</f>
        <v>615.29037061283384</v>
      </c>
      <c r="F13" s="85"/>
      <c r="L13" s="106"/>
      <c r="M13" s="11">
        <f t="shared" si="1"/>
        <v>2027</v>
      </c>
      <c r="N13" s="112">
        <f t="shared" si="6"/>
        <v>37835.413882336688</v>
      </c>
      <c r="O13" s="113">
        <f t="shared" si="7"/>
        <v>1.116409294748455E-2</v>
      </c>
      <c r="P13" s="114">
        <f t="shared" si="8"/>
        <v>0.72399326653595486</v>
      </c>
      <c r="Q13" s="115">
        <f t="shared" si="4"/>
        <v>1</v>
      </c>
      <c r="R13" s="30">
        <f>IF(M13=Year_Open_to_Traffic?,Calculations!$J$5,Calculations!R12+(Calculations!R12*Calculations!O13*Q13))</f>
        <v>3598495.0457893601</v>
      </c>
      <c r="S13" s="45">
        <f t="shared" si="0"/>
        <v>1</v>
      </c>
      <c r="T13" s="30">
        <f t="shared" si="5"/>
        <v>3598.4950457893601</v>
      </c>
      <c r="U13" s="31">
        <f>T13/(1+Real_Discount_Rate)^(Calculations!M13-'Assumed Values'!$C$5)</f>
        <v>1957.3428779267217</v>
      </c>
    </row>
    <row r="14" spans="1:21" ht="15.75">
      <c r="A14" s="39" t="s">
        <v>113</v>
      </c>
      <c r="B14" s="120">
        <f>_2045_Peak_Period_Volume/_2045_Peak_Period_Capacity</f>
        <v>0.68739949829549107</v>
      </c>
      <c r="D14" s="39" t="s">
        <v>114</v>
      </c>
      <c r="E14" s="119">
        <f>IF('Inputs &amp; Outputs'!$C$8='CRASH RATES'!$D$3, VLOOKUP('Inputs &amp; Outputs'!$C$7,'CRASH RATES'!$C$14:$J$21,8,FALSE), VLOOKUP('Inputs &amp; Outputs'!$C$7,'CRASH RATES'!$C$28:$J$35,8,FALSE))</f>
        <v>20.354195581954531</v>
      </c>
      <c r="F14" s="85"/>
      <c r="L14" s="106"/>
      <c r="M14" s="107">
        <f>M13+1</f>
        <v>2028</v>
      </c>
      <c r="N14" s="112">
        <f t="shared" si="6"/>
        <v>38257.811959625644</v>
      </c>
      <c r="O14" s="113">
        <f t="shared" si="7"/>
        <v>1.116409294748455E-2</v>
      </c>
      <c r="P14" s="114">
        <f>P13*(1+IFERROR(_2025_2040_V_C_Growth,_2018_2045_V_C_Growth))</f>
        <v>0.7219101044876588</v>
      </c>
      <c r="Q14" s="115">
        <f t="shared" si="4"/>
        <v>1</v>
      </c>
      <c r="R14" s="30">
        <f>IF(M14=Year_Open_to_Traffic?,Calculations!$J$5,Calculations!R13+(Calculations!R13*Calculations!O14*Q14))</f>
        <v>3638668.9789516153</v>
      </c>
      <c r="S14" s="45">
        <f t="shared" si="0"/>
        <v>1</v>
      </c>
      <c r="T14" s="30">
        <f t="shared" si="5"/>
        <v>3638.6689789516154</v>
      </c>
      <c r="U14" s="31">
        <f>T14/(1+Real_Discount_Rate)^(Calculations!M14-'Assumed Values'!$C$5)</f>
        <v>1849.71479976261</v>
      </c>
    </row>
    <row r="15" spans="1:21" ht="15.75">
      <c r="A15" s="39" t="s">
        <v>115</v>
      </c>
      <c r="B15" s="118">
        <f>(B13/B12)^(1/(2025-2018))-1</f>
        <v>4.4944579648300564E-3</v>
      </c>
      <c r="L15" s="106"/>
      <c r="M15" s="11">
        <f>M14+1</f>
        <v>2029</v>
      </c>
      <c r="N15" s="112">
        <f t="shared" si="6"/>
        <v>38684.925728310292</v>
      </c>
      <c r="O15" s="113">
        <f t="shared" si="7"/>
        <v>1.116409294748455E-2</v>
      </c>
      <c r="P15" s="114">
        <f>P14*(1+IFERROR(_2025_2040_V_C_Growth,_2018_2045_V_C_Growth))</f>
        <v>0.71983293636820156</v>
      </c>
      <c r="Q15" s="115">
        <f t="shared" si="4"/>
        <v>1</v>
      </c>
      <c r="R15" s="30">
        <f>IF(M15=Year_Open_to_Traffic?,Calculations!$J$5,Calculations!R14+(Calculations!R14*Calculations!O15*Q15))</f>
        <v>3679291.4176377598</v>
      </c>
      <c r="S15" s="45">
        <f t="shared" si="0"/>
        <v>1</v>
      </c>
      <c r="T15" s="30">
        <f t="shared" si="5"/>
        <v>3679.2914176377599</v>
      </c>
      <c r="U15" s="31">
        <f>T15/(1+Real_Discount_Rate)^(Calculations!M15-'Assumed Values'!$C$5)</f>
        <v>1748.0048483303713</v>
      </c>
    </row>
    <row r="16" spans="1:21" ht="15.75">
      <c r="A16" s="39" t="s">
        <v>116</v>
      </c>
      <c r="B16" s="118">
        <f>(B14/B13)^(1/(2045-2025))-1</f>
        <v>-2.8773224069655878E-3</v>
      </c>
      <c r="D16" s="121" t="s">
        <v>117</v>
      </c>
      <c r="E16" s="57"/>
      <c r="L16" s="106"/>
      <c r="M16" s="107">
        <f t="shared" si="1"/>
        <v>2030</v>
      </c>
      <c r="N16" s="112">
        <f t="shared" si="6"/>
        <v>39116.807834807682</v>
      </c>
      <c r="O16" s="113">
        <f t="shared" si="7"/>
        <v>1.116409294748455E-2</v>
      </c>
      <c r="P16" s="114">
        <f t="shared" si="8"/>
        <v>0.71776174493111755</v>
      </c>
      <c r="Q16" s="115">
        <f t="shared" si="4"/>
        <v>1</v>
      </c>
      <c r="R16" s="30">
        <f>IF(M16=Year_Open_to_Traffic?,Calculations!$J$5,Calculations!R15+(Calculations!R15*Calculations!O16*Q16))</f>
        <v>3720367.3690051502</v>
      </c>
      <c r="S16" s="45">
        <f t="shared" si="0"/>
        <v>1</v>
      </c>
      <c r="T16" s="30">
        <f t="shared" si="5"/>
        <v>3720.3673690051501</v>
      </c>
      <c r="U16" s="31">
        <f>T16/(1+Real_Discount_Rate)^(Calculations!M16-'Assumed Values'!$C$5)</f>
        <v>1651.8876046072762</v>
      </c>
    </row>
    <row r="17" spans="1:21" ht="15.75">
      <c r="A17" s="39" t="s">
        <v>118</v>
      </c>
      <c r="B17" s="118">
        <f>(B14/B12)^(1/(2045-2018))-1</f>
        <v>-9.7133094441859136E-4</v>
      </c>
      <c r="D17" s="39" t="s">
        <v>119</v>
      </c>
      <c r="E17" s="122">
        <f>($E$6*Death_Rate)/100000000</f>
        <v>0.47972919323479407</v>
      </c>
      <c r="L17" s="106"/>
      <c r="M17" s="11">
        <f t="shared" si="1"/>
        <v>2031</v>
      </c>
      <c r="N17" s="112">
        <f t="shared" si="6"/>
        <v>39553.511513284364</v>
      </c>
      <c r="O17" s="113">
        <f t="shared" si="7"/>
        <v>1.116409294748455E-2</v>
      </c>
      <c r="P17" s="114">
        <f t="shared" si="8"/>
        <v>0.71569651297956449</v>
      </c>
      <c r="Q17" s="115">
        <f t="shared" si="4"/>
        <v>1</v>
      </c>
      <c r="R17" s="30">
        <f>IF(M17=Year_Open_to_Traffic?,Calculations!$J$5,Calculations!R16+(Calculations!R16*Calculations!O17*Q17))</f>
        <v>3761901.8961115121</v>
      </c>
      <c r="S17" s="45">
        <f t="shared" si="0"/>
        <v>1</v>
      </c>
      <c r="T17" s="30">
        <f t="shared" si="5"/>
        <v>3761.9018961115121</v>
      </c>
      <c r="U17" s="31">
        <f>T17/(1+Real_Discount_Rate)^(Calculations!M17-'Assumed Values'!$C$5)</f>
        <v>1561.0555433307563</v>
      </c>
    </row>
    <row r="18" spans="1:21" ht="15.75">
      <c r="D18" s="39" t="s">
        <v>120</v>
      </c>
      <c r="E18" s="122">
        <f>($E$6*Incap_Injry_Rate)/100000000</f>
        <v>1.7098040476829841</v>
      </c>
      <c r="L18" s="106"/>
      <c r="M18" s="107">
        <f t="shared" si="1"/>
        <v>2032</v>
      </c>
      <c r="N18" s="112">
        <f t="shared" si="6"/>
        <v>39995.090592218068</v>
      </c>
      <c r="O18" s="113">
        <f t="shared" si="7"/>
        <v>1.116409294748455E-2</v>
      </c>
      <c r="P18" s="114">
        <f t="shared" si="8"/>
        <v>0.71363722336618129</v>
      </c>
      <c r="Q18" s="115">
        <f t="shared" si="4"/>
        <v>1</v>
      </c>
      <c r="R18" s="30">
        <f>IF(M18=Year_Open_to_Traffic?,Calculations!$J$5,Calculations!R17+(Calculations!R17*Calculations!O18*Q18))</f>
        <v>3803900.1185390195</v>
      </c>
      <c r="S18" s="45">
        <f t="shared" si="0"/>
        <v>1</v>
      </c>
      <c r="T18" s="30">
        <f t="shared" si="5"/>
        <v>3803.9001185390193</v>
      </c>
      <c r="U18" s="31">
        <f>T18/(1+Real_Discount_Rate)^(Calculations!M18-'Assumed Values'!$C$5)</f>
        <v>1475.2180490772776</v>
      </c>
    </row>
    <row r="19" spans="1:21" ht="15.75">
      <c r="D19" s="39" t="s">
        <v>121</v>
      </c>
      <c r="E19" s="122">
        <f>($E$6*Nonincap_Injry_Rate)/100000000</f>
        <v>8.389110507336655</v>
      </c>
      <c r="L19" s="106"/>
      <c r="M19" s="11">
        <f t="shared" si="1"/>
        <v>2033</v>
      </c>
      <c r="N19" s="112">
        <f t="shared" si="6"/>
        <v>40441.599501032659</v>
      </c>
      <c r="O19" s="113">
        <f t="shared" si="7"/>
        <v>1.116409294748455E-2</v>
      </c>
      <c r="P19" s="114">
        <f t="shared" si="8"/>
        <v>0.71158385899294507</v>
      </c>
      <c r="Q19" s="115">
        <f t="shared" si="4"/>
        <v>1</v>
      </c>
      <c r="R19" s="30">
        <f>IF(M19=Year_Open_to_Traffic?,Calculations!$J$5,Calculations!R18+(Calculations!R18*Calculations!O19*Q19))</f>
        <v>3846367.2130253366</v>
      </c>
      <c r="S19" s="45">
        <f t="shared" si="0"/>
        <v>1</v>
      </c>
      <c r="T19" s="30">
        <f t="shared" si="5"/>
        <v>3846.3672130253367</v>
      </c>
      <c r="U19" s="31">
        <f>T19/(1+Real_Discount_Rate)^(Calculations!M19-'Assumed Values'!$C$5)</f>
        <v>1394.1004864439094</v>
      </c>
    </row>
    <row r="20" spans="1:21" ht="15.75">
      <c r="D20" s="39" t="s">
        <v>122</v>
      </c>
      <c r="E20" s="122">
        <f>($E$6*Poss_Injry_Rate/100000000)</f>
        <v>13.223304685318038</v>
      </c>
      <c r="L20" s="106"/>
      <c r="M20" s="107">
        <f t="shared" si="1"/>
        <v>2034</v>
      </c>
      <c r="N20" s="112">
        <f t="shared" si="6"/>
        <v>40893.093276807129</v>
      </c>
      <c r="O20" s="113">
        <f t="shared" si="7"/>
        <v>1.116409294748455E-2</v>
      </c>
      <c r="P20" s="114">
        <f t="shared" si="8"/>
        <v>0.70953640281102959</v>
      </c>
      <c r="Q20" s="115">
        <f t="shared" si="4"/>
        <v>1</v>
      </c>
      <c r="R20" s="30">
        <f>IF(M20=Year_Open_to_Traffic?,Calculations!$J$5,Calculations!R19+(Calculations!R19*Calculations!O20*Q20))</f>
        <v>3889308.4141017087</v>
      </c>
      <c r="S20" s="45">
        <f t="shared" si="0"/>
        <v>1</v>
      </c>
      <c r="T20" s="30">
        <f t="shared" si="5"/>
        <v>3889.3084141017089</v>
      </c>
      <c r="U20" s="31">
        <f>T20/(1+Real_Discount_Rate)^(Calculations!M20-'Assumed Values'!$C$5)</f>
        <v>1317.4433213576663</v>
      </c>
    </row>
    <row r="21" spans="1:21" ht="15.75">
      <c r="D21" s="39" t="s">
        <v>123</v>
      </c>
      <c r="E21" s="122">
        <f>($E$6*Non_Injry_Rate)/100000000</f>
        <v>124.93870296630264</v>
      </c>
      <c r="L21" s="106"/>
      <c r="M21" s="11">
        <f>M20+1</f>
        <v>2035</v>
      </c>
      <c r="N21" s="112">
        <f t="shared" si="6"/>
        <v>41349.627571059558</v>
      </c>
      <c r="O21" s="113">
        <f t="shared" si="7"/>
        <v>1.116409294748455E-2</v>
      </c>
      <c r="P21" s="114">
        <f>P20*(1+IFERROR(_2025_2040_V_C_Growth,_2018_2045_V_C_Growth))</f>
        <v>0.70749483782066369</v>
      </c>
      <c r="Q21" s="115">
        <f t="shared" si="4"/>
        <v>1</v>
      </c>
      <c r="R21" s="30">
        <f>IF(M21=Year_Open_to_Traffic?,Calculations!$J$5,Calculations!R20+(Calculations!R20*Calculations!O21*Q21))</f>
        <v>3932729.0147381737</v>
      </c>
      <c r="S21" s="45">
        <f t="shared" si="0"/>
        <v>1</v>
      </c>
      <c r="T21" s="30">
        <f t="shared" si="5"/>
        <v>3932.7290147381736</v>
      </c>
      <c r="U21" s="31">
        <f>T21/(1+Real_Discount_Rate)^(Calculations!M21-'Assumed Values'!$C$5)</f>
        <v>1245.0012907012579</v>
      </c>
    </row>
    <row r="22" spans="1:21" ht="15.75">
      <c r="D22" s="39" t="s">
        <v>124</v>
      </c>
      <c r="E22" s="122">
        <f>($E$6*Unkn_Injry_Rate)/100000000</f>
        <v>4.1330515109459176</v>
      </c>
      <c r="L22" s="106"/>
      <c r="M22" s="107">
        <f>M21+1</f>
        <v>2036</v>
      </c>
      <c r="N22" s="112">
        <f t="shared" si="6"/>
        <v>41811.25865660674</v>
      </c>
      <c r="O22" s="113">
        <f t="shared" si="7"/>
        <v>1.116409294748455E-2</v>
      </c>
      <c r="P22" s="114">
        <f t="shared" si="8"/>
        <v>0.70545914707098978</v>
      </c>
      <c r="Q22" s="115">
        <f t="shared" si="4"/>
        <v>1</v>
      </c>
      <c r="R22" s="30">
        <f>IF(M22=Year_Open_to_Traffic?,Calculations!$J$5,Calculations!R21+(Calculations!R21*Calculations!O22*Q22))</f>
        <v>3976634.36699598</v>
      </c>
      <c r="S22" s="45">
        <f t="shared" si="0"/>
        <v>1</v>
      </c>
      <c r="T22" s="30">
        <f t="shared" si="5"/>
        <v>3976.6343669959801</v>
      </c>
      <c r="U22" s="31">
        <f>T22/(1+Real_Discount_Rate)^(Calculations!M22-'Assumed Values'!$C$5)</f>
        <v>1176.5426175984906</v>
      </c>
    </row>
    <row r="23" spans="1:21" ht="15.75">
      <c r="L23" s="106"/>
      <c r="M23" s="11">
        <f t="shared" si="1"/>
        <v>2037</v>
      </c>
      <c r="N23" s="112">
        <f t="shared" si="6"/>
        <v>42278.043434500418</v>
      </c>
      <c r="O23" s="113">
        <f t="shared" si="7"/>
        <v>1.116409294748455E-2</v>
      </c>
      <c r="P23" s="114">
        <f t="shared" si="8"/>
        <v>0.70342931365992356</v>
      </c>
      <c r="Q23" s="115">
        <f t="shared" si="4"/>
        <v>1</v>
      </c>
      <c r="R23" s="30">
        <f>IF(M23=Year_Open_to_Traffic?,Calculations!$J$5,Calculations!R22+(Calculations!R22*Calculations!O23*Q23))</f>
        <v>4021029.8826872846</v>
      </c>
      <c r="S23" s="45">
        <f t="shared" si="0"/>
        <v>1</v>
      </c>
      <c r="T23" s="30">
        <f t="shared" si="5"/>
        <v>4021.0298826872845</v>
      </c>
      <c r="U23" s="31">
        <f>T23/(1+Real_Discount_Rate)^(Calculations!M23-'Assumed Values'!$C$5)</f>
        <v>1111.8482698486325</v>
      </c>
    </row>
    <row r="24" spans="1:21" ht="15.75">
      <c r="L24" s="106"/>
      <c r="M24" s="107">
        <f t="shared" si="1"/>
        <v>2038</v>
      </c>
      <c r="N24" s="112">
        <f t="shared" si="6"/>
        <v>42750.039441040972</v>
      </c>
      <c r="O24" s="113">
        <f t="shared" si="7"/>
        <v>1.116409294748455E-2</v>
      </c>
      <c r="P24" s="114">
        <f t="shared" si="8"/>
        <v>0.7014053207340134</v>
      </c>
      <c r="Q24" s="115">
        <f t="shared" si="4"/>
        <v>1</v>
      </c>
      <c r="R24" s="30">
        <f>IF(M24=Year_Open_to_Traffic?,Calculations!$J$5,Calculations!R23+(Calculations!R23*Calculations!O24*Q24))</f>
        <v>4065921.0340422182</v>
      </c>
      <c r="S24" s="45">
        <f t="shared" si="0"/>
        <v>1</v>
      </c>
      <c r="T24" s="30">
        <f t="shared" si="5"/>
        <v>4065.9210340422183</v>
      </c>
      <c r="U24" s="31">
        <f>T24/(1+Real_Discount_Rate)^(Calculations!M24-'Assumed Values'!$C$5)</f>
        <v>1050.711259137124</v>
      </c>
    </row>
    <row r="25" spans="1:21" ht="15.75">
      <c r="A25" s="134" t="s">
        <v>125</v>
      </c>
      <c r="B25" s="134"/>
      <c r="D25" s="101" t="s">
        <v>119</v>
      </c>
      <c r="E25" s="101" t="s">
        <v>120</v>
      </c>
      <c r="F25" s="101" t="s">
        <v>121</v>
      </c>
      <c r="G25" s="101" t="s">
        <v>122</v>
      </c>
      <c r="H25" s="101" t="s">
        <v>123</v>
      </c>
      <c r="I25" s="101" t="s">
        <v>124</v>
      </c>
      <c r="J25" s="135" t="s">
        <v>126</v>
      </c>
      <c r="L25" s="106"/>
      <c r="M25" s="11">
        <f t="shared" si="1"/>
        <v>2039</v>
      </c>
      <c r="N25" s="112">
        <f t="shared" si="6"/>
        <v>43227.304854869384</v>
      </c>
      <c r="O25" s="113">
        <f t="shared" si="7"/>
        <v>1.116409294748455E-2</v>
      </c>
      <c r="P25" s="114">
        <f t="shared" si="8"/>
        <v>0.69938715148830055</v>
      </c>
      <c r="Q25" s="115">
        <f t="shared" si="4"/>
        <v>1</v>
      </c>
      <c r="R25" s="30">
        <f>IF(M25=Year_Open_to_Traffic?,Calculations!$J$5,Calculations!R24+(Calculations!R24*Calculations!O25*Q25))</f>
        <v>4111313.3543833978</v>
      </c>
      <c r="S25" s="45">
        <f t="shared" si="0"/>
        <v>1</v>
      </c>
      <c r="T25" s="30">
        <f t="shared" si="5"/>
        <v>4111.3133543833983</v>
      </c>
      <c r="U25" s="31">
        <f>T25/(1+Real_Discount_Rate)^(Calculations!M25-'Assumed Values'!$C$5)</f>
        <v>992.9359787804666</v>
      </c>
    </row>
    <row r="26" spans="1:21" ht="15.75">
      <c r="A26" s="134"/>
      <c r="B26" s="134"/>
      <c r="D26" s="123">
        <f>Calculations!E17</f>
        <v>0.47972919323479407</v>
      </c>
      <c r="E26" s="123">
        <f>Calculations!E18</f>
        <v>1.7098040476829841</v>
      </c>
      <c r="F26" s="123">
        <f>Calculations!E19</f>
        <v>8.389110507336655</v>
      </c>
      <c r="G26" s="123">
        <f>Calculations!E20</f>
        <v>13.223304685318038</v>
      </c>
      <c r="H26" s="123">
        <f>Calculations!E21</f>
        <v>124.93870296630264</v>
      </c>
      <c r="I26" s="123">
        <f>Calculations!E22</f>
        <v>4.1330515109459176</v>
      </c>
      <c r="J26" s="135"/>
      <c r="L26" s="106"/>
      <c r="M26" s="107">
        <f t="shared" si="1"/>
        <v>2040</v>
      </c>
      <c r="N26" s="112">
        <f t="shared" si="6"/>
        <v>43709.898504138393</v>
      </c>
      <c r="O26" s="113">
        <f t="shared" si="7"/>
        <v>1.116409294748455E-2</v>
      </c>
      <c r="P26" s="114">
        <f t="shared" si="8"/>
        <v>0.69737478916617945</v>
      </c>
      <c r="Q26" s="115">
        <f t="shared" si="4"/>
        <v>1</v>
      </c>
      <c r="R26" s="30">
        <f>IF(M26=Year_Open_to_Traffic?,Calculations!$J$5,Calculations!R25+(Calculations!R25*Calculations!O26*Q26))</f>
        <v>4157212.4388079685</v>
      </c>
      <c r="S26" s="45">
        <f t="shared" si="0"/>
        <v>1</v>
      </c>
      <c r="T26" s="30">
        <f t="shared" si="5"/>
        <v>4157.2124388079683</v>
      </c>
      <c r="U26" s="31">
        <f>T26/(1+Real_Discount_Rate)^(Calculations!M26-'Assumed Values'!$C$5)</f>
        <v>938.33757788642356</v>
      </c>
    </row>
    <row r="27" spans="1:21" ht="15.75">
      <c r="A27" s="38" t="s">
        <v>127</v>
      </c>
      <c r="B27" s="39" t="s">
        <v>128</v>
      </c>
      <c r="D27" s="124">
        <f>D$26*'Value of Statistical Life'!D17*Appropriate_Crash_Reduction_Factor</f>
        <v>0</v>
      </c>
      <c r="E27" s="124">
        <f>E$26*'Value of Statistical Life'!E17*Appropriate_Crash_Reduction_Factor</f>
        <v>2.3506386047545666E-2</v>
      </c>
      <c r="F27" s="124">
        <f>F$26*'Value of Statistical Life'!F17*Appropriate_Crash_Reduction_Factor</f>
        <v>0.28009562161895624</v>
      </c>
      <c r="G27" s="124">
        <f>G$26*'Value of Statistical Life'!G17*Appropriate_Crash_Reduction_Factor</f>
        <v>1.2396583676391955</v>
      </c>
      <c r="H27" s="124">
        <f>H$26*'Value of Statistical Life'!H17*Appropriate_Crash_Reduction_Factor</f>
        <v>46.2443117611354</v>
      </c>
      <c r="I27" s="124">
        <f>I$26*'Value of Statistical Life'!I17*Appropriate_Crash_Reduction_Factor</f>
        <v>0.72206063116829566</v>
      </c>
      <c r="J27" s="124">
        <f t="shared" ref="J27:J33" si="9">SUM(D27:I27)</f>
        <v>48.509632767609396</v>
      </c>
      <c r="K27" s="69"/>
      <c r="L27" s="106"/>
      <c r="M27" s="11">
        <f t="shared" si="1"/>
        <v>2041</v>
      </c>
      <c r="N27" s="112">
        <f t="shared" si="6"/>
        <v>44197.879873763712</v>
      </c>
      <c r="O27" s="113">
        <f t="shared" si="7"/>
        <v>1.116409294748455E-2</v>
      </c>
      <c r="P27" s="114">
        <f t="shared" si="8"/>
        <v>0.69536821705925866</v>
      </c>
      <c r="Q27" s="115">
        <f t="shared" si="4"/>
        <v>1</v>
      </c>
      <c r="R27" s="30">
        <f>IF(M27=Year_Open_to_Traffic?,Calculations!$J$5,Calculations!R26+(Calculations!R26*Calculations!O27*Q27))</f>
        <v>4203623.9448772594</v>
      </c>
      <c r="S27" s="45">
        <f t="shared" si="0"/>
        <v>1</v>
      </c>
      <c r="T27" s="30">
        <f t="shared" si="5"/>
        <v>4203.6239448772594</v>
      </c>
      <c r="U27" s="31">
        <f>T27/(1+Real_Discount_Rate)^(Calculations!M27-'Assumed Values'!$C$5)</f>
        <v>886.74136992716365</v>
      </c>
    </row>
    <row r="28" spans="1:21" ht="15.75">
      <c r="A28" s="38" t="s">
        <v>129</v>
      </c>
      <c r="B28" s="39" t="s">
        <v>130</v>
      </c>
      <c r="D28" s="124">
        <f>D$26*'Value of Statistical Life'!D18*Appropriate_Crash_Reduction_Factor</f>
        <v>0</v>
      </c>
      <c r="E28" s="124">
        <f>E$26*'Value of Statistical Life'!E18*Appropriate_Crash_Reduction_Factor</f>
        <v>0.37922769855989519</v>
      </c>
      <c r="F28" s="124">
        <f>F$26*'Value of Statistical Life'!F18*Appropriate_Crash_Reduction_Factor</f>
        <v>2.5785776748610822</v>
      </c>
      <c r="G28" s="124">
        <f>G$26*'Value of Statistical Life'!G18*Appropriate_Crash_Reduction_Factor</f>
        <v>3.6467758593357495</v>
      </c>
      <c r="H28" s="124">
        <f>H$26*'Value of Statistical Life'!H18*Appropriate_Crash_Reduction_Factor</f>
        <v>3.6267206697058327</v>
      </c>
      <c r="I28" s="124">
        <f>I$26*'Value of Statistical Life'!I18*Appropriate_Crash_Reduction_Factor</f>
        <v>0.69003774806148666</v>
      </c>
      <c r="J28" s="124">
        <f t="shared" si="9"/>
        <v>10.921339650524047</v>
      </c>
      <c r="K28" s="69"/>
      <c r="L28" s="106"/>
      <c r="M28" s="107">
        <f t="shared" si="1"/>
        <v>2042</v>
      </c>
      <c r="N28" s="112">
        <f t="shared" si="6"/>
        <v>44691.309112756164</v>
      </c>
      <c r="O28" s="113">
        <f t="shared" si="7"/>
        <v>1.116409294748455E-2</v>
      </c>
      <c r="P28" s="114">
        <f t="shared" si="8"/>
        <v>0.69336741850722239</v>
      </c>
      <c r="Q28" s="115">
        <f t="shared" si="4"/>
        <v>1</v>
      </c>
      <c r="R28" s="30">
        <f>IF(M28=Year_Open_to_Traffic?,Calculations!$J$5,Calculations!R27+(Calculations!R27*Calculations!O28*Q28))</f>
        <v>4250553.593314141</v>
      </c>
      <c r="S28" s="45">
        <f t="shared" si="0"/>
        <v>1</v>
      </c>
      <c r="T28" s="30">
        <f t="shared" si="5"/>
        <v>4250.5535933141409</v>
      </c>
      <c r="U28" s="31">
        <f>T28/(1+Real_Discount_Rate)^(Calculations!M28-'Assumed Values'!$C$5)</f>
        <v>837.9822738330937</v>
      </c>
    </row>
    <row r="29" spans="1:21" ht="15.75">
      <c r="A29" s="38" t="s">
        <v>131</v>
      </c>
      <c r="B29" s="39" t="s">
        <v>132</v>
      </c>
      <c r="D29" s="124">
        <f>D$26*'Value of Statistical Life'!D19*Appropriate_Crash_Reduction_Factor</f>
        <v>0</v>
      </c>
      <c r="E29" s="124">
        <f>E$26*'Value of Statistical Life'!E19*Appropriate_Crash_Reduction_Factor</f>
        <v>0.14299433211582332</v>
      </c>
      <c r="F29" s="124">
        <f>F$26*'Value of Statistical Life'!F19*Appropriate_Crash_Reduction_Factor</f>
        <v>0.36569810523581947</v>
      </c>
      <c r="G29" s="124">
        <f>G$26*'Value of Statistical Life'!G19*Appropriate_Crash_Reduction_Factor</f>
        <v>0.33804056097547031</v>
      </c>
      <c r="H29" s="124">
        <f>H$26*'Value of Statistical Life'!H19*Appropriate_Crash_Reduction_Factor</f>
        <v>9.8951452749311705E-2</v>
      </c>
      <c r="I29" s="124">
        <f>I$26*'Value of Statistical Life'!I19*Appropriate_Crash_Reduction_Factor</f>
        <v>0.14667373202044873</v>
      </c>
      <c r="J29" s="124">
        <f t="shared" si="9"/>
        <v>1.0923581830968736</v>
      </c>
      <c r="K29" s="69"/>
      <c r="L29" s="106"/>
      <c r="M29" s="11">
        <f t="shared" si="1"/>
        <v>2043</v>
      </c>
      <c r="N29" s="112">
        <f t="shared" si="6"/>
        <v>45190.247041635739</v>
      </c>
      <c r="O29" s="113">
        <f t="shared" si="7"/>
        <v>1.116409294748455E-2</v>
      </c>
      <c r="P29" s="114">
        <f t="shared" si="8"/>
        <v>0.69137237689769171</v>
      </c>
      <c r="Q29" s="115">
        <f t="shared" si="4"/>
        <v>1</v>
      </c>
      <c r="R29" s="30">
        <f>IF(M29=Year_Open_to_Traffic?,Calculations!$J$5,Calculations!R28+(Calculations!R28*Calculations!O29*Q29))</f>
        <v>4298007.1687081642</v>
      </c>
      <c r="S29" s="45">
        <f t="shared" si="0"/>
        <v>1</v>
      </c>
      <c r="T29" s="30">
        <f t="shared" si="5"/>
        <v>4298.0071687081645</v>
      </c>
      <c r="U29" s="31">
        <f>T29/(1+Real_Discount_Rate)^(Calculations!M29-'Assumed Values'!$C$5)</f>
        <v>791.90428581916888</v>
      </c>
    </row>
    <row r="30" spans="1:21" ht="15.75">
      <c r="A30" s="38" t="s">
        <v>133</v>
      </c>
      <c r="B30" s="39" t="s">
        <v>134</v>
      </c>
      <c r="D30" s="124">
        <f>D$26*'Value of Statistical Life'!D20*Appropriate_Crash_Reduction_Factor</f>
        <v>0</v>
      </c>
      <c r="E30" s="124">
        <f>E$26*'Value of Statistical Life'!E20*Appropriate_Crash_Reduction_Factor</f>
        <v>9.8737764145596971E-2</v>
      </c>
      <c r="F30" s="124">
        <f>F$26*'Value of Statistical Life'!F20*Appropriate_Crash_Reduction_Factor</f>
        <v>0.10707860651564508</v>
      </c>
      <c r="G30" s="124">
        <f>G$26*'Value of Statistical Life'!G20*Appropriate_Crash_Reduction_Factor</f>
        <v>5.6648637271902481E-2</v>
      </c>
      <c r="H30" s="124">
        <f>H$26*'Value of Statistical Life'!H20*Appropriate_Crash_Reduction_Factor</f>
        <v>3.998038494921685E-3</v>
      </c>
      <c r="I30" s="124">
        <f>I$26*'Value of Statistical Life'!I20*Appropriate_Crash_Reduction_Factor</f>
        <v>7.963563651290595E-2</v>
      </c>
      <c r="J30" s="124">
        <f t="shared" si="9"/>
        <v>0.34609868294097218</v>
      </c>
      <c r="K30" s="69"/>
      <c r="L30" s="106"/>
      <c r="M30" s="11">
        <f t="shared" si="1"/>
        <v>2044</v>
      </c>
      <c r="N30" s="112">
        <f t="shared" si="6"/>
        <v>45694.755159928347</v>
      </c>
      <c r="O30" s="113">
        <f t="shared" si="7"/>
        <v>1.116409294748455E-2</v>
      </c>
      <c r="P30" s="114">
        <f t="shared" si="8"/>
        <v>0.68938307566608692</v>
      </c>
      <c r="Q30" s="115">
        <f t="shared" si="4"/>
        <v>1</v>
      </c>
      <c r="R30" s="30">
        <f>IF(M30=Year_Open_to_Traffic?,Calculations!$J$5,Calculations!R29+(Calculations!R29*Calculations!O30*Q30))</f>
        <v>4345990.5202285768</v>
      </c>
      <c r="S30" s="45">
        <f t="shared" si="0"/>
        <v>0</v>
      </c>
      <c r="T30" s="30">
        <f t="shared" si="5"/>
        <v>0</v>
      </c>
      <c r="U30" s="31">
        <f>T30/(1+Real_Discount_Rate)^(Calculations!M30-'Assumed Values'!$C$5)</f>
        <v>0</v>
      </c>
    </row>
    <row r="31" spans="1:21" ht="15.75">
      <c r="A31" s="38" t="s">
        <v>135</v>
      </c>
      <c r="B31" s="39" t="s">
        <v>136</v>
      </c>
      <c r="D31" s="124">
        <f>D$26*'Value of Statistical Life'!D21*Appropriate_Crash_Reduction_Factor</f>
        <v>0</v>
      </c>
      <c r="E31" s="124">
        <f>E$26*'Value of Statistical Life'!E21*Appropriate_Crash_Reduction_Factor</f>
        <v>2.7261115736257498E-2</v>
      </c>
      <c r="F31" s="124">
        <f>F$26*'Value of Statistical Life'!F21*Appropriate_Crash_Reduction_Factor</f>
        <v>2.0804994058194904E-2</v>
      </c>
      <c r="G31" s="124">
        <f>G$26*'Value of Statistical Life'!G21*Appropriate_Crash_Reduction_Factor</f>
        <v>7.5108370612606461E-3</v>
      </c>
      <c r="H31" s="124">
        <f>H$26*'Value of Statistical Life'!H21*Appropriate_Crash_Reduction_Factor</f>
        <v>0</v>
      </c>
      <c r="I31" s="124">
        <f>I$26*'Value of Statistical Life'!I21*Appropriate_Crash_Reduction_Factor</f>
        <v>1.0200371129014526E-2</v>
      </c>
      <c r="J31" s="124">
        <f t="shared" si="9"/>
        <v>6.5777317984727579E-2</v>
      </c>
      <c r="K31" s="69"/>
      <c r="L31" s="106"/>
      <c r="M31" s="11">
        <f t="shared" si="1"/>
        <v>2045</v>
      </c>
      <c r="N31" s="112">
        <f t="shared" si="6"/>
        <v>46204.895653746338</v>
      </c>
      <c r="O31" s="113">
        <f t="shared" si="7"/>
        <v>1.116409294748455E-2</v>
      </c>
      <c r="P31" s="114">
        <f t="shared" si="8"/>
        <v>0.68739949829549007</v>
      </c>
      <c r="Q31" s="115">
        <f t="shared" si="4"/>
        <v>1</v>
      </c>
      <c r="R31" s="30">
        <f>IF(M31=Year_Open_to_Traffic?,Calculations!$J$5,Calculations!R30+(Calculations!R30*Calculations!O31*Q31))</f>
        <v>4394509.5623452952</v>
      </c>
      <c r="S31" s="45">
        <f t="shared" si="0"/>
        <v>0</v>
      </c>
      <c r="T31" s="30">
        <f t="shared" si="5"/>
        <v>0</v>
      </c>
      <c r="U31" s="31">
        <f>T31/(1+Real_Discount_Rate)^(Calculations!M31-'Assumed Values'!$C$5)</f>
        <v>0</v>
      </c>
    </row>
    <row r="32" spans="1:21" ht="15.75">
      <c r="A32" s="38" t="s">
        <v>137</v>
      </c>
      <c r="B32" s="39" t="s">
        <v>138</v>
      </c>
      <c r="D32" s="124">
        <f>D$26*'Value of Statistical Life'!D22*Appropriate_Crash_Reduction_Factor</f>
        <v>0</v>
      </c>
      <c r="E32" s="124">
        <f>E$26*'Value of Statistical Life'!E22*Appropriate_Crash_Reduction_Factor</f>
        <v>1.2194322468075043E-2</v>
      </c>
      <c r="F32" s="124">
        <f>F$26*'Value of Statistical Life'!F22*Appropriate_Crash_Reduction_Factor</f>
        <v>3.3892006449640086E-3</v>
      </c>
      <c r="G32" s="124">
        <f>G$26*'Value of Statistical Life'!G22*Appropriate_Crash_Reduction_Factor</f>
        <v>6.8761184363653799E-4</v>
      </c>
      <c r="H32" s="124">
        <f>H$26*'Value of Statistical Life'!H22*Appropriate_Crash_Reduction_Factor</f>
        <v>1.4992644355956318E-3</v>
      </c>
      <c r="I32" s="124">
        <f>I$26*'Value of Statistical Life'!I22*Appropriate_Crash_Reduction_Factor</f>
        <v>4.6124854862156436E-3</v>
      </c>
      <c r="J32" s="124">
        <f t="shared" si="9"/>
        <v>2.2382884878486865E-2</v>
      </c>
      <c r="K32" s="69"/>
      <c r="L32" s="106"/>
      <c r="M32" s="11">
        <f t="shared" si="1"/>
        <v>2046</v>
      </c>
      <c r="N32" s="112">
        <f t="shared" si="6"/>
        <v>46720.731403453588</v>
      </c>
      <c r="O32" s="113">
        <f t="shared" si="7"/>
        <v>1.116409294748455E-2</v>
      </c>
      <c r="P32" s="114">
        <f t="shared" si="8"/>
        <v>0.68542162831650755</v>
      </c>
      <c r="Q32" s="115">
        <f t="shared" si="4"/>
        <v>1</v>
      </c>
      <c r="R32" s="30">
        <f>IF(M32=Year_Open_to_Traffic?,Calculations!$J$5,Calculations!R31+(Calculations!R31*Calculations!O32*Q32))</f>
        <v>4443570.2755579278</v>
      </c>
      <c r="S32" s="45">
        <f t="shared" si="0"/>
        <v>0</v>
      </c>
      <c r="T32" s="30">
        <f t="shared" si="5"/>
        <v>0</v>
      </c>
      <c r="U32" s="31">
        <f>T32/(1+Real_Discount_Rate)^(Calculations!M32-'Assumed Values'!$C$5)</f>
        <v>0</v>
      </c>
    </row>
    <row r="33" spans="1:21" ht="15.75">
      <c r="A33" s="38" t="s">
        <v>139</v>
      </c>
      <c r="B33" s="39" t="s">
        <v>140</v>
      </c>
      <c r="D33" s="124">
        <f>D$26*'Value of Statistical Life'!D23*Appropriate_Crash_Reduction_Factor</f>
        <v>0.19189167729391765</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0.19189167729391765</v>
      </c>
      <c r="K33" s="69"/>
      <c r="L33" s="106"/>
      <c r="M33" s="11">
        <f t="shared" si="1"/>
        <v>2047</v>
      </c>
      <c r="N33" s="112">
        <f t="shared" si="6"/>
        <v>47242.325991416204</v>
      </c>
      <c r="O33" s="113">
        <f t="shared" si="7"/>
        <v>1.116409294748455E-2</v>
      </c>
      <c r="P33" s="114">
        <f t="shared" si="8"/>
        <v>0.68344944930713358</v>
      </c>
      <c r="Q33" s="115">
        <f t="shared" si="4"/>
        <v>1</v>
      </c>
      <c r="R33" s="30">
        <f>IF(M33=Year_Open_to_Traffic?,Calculations!$J$5,Calculations!R32+(Calculations!R32*Calculations!O33*Q33))</f>
        <v>4493178.7071329365</v>
      </c>
      <c r="S33" s="45">
        <f t="shared" si="0"/>
        <v>0</v>
      </c>
      <c r="T33" s="30">
        <f t="shared" si="5"/>
        <v>0</v>
      </c>
      <c r="U33" s="31">
        <f>T33/(1+Real_Discount_Rate)^(Calculations!M33-'Assumed Values'!$C$5)</f>
        <v>0</v>
      </c>
    </row>
    <row r="34" spans="1:21" ht="15.75">
      <c r="J34" s="125"/>
      <c r="L34" s="106"/>
      <c r="M34" s="11">
        <f t="shared" si="1"/>
        <v>2048</v>
      </c>
      <c r="N34" s="112">
        <f t="shared" si="6"/>
        <v>47769.743709839742</v>
      </c>
      <c r="O34" s="113">
        <f t="shared" si="7"/>
        <v>1.116409294748455E-2</v>
      </c>
      <c r="P34" s="114">
        <f t="shared" si="8"/>
        <v>0.68148294489261385</v>
      </c>
      <c r="Q34" s="115">
        <f t="shared" si="4"/>
        <v>1</v>
      </c>
      <c r="R34" s="30">
        <f>IF(M34=Year_Open_to_Traffic?,Calculations!$J$5,Calculations!R33+(Calculations!R33*Calculations!O34*Q34))</f>
        <v>4543340.9718490271</v>
      </c>
      <c r="S34" s="45">
        <f t="shared" si="0"/>
        <v>0</v>
      </c>
      <c r="T34" s="30">
        <f t="shared" si="5"/>
        <v>0</v>
      </c>
      <c r="U34" s="31">
        <f>T34/(1+Real_Discount_Rate)^(Calculations!M34-'Assumed Values'!$C$5)</f>
        <v>0</v>
      </c>
    </row>
    <row r="35" spans="1:21" ht="15.75">
      <c r="G35" s="41"/>
      <c r="H35" s="41"/>
      <c r="L35" s="106"/>
      <c r="M35" s="11">
        <f t="shared" si="1"/>
        <v>2049</v>
      </c>
      <c r="N35" s="112">
        <f t="shared" si="6"/>
        <v>48303.04956869391</v>
      </c>
      <c r="O35" s="113">
        <f t="shared" si="7"/>
        <v>1.116409294748455E-2</v>
      </c>
      <c r="P35" s="114">
        <f t="shared" si="8"/>
        <v>0.67952209874530944</v>
      </c>
      <c r="Q35" s="115">
        <f t="shared" si="4"/>
        <v>1</v>
      </c>
      <c r="R35" s="30">
        <f>IF(M35=Year_Open_to_Traffic?,Calculations!$J$5,Calculations!R34+(Calculations!R34*Calculations!O35*Q35))</f>
        <v>4594063.2527508643</v>
      </c>
      <c r="S35" s="45">
        <f t="shared" si="0"/>
        <v>0</v>
      </c>
      <c r="T35" s="30">
        <f t="shared" si="5"/>
        <v>0</v>
      </c>
      <c r="U35" s="31">
        <f>T35/(1+Real_Discount_Rate)^(Calculations!M35-'Assumed Values'!$C$5)</f>
        <v>0</v>
      </c>
    </row>
    <row r="36" spans="1:21" ht="15.75">
      <c r="G36" s="41"/>
      <c r="H36" s="41"/>
      <c r="L36" s="106"/>
      <c r="M36" s="11">
        <f t="shared" si="1"/>
        <v>2050</v>
      </c>
      <c r="N36" s="112">
        <f t="shared" si="6"/>
        <v>48842.309303725764</v>
      </c>
      <c r="O36" s="113">
        <f t="shared" si="7"/>
        <v>1.116409294748455E-2</v>
      </c>
      <c r="P36" s="114">
        <f t="shared" si="8"/>
        <v>0.67756689458456132</v>
      </c>
      <c r="Q36" s="115">
        <f t="shared" si="4"/>
        <v>1</v>
      </c>
      <c r="R36" s="30">
        <f>IF(M36=Year_Open_to_Traffic?,Calculations!$J$5,Calculations!R35+(Calculations!R35*Calculations!O36*Q36))</f>
        <v>4645351.8019111985</v>
      </c>
      <c r="S36" s="45">
        <f t="shared" si="0"/>
        <v>0</v>
      </c>
      <c r="T36" s="30">
        <f t="shared" si="5"/>
        <v>0</v>
      </c>
      <c r="U36" s="31">
        <f>T36/(1+Real_Discount_Rate)^(Calculations!M36-'Assumed Values'!$C$5)</f>
        <v>0</v>
      </c>
    </row>
    <row r="37" spans="1:21">
      <c r="M37" s="39"/>
      <c r="N37" s="39"/>
      <c r="O37" s="118"/>
      <c r="P37" s="120"/>
      <c r="Q37" s="39"/>
      <c r="R37" s="39"/>
      <c r="S37" s="39"/>
      <c r="T37" s="39"/>
      <c r="U37" s="31">
        <f>SUM(U4:U36)</f>
        <v>28584.437063250902</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5"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50</v>
      </c>
      <c r="D3" t="s">
        <v>161</v>
      </c>
      <c r="G3" s="39" t="s">
        <v>162</v>
      </c>
      <c r="H3" s="127" t="s">
        <v>163</v>
      </c>
      <c r="Q3" s="86"/>
      <c r="R3" s="85"/>
      <c r="S3" s="85"/>
      <c r="T3" s="85"/>
      <c r="U3" s="85"/>
      <c r="V3" s="85"/>
      <c r="W3" s="85"/>
      <c r="X3" s="85"/>
    </row>
    <row r="4" spans="3:24">
      <c r="C4" t="s">
        <v>164</v>
      </c>
      <c r="D4" t="s">
        <v>53</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c r="C14" s="55" t="s">
        <v>50</v>
      </c>
      <c r="D14" s="60"/>
      <c r="E14" s="60">
        <v>0.58757489087439407</v>
      </c>
      <c r="F14" s="60">
        <v>1.7627246726231824</v>
      </c>
      <c r="G14" s="60">
        <v>8.5198359176787157</v>
      </c>
      <c r="H14" s="60">
        <v>10.870135481176293</v>
      </c>
      <c r="I14" s="60">
        <v>172.45323047163467</v>
      </c>
      <c r="J14" s="60">
        <v>6.1695363541811377</v>
      </c>
      <c r="M14" s="39" t="s">
        <v>50</v>
      </c>
      <c r="N14" s="84">
        <v>2618324.17</v>
      </c>
      <c r="O14" s="84">
        <f>N14*260</f>
        <v>680764284.19999993</v>
      </c>
      <c r="Q14" s="63" t="s">
        <v>50</v>
      </c>
      <c r="R14" s="64"/>
      <c r="S14" s="39">
        <v>4</v>
      </c>
      <c r="T14" s="39">
        <v>12</v>
      </c>
      <c r="U14" s="39">
        <v>58</v>
      </c>
      <c r="V14" s="39">
        <v>74</v>
      </c>
      <c r="W14" s="39">
        <v>1174</v>
      </c>
      <c r="X14" s="39">
        <v>42</v>
      </c>
    </row>
    <row r="15" spans="3:24">
      <c r="C15" s="55" t="s">
        <v>164</v>
      </c>
      <c r="D15" s="60"/>
      <c r="E15" s="60">
        <v>0</v>
      </c>
      <c r="F15" s="60">
        <v>0.71587584389076675</v>
      </c>
      <c r="G15" s="60">
        <v>4.7247805696790603</v>
      </c>
      <c r="H15" s="60">
        <v>3.8657295570101406</v>
      </c>
      <c r="I15" s="60">
        <v>59.847220549268101</v>
      </c>
      <c r="J15" s="60">
        <v>1.4317516877815335</v>
      </c>
      <c r="M15" s="39" t="s">
        <v>164</v>
      </c>
      <c r="N15" s="84">
        <v>2686327.44</v>
      </c>
      <c r="O15" s="84">
        <f t="shared" ref="O15:O21" si="0">N15*260</f>
        <v>698445134.39999998</v>
      </c>
      <c r="Q15" s="63" t="s">
        <v>164</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c r="C28" s="56" t="s">
        <v>50</v>
      </c>
      <c r="D28" s="60"/>
      <c r="E28" s="60">
        <v>2.3625405586197226</v>
      </c>
      <c r="F28" s="60">
        <v>8.4203368627728583</v>
      </c>
      <c r="G28" s="60">
        <v>41.314170794324376</v>
      </c>
      <c r="H28" s="60">
        <v>65.121310269646187</v>
      </c>
      <c r="I28" s="60">
        <v>615.29037061283384</v>
      </c>
      <c r="J28" s="60">
        <v>20.354195581954531</v>
      </c>
      <c r="M28" s="39" t="s">
        <v>50</v>
      </c>
      <c r="N28" s="84">
        <v>6349097.3499999996</v>
      </c>
      <c r="O28" s="84">
        <f>N28*260</f>
        <v>1650765311</v>
      </c>
      <c r="Q28" s="63" t="s">
        <v>50</v>
      </c>
      <c r="R28" s="64"/>
      <c r="S28" s="39">
        <v>39</v>
      </c>
      <c r="T28" s="39">
        <v>139</v>
      </c>
      <c r="U28" s="39">
        <v>682</v>
      </c>
      <c r="V28" s="39">
        <v>1075</v>
      </c>
      <c r="W28" s="84">
        <v>10157</v>
      </c>
      <c r="X28" s="39">
        <v>336</v>
      </c>
    </row>
    <row r="29" spans="3:24">
      <c r="C29" s="56" t="s">
        <v>164</v>
      </c>
      <c r="D29" s="60"/>
      <c r="E29" s="60">
        <v>2.8832323701282432</v>
      </c>
      <c r="F29" s="60">
        <v>27.184762346923439</v>
      </c>
      <c r="G29" s="60">
        <v>68.373796205898344</v>
      </c>
      <c r="H29" s="60">
        <v>63.019221804231606</v>
      </c>
      <c r="I29" s="60">
        <v>906.57063523603767</v>
      </c>
      <c r="J29" s="60">
        <v>35.422569118718414</v>
      </c>
      <c r="M29" s="39" t="s">
        <v>164</v>
      </c>
      <c r="N29" s="84">
        <v>933781.03</v>
      </c>
      <c r="O29" s="84">
        <f t="shared" ref="O29:O35" si="2">N29*260</f>
        <v>242783067.80000001</v>
      </c>
      <c r="Q29" s="63" t="s">
        <v>164</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30">
      <c r="C18" s="72" t="s">
        <v>220</v>
      </c>
      <c r="D18" s="92">
        <v>122</v>
      </c>
      <c r="E18" s="93">
        <v>0.1</v>
      </c>
      <c r="F18" s="94">
        <v>10</v>
      </c>
    </row>
    <row r="19" spans="3:6">
      <c r="C19" s="72" t="s">
        <v>221</v>
      </c>
      <c r="D19" s="92">
        <v>123</v>
      </c>
      <c r="E19" s="93">
        <v>0.1</v>
      </c>
      <c r="F19" s="94">
        <v>10</v>
      </c>
    </row>
    <row r="20" spans="3:6" ht="30">
      <c r="C20" s="72" t="s">
        <v>222</v>
      </c>
      <c r="D20" s="92">
        <v>124</v>
      </c>
      <c r="E20" s="93">
        <v>0.15</v>
      </c>
      <c r="F20" s="94">
        <v>10</v>
      </c>
    </row>
    <row r="21" spans="3:6">
      <c r="C21" s="71" t="s">
        <v>223</v>
      </c>
      <c r="D21" s="92">
        <v>125</v>
      </c>
      <c r="E21" s="95">
        <v>0.15</v>
      </c>
      <c r="F21" s="94">
        <v>10</v>
      </c>
    </row>
    <row r="22" spans="3:6" ht="30">
      <c r="C22" s="72" t="s">
        <v>224</v>
      </c>
      <c r="D22" s="92">
        <v>126</v>
      </c>
      <c r="E22" s="93">
        <v>0.2</v>
      </c>
      <c r="F22" s="94">
        <v>10</v>
      </c>
    </row>
    <row r="23" spans="3:6" ht="30">
      <c r="C23" s="72" t="s">
        <v>225</v>
      </c>
      <c r="D23" s="92">
        <v>127</v>
      </c>
      <c r="E23" s="93">
        <v>0.1</v>
      </c>
      <c r="F23" s="94">
        <v>10</v>
      </c>
    </row>
    <row r="24" spans="3:6" ht="30">
      <c r="C24" s="72" t="s">
        <v>226</v>
      </c>
      <c r="D24" s="92">
        <v>128</v>
      </c>
      <c r="E24" s="93">
        <v>0.05</v>
      </c>
      <c r="F24" s="94">
        <v>6</v>
      </c>
    </row>
    <row r="25" spans="3:6" ht="30">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70</v>
      </c>
      <c r="D32" s="92">
        <v>203</v>
      </c>
      <c r="E32" s="93">
        <v>0.4</v>
      </c>
      <c r="F32" s="94">
        <v>20</v>
      </c>
    </row>
    <row r="33" spans="3:6">
      <c r="C33" s="72" t="s">
        <v>234</v>
      </c>
      <c r="D33" s="92">
        <v>204</v>
      </c>
      <c r="E33" s="93">
        <v>0.46</v>
      </c>
      <c r="F33" s="94">
        <v>20</v>
      </c>
    </row>
    <row r="34" spans="3:6">
      <c r="C34" s="71" t="s">
        <v>235</v>
      </c>
      <c r="D34" s="92">
        <v>205</v>
      </c>
      <c r="E34" s="95">
        <v>0.15</v>
      </c>
      <c r="F34" s="94">
        <v>10</v>
      </c>
    </row>
    <row r="35" spans="3:6">
      <c r="C35" s="71" t="s">
        <v>236</v>
      </c>
      <c r="D35" s="92">
        <v>206</v>
      </c>
      <c r="E35" s="93">
        <v>7.0000000000000007E-2</v>
      </c>
      <c r="F35" s="94">
        <v>10</v>
      </c>
    </row>
    <row r="36" spans="3:6">
      <c r="C36" s="72" t="s">
        <v>237</v>
      </c>
      <c r="D36" s="92">
        <v>207</v>
      </c>
      <c r="E36" s="93">
        <v>0.3</v>
      </c>
      <c r="F36" s="94">
        <v>10</v>
      </c>
    </row>
    <row r="37" spans="3:6">
      <c r="C37" s="71" t="s">
        <v>238</v>
      </c>
      <c r="D37" s="92">
        <v>209</v>
      </c>
      <c r="E37" s="95">
        <v>0.55000000000000004</v>
      </c>
      <c r="F37" s="94">
        <v>20</v>
      </c>
    </row>
    <row r="38" spans="3:6">
      <c r="C38" s="71" t="s">
        <v>239</v>
      </c>
      <c r="D38" s="92">
        <v>217</v>
      </c>
      <c r="E38" s="93">
        <v>0.6</v>
      </c>
      <c r="F38" s="94">
        <v>10</v>
      </c>
    </row>
    <row r="39" spans="3:6">
      <c r="C39" s="71" t="s">
        <v>240</v>
      </c>
      <c r="D39" s="92">
        <v>218</v>
      </c>
      <c r="E39" s="93">
        <v>0.55000000000000004</v>
      </c>
      <c r="F39" s="94">
        <v>20</v>
      </c>
    </row>
    <row r="40" spans="3:6">
      <c r="C40" s="71" t="s">
        <v>241</v>
      </c>
      <c r="D40" s="92">
        <v>219</v>
      </c>
      <c r="E40" s="93">
        <v>0.1</v>
      </c>
      <c r="F40" s="94">
        <v>10</v>
      </c>
    </row>
    <row r="41" spans="3:6">
      <c r="C41" s="71" t="s">
        <v>242</v>
      </c>
      <c r="D41" s="92">
        <v>222</v>
      </c>
      <c r="E41" s="93">
        <v>0.1</v>
      </c>
      <c r="F41" s="94">
        <v>10</v>
      </c>
    </row>
    <row r="42" spans="3:6">
      <c r="C42" s="71" t="s">
        <v>243</v>
      </c>
      <c r="D42" s="92">
        <v>303</v>
      </c>
      <c r="E42" s="93">
        <v>0.42</v>
      </c>
      <c r="F42" s="94">
        <v>10</v>
      </c>
    </row>
    <row r="43" spans="3:6">
      <c r="C43" s="72" t="s">
        <v>244</v>
      </c>
      <c r="D43" s="92">
        <v>304</v>
      </c>
      <c r="E43" s="93">
        <v>0.4</v>
      </c>
      <c r="F43" s="94">
        <v>15</v>
      </c>
    </row>
    <row r="44" spans="3:6">
      <c r="C44" s="71" t="s">
        <v>245</v>
      </c>
      <c r="D44" s="92">
        <v>305</v>
      </c>
      <c r="E44" s="95">
        <v>0.75</v>
      </c>
      <c r="F44" s="94">
        <v>15</v>
      </c>
    </row>
    <row r="45" spans="3:6">
      <c r="C45" s="39" t="s">
        <v>246</v>
      </c>
      <c r="D45" s="94">
        <v>401</v>
      </c>
      <c r="E45" s="96">
        <v>0.2</v>
      </c>
      <c r="F45" s="94">
        <v>2</v>
      </c>
    </row>
    <row r="46" spans="3:6">
      <c r="C46" s="39" t="s">
        <v>247</v>
      </c>
      <c r="D46" s="94">
        <v>402</v>
      </c>
      <c r="E46" s="96">
        <v>0.25</v>
      </c>
      <c r="F46" s="94">
        <v>2</v>
      </c>
    </row>
    <row r="47" spans="3:6">
      <c r="C47" s="72" t="s">
        <v>248</v>
      </c>
      <c r="D47" s="94">
        <v>403</v>
      </c>
      <c r="E47" s="96">
        <v>0.1</v>
      </c>
      <c r="F47" s="94">
        <v>2</v>
      </c>
    </row>
    <row r="48" spans="3:6">
      <c r="C48" s="72" t="s">
        <v>249</v>
      </c>
      <c r="D48" s="94">
        <v>404</v>
      </c>
      <c r="E48" s="96">
        <v>0.65</v>
      </c>
      <c r="F48" s="94">
        <v>2</v>
      </c>
    </row>
    <row r="49" spans="3:6">
      <c r="C49" s="39" t="s">
        <v>250</v>
      </c>
      <c r="D49" s="94">
        <v>407</v>
      </c>
      <c r="E49" s="95">
        <v>0.2</v>
      </c>
      <c r="F49" s="94">
        <v>10</v>
      </c>
    </row>
    <row r="50" spans="3:6">
      <c r="C50" s="71" t="s">
        <v>251</v>
      </c>
      <c r="D50" s="92">
        <v>501</v>
      </c>
      <c r="E50" s="93">
        <v>0.15</v>
      </c>
      <c r="F50" s="94">
        <v>20</v>
      </c>
    </row>
    <row r="51" spans="3:6">
      <c r="C51" s="71" t="s">
        <v>252</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260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C5688A-AB4F-4FB6-8A03-3B412C5256A4}"/>
</file>

<file path=customXml/itemProps2.xml><?xml version="1.0" encoding="utf-8"?>
<ds:datastoreItem xmlns:ds="http://schemas.openxmlformats.org/officeDocument/2006/customXml" ds:itemID="{1639A44A-700C-4CF0-AEC6-3A132645EEA0}"/>
</file>

<file path=customXml/itemProps3.xml><?xml version="1.0" encoding="utf-8"?>
<ds:datastoreItem xmlns:ds="http://schemas.openxmlformats.org/officeDocument/2006/customXml" ds:itemID="{CFD18CA3-7546-4F1B-91FB-AF4803EE42B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Peter Barrilleaux</cp:lastModifiedBy>
  <cp:revision/>
  <dcterms:created xsi:type="dcterms:W3CDTF">2012-07-25T15:48:32Z</dcterms:created>
  <dcterms:modified xsi:type="dcterms:W3CDTF">2018-10-30T14:22:29Z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