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G:\Transportation\Staff\Vishu\Vishu_T\Vishu_Working\2045 RTP\Call for projects\Final Final Templates\Emissions\"/>
    </mc:Choice>
  </mc:AlternateContent>
  <xr:revisionPtr revIDLastSave="21" documentId="8_{13DBFCAB-FB23-4FC2-8503-7EAEBC6E3156}" xr6:coauthVersionLast="40" xr6:coauthVersionMax="40" xr10:uidLastSave="{B0DDEFBF-64ED-4675-81DD-01506A7EAFC9}"/>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<sst xmlns="http://schemas.openxmlformats.org/spreadsheetml/2006/main" count="263" uniqueCount="131">
  <si>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</si>
  <si>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</si>
  <si>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</si>
  <si>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</si>
  <si>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</si>
  <si>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</si>
  <si>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</si>
  <si>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</si>
  <si>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</si>
  <si>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</si>
  <si>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</si>
  <si>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</si>
  <si>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</si>
  <si>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</si>
  <si>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</si>
  <si>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</si>
  <si>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</si>
  <si>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</si>
  <si>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</si>
  <si>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</si>
  <si>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</si>
  <si>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</si>
  <si>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</si>
  <si>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</si>
  <si>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</si>
  <si>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</si>
  <si>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</si>
  <si>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</si>
  <si>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</si>
  <si>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</si>
  <si>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</si>
  <si>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</si>
  <si>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</si>
  <si>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</si>
  <si>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</si>
  <si>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</si>
  <si>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</si>
  <si>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</si>
  <si>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</si>
  <si>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</si>
  <si>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</si>
  <si>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</si>
  <si>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</si>
  <si>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</si>
  <si>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</si>
  <si>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</si>
  <si>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</si>
  <si>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FM 518 Widening</t>
  </si>
  <si>
    <t>Data entered by the sponsors</t>
  </si>
  <si>
    <t>Application ID Number:</t>
  </si>
  <si>
    <t>Data populated/calculated based on inputs</t>
  </si>
  <si>
    <t>Sponsor ID Number (CSJ, etc.):</t>
  </si>
  <si>
    <t>3416-01-012</t>
  </si>
  <si>
    <t xml:space="preserve">HGAC regional travel demand model data provided by HGAC </t>
  </si>
  <si>
    <t>Project County</t>
  </si>
  <si>
    <t>Brazoria</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</si>
  <si>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</si>
  <si>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</si>
  <si>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</si>
  <si>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</si>
  <si>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</si>
  <si>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</si>
  <si>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Non-Freeway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</si>
  <si>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</si>
  <si>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</si>
  <si>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</si>
  <si>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</si>
  <si>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</si>
  <si>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</si>
  <si>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</si>
  <si>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</si>
  <si>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</si>
  <si>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</si>
  <si>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</si>
  <si>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</si>
  <si>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</si>
  <si>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</si>
  <si>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</si>
  <si>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</si>
  <si>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</si>
  <si>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</si>
  <si>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</si>
  <si>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</si>
  <si>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</si>
  <si>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</si>
  <si>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</si>
  <si>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</si>
  <si>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</si>
  <si>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</si>
  <si>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</si>
  <si>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</si>
  <si>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</si>
  <si>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</si>
  <si>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</si>
  <si>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</si>
  <si>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</si>
  <si>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</si>
  <si>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</si>
  <si>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</si>
  <si>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</si>
  <si>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</si>
  <si>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</si>
  <si>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</si>
  <si>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</si>
  <si>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</si>
  <si>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</si>
  <si>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</si>
  <si>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</si>
  <si>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</si>
  <si>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</si>
  <si>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</si>
  <si>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</si>
  <si>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</si>
  <si>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</si>
  <si>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Chambers</t>
  </si>
  <si>
    <t>Fort Bend</t>
  </si>
  <si>
    <t>Galveston</t>
  </si>
  <si>
    <t>Harris</t>
  </si>
  <si>
    <t>Liberty</t>
  </si>
  <si>
    <t>Montgomery</t>
  </si>
  <si>
    <t>Waller</t>
  </si>
  <si>
    <t>Freeway</t>
  </si>
  <si>
    <t>Facility Types</t>
  </si>
  <si>
    <t>All emissions rate are in gms/miles</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</si>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</sst>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15" zoomScaleNormal="100" workbookViewId="0" xr3:uid="{51F8DEE0-4D01-5F28-A812-FC0BD7CAC4A5}">
      <selection activeCell="B19" sqref="B19"/>
    </sheetView>
  </sheetViews>
  <sheetFormatPr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2024</v>
      </c>
    </row>
    <row r="14" spans="1:5">
      <c r="A14" s="5" t="s">
        <v>59</v>
      </c>
      <c r="B14" s="5" t="s">
        <v>60</v>
      </c>
    </row>
    <row r="15" spans="1:5">
      <c r="A15" s="85" t="s">
        <v>61</v>
      </c>
      <c r="B15" s="8" t="s">
        <v>62</v>
      </c>
    </row>
    <row r="16" spans="1:5">
      <c r="A16" s="85" t="s">
        <v>63</v>
      </c>
      <c r="B16" s="8">
        <v>2.4300000000000002</v>
      </c>
    </row>
    <row r="17" spans="1:2">
      <c r="A17" s="86" t="s">
        <v>64</v>
      </c>
      <c r="B17" s="8">
        <v>20</v>
      </c>
    </row>
    <row r="18" spans="1:2">
      <c r="A18" s="86" t="s">
        <v>65</v>
      </c>
      <c r="B18" s="8">
        <v>33</v>
      </c>
    </row>
    <row r="19" spans="1:2">
      <c r="A19" s="76" t="s">
        <v>66</v>
      </c>
      <c r="B19" s="77">
        <f>VLOOKUP(B14,'Service Life'!C6:D8,2,FALSE)</f>
        <v>20</v>
      </c>
    </row>
    <row r="21" spans="1:2">
      <c r="A21" s="81" t="s">
        <v>67</v>
      </c>
    </row>
    <row r="22" spans="1:2" ht="20.25" customHeight="1">
      <c r="A22" s="86" t="s">
        <v>68</v>
      </c>
      <c r="B22" s="95">
        <v>35861</v>
      </c>
    </row>
    <row r="23" spans="1:2" ht="30">
      <c r="A23" s="94" t="s">
        <v>69</v>
      </c>
      <c r="B23" s="96">
        <v>35861</v>
      </c>
    </row>
    <row r="24" spans="1:2" ht="30">
      <c r="A24" s="94" t="s">
        <v>70</v>
      </c>
      <c r="B24" s="96">
        <v>44883</v>
      </c>
    </row>
    <row r="27" spans="1:2" ht="18.75">
      <c r="A27" s="79" t="s">
        <v>71</v>
      </c>
      <c r="B27" s="80"/>
    </row>
    <row r="29" spans="1:2">
      <c r="A29" s="87" t="s">
        <v>72</v>
      </c>
    </row>
    <row r="30" spans="1:2">
      <c r="A30" s="84" t="s">
        <v>73</v>
      </c>
      <c r="B30" s="35">
        <f>'Benefit Calculations'!M37</f>
        <v>17299.137729273032</v>
      </c>
    </row>
    <row r="31" spans="1:2">
      <c r="A31" s="84" t="s">
        <v>74</v>
      </c>
      <c r="B31" s="35">
        <f>'Benefit Calculations'!Q37</f>
        <v>1806.663721206477</v>
      </c>
    </row>
    <row r="32" spans="1:2">
      <c r="B32" s="88"/>
    </row>
    <row r="33" spans="1:9">
      <c r="A33" s="87" t="s">
        <v>75</v>
      </c>
      <c r="B33" s="88"/>
    </row>
    <row r="34" spans="1:9">
      <c r="A34" s="84" t="s">
        <v>76</v>
      </c>
      <c r="B34" s="35">
        <f>$B$30+$B$31</f>
        <v>19105.80145047951</v>
      </c>
    </row>
    <row r="35" spans="1:9">
      <c r="I35" s="89"/>
    </row>
    <row r="36" spans="1:9">
      <c r="A36" s="87" t="s">
        <v>77</v>
      </c>
    </row>
    <row r="37" spans="1:9">
      <c r="A37" s="84" t="s">
        <v>78</v>
      </c>
      <c r="B37" s="91">
        <f>'Benefit Calculations'!K37</f>
        <v>6.2201881639622965</v>
      </c>
    </row>
    <row r="38" spans="1:9">
      <c r="A38" s="84" t="s">
        <v>79</v>
      </c>
      <c r="B38" s="91">
        <f>'Benefit Calculations'!O37</f>
        <v>2.5602694485961277</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7.1587800979600005E-2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1.7726300284300001E-2</v>
      </c>
      <c r="F4" s="54">
        <v>2018</v>
      </c>
      <c r="G4" s="63">
        <f>'Inputs &amp; Outputs'!B22</f>
        <v>35861</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6.0070000588899997E-2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1.2985499575700001E-2</v>
      </c>
      <c r="F5" s="54">
        <f t="shared" ref="F5:F36" si="2">F4+1</f>
        <v>2019</v>
      </c>
      <c r="G5" s="63">
        <f>G4+G4*H5</f>
        <v>35861</v>
      </c>
      <c r="H5" s="62">
        <f>$C$9</f>
        <v>0</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35861</v>
      </c>
      <c r="H6" s="62">
        <f t="shared" ref="H6:H11" si="7">$C$9</f>
        <v>0</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35861</v>
      </c>
      <c r="H7" s="62">
        <f t="shared" si="7"/>
        <v>0</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35861</v>
      </c>
      <c r="H8" s="62">
        <f t="shared" si="7"/>
        <v>0</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0</v>
      </c>
      <c r="F9" s="54">
        <f t="shared" si="2"/>
        <v>2023</v>
      </c>
      <c r="G9" s="63">
        <f t="shared" si="6"/>
        <v>35861</v>
      </c>
      <c r="H9" s="62">
        <f t="shared" si="7"/>
        <v>0</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9.0167582408227087E-3</v>
      </c>
      <c r="F10" s="54">
        <f t="shared" si="2"/>
        <v>2024</v>
      </c>
      <c r="G10" s="63">
        <f t="shared" si="6"/>
        <v>35861</v>
      </c>
      <c r="H10" s="62">
        <f t="shared" si="7"/>
        <v>0</v>
      </c>
      <c r="I10" s="54">
        <f>IF(AND(F10&gt;='Inputs &amp; Outputs'!B$13,F10&lt;'Inputs &amp; Outputs'!B$13+'Inputs &amp; Outputs'!B$19),1,0)</f>
        <v>1</v>
      </c>
      <c r="J10" s="55">
        <f>I10*'Inputs &amp; Outputs'!B$16*'Benefit Calculations'!G10*('Benefit Calculations'!C$4-'Benefit Calculations'!C$5)</f>
        <v>1003.6868107404702</v>
      </c>
      <c r="K10" s="71">
        <f t="shared" si="3"/>
        <v>0.28765781891272579</v>
      </c>
      <c r="L10" s="56">
        <f>K10*'Assumed Values'!$C$8</f>
        <v>2159.7349043967452</v>
      </c>
      <c r="M10" s="57">
        <f t="shared" si="0"/>
        <v>1439.1225590498702</v>
      </c>
      <c r="N10" s="55">
        <f>I10*'Inputs &amp; Outputs'!B$16*'Benefit Calculations'!G10*('Benefit Calculations'!D$4-'Benefit Calculations'!D$5)</f>
        <v>413.12394573298423</v>
      </c>
      <c r="O10" s="71">
        <f t="shared" si="4"/>
        <v>0.11840180811232991</v>
      </c>
      <c r="P10" s="56">
        <f>ABS(O10*'Assumed Values'!$C$7)</f>
        <v>225.55544445398849</v>
      </c>
      <c r="Q10" s="57">
        <f t="shared" si="1"/>
        <v>150.29711645139255</v>
      </c>
      <c r="T10" s="68">
        <f t="shared" si="5"/>
        <v>0.26095857079252227</v>
      </c>
      <c r="U10" s="69">
        <f>T10*'Assumed Values'!$D$8</f>
        <v>0</v>
      </c>
    </row>
    <row r="11" spans="2:21">
      <c r="B11" s="15" t="s">
        <v>100</v>
      </c>
      <c r="C11" s="53">
        <f>('Inputs &amp; Outputs'!B24/'Inputs &amp; Outputs'!B22)^(1/(2045-2018))-1</f>
        <v>8.3460710498419743E-3</v>
      </c>
      <c r="F11" s="54">
        <f t="shared" si="2"/>
        <v>2025</v>
      </c>
      <c r="G11" s="63">
        <f>'Inputs &amp; Outputs'!$B$23</f>
        <v>35861</v>
      </c>
      <c r="H11" s="62">
        <f t="shared" si="7"/>
        <v>0</v>
      </c>
      <c r="I11" s="54">
        <f>IF(AND(F11&gt;='Inputs &amp; Outputs'!B$13,F11&lt;'Inputs &amp; Outputs'!B$13+'Inputs &amp; Outputs'!B$19),1,0)</f>
        <v>1</v>
      </c>
      <c r="J11" s="55">
        <f>I11*'Inputs &amp; Outputs'!B$16*'Benefit Calculations'!G11*('Benefit Calculations'!C$4-'Benefit Calculations'!C$5)</f>
        <v>1003.6868107404702</v>
      </c>
      <c r="K11" s="71">
        <f t="shared" si="3"/>
        <v>0.28765781891272579</v>
      </c>
      <c r="L11" s="56">
        <f>K11*'Assumed Values'!$C$8</f>
        <v>2159.7349043967452</v>
      </c>
      <c r="M11" s="57">
        <f t="shared" si="0"/>
        <v>1344.9743542522151</v>
      </c>
      <c r="N11" s="55">
        <f>I11*'Inputs &amp; Outputs'!B$16*'Benefit Calculations'!G11*('Benefit Calculations'!D$4-'Benefit Calculations'!D$5)</f>
        <v>413.12394573298423</v>
      </c>
      <c r="O11" s="71">
        <f t="shared" si="4"/>
        <v>0.11840180811232991</v>
      </c>
      <c r="P11" s="56">
        <f>ABS(O11*'Assumed Values'!$C$7)</f>
        <v>225.55544445398849</v>
      </c>
      <c r="Q11" s="57">
        <f t="shared" si="1"/>
        <v>140.46459481438555</v>
      </c>
      <c r="T11" s="68">
        <f t="shared" si="5"/>
        <v>0.26095857079252227</v>
      </c>
      <c r="U11" s="69">
        <f>T11*'Assumed Values'!$D$8</f>
        <v>0</v>
      </c>
    </row>
    <row r="12" spans="2:21">
      <c r="C12" s="38"/>
      <c r="F12" s="54">
        <f t="shared" si="2"/>
        <v>2026</v>
      </c>
      <c r="G12" s="63">
        <f t="shared" si="6"/>
        <v>36184.349967274145</v>
      </c>
      <c r="H12" s="62">
        <f>$C$10</f>
        <v>9.0167582408227087E-3</v>
      </c>
      <c r="I12" s="54">
        <f>IF(AND(F12&gt;='Inputs &amp; Outputs'!B$13,F12&lt;'Inputs &amp; Outputs'!B$13+'Inputs &amp; Outputs'!B$19),1,0)</f>
        <v>1</v>
      </c>
      <c r="J12" s="55">
        <f>I12*'Inputs &amp; Outputs'!B$16*'Benefit Calculations'!G12*('Benefit Calculations'!C$4-'Benefit Calculations'!C$5)</f>
        <v>1012.7368120624194</v>
      </c>
      <c r="K12" s="71">
        <f t="shared" si="3"/>
        <v>0.29025155992194424</v>
      </c>
      <c r="L12" s="56">
        <f>K12*'Assumed Values'!$C$8</f>
        <v>2179.2087118939571</v>
      </c>
      <c r="M12" s="57">
        <f t="shared" si="0"/>
        <v>1268.3193110697327</v>
      </c>
      <c r="N12" s="55">
        <f>I12*'Inputs &amp; Outputs'!B$16*'Benefit Calculations'!G12*('Benefit Calculations'!D$4-'Benefit Calculations'!D$5)</f>
        <v>416.84898447515332</v>
      </c>
      <c r="O12" s="71">
        <f t="shared" si="4"/>
        <v>0.11946940859135508</v>
      </c>
      <c r="P12" s="56">
        <f>ABS(O12*'Assumed Values'!$C$7)</f>
        <v>227.58922336653143</v>
      </c>
      <c r="Q12" s="57">
        <f t="shared" si="1"/>
        <v>132.45900010020748</v>
      </c>
      <c r="T12" s="68">
        <f t="shared" si="5"/>
        <v>0.26331157113622905</v>
      </c>
      <c r="U12" s="69">
        <f>T12*'Assumed Values'!$D$8</f>
        <v>0</v>
      </c>
    </row>
    <row r="13" spans="2:21">
      <c r="C13" s="38"/>
      <c r="F13" s="54">
        <f t="shared" si="2"/>
        <v>2027</v>
      </c>
      <c r="G13" s="63">
        <f t="shared" si="6"/>
        <v>36510.615503030378</v>
      </c>
      <c r="H13" s="62">
        <f t="shared" ref="H13:H36" si="8">$C$10</f>
        <v>9.0167582408227087E-3</v>
      </c>
      <c r="I13" s="54">
        <f>IF(AND(F13&gt;='Inputs &amp; Outputs'!B$13,F13&lt;'Inputs &amp; Outputs'!B$13+'Inputs &amp; Outputs'!B$19),1,0)</f>
        <v>1</v>
      </c>
      <c r="J13" s="55">
        <f>I13*'Inputs &amp; Outputs'!B$16*'Benefit Calculations'!G13*('Benefit Calculations'!C$4-'Benefit Calculations'!C$5)</f>
        <v>1021.8684150583676</v>
      </c>
      <c r="K13" s="71">
        <f t="shared" si="3"/>
        <v>0.29286868806678201</v>
      </c>
      <c r="L13" s="56">
        <f>K13*'Assumed Values'!$C$8</f>
        <v>2198.8581100053993</v>
      </c>
      <c r="M13" s="57">
        <f t="shared" si="0"/>
        <v>1196.0331211867431</v>
      </c>
      <c r="N13" s="55">
        <f>I13*'Inputs &amp; Outputs'!B$16*'Benefit Calculations'!G13*('Benefit Calculations'!D$4-'Benefit Calculations'!D$5)</f>
        <v>420.60761099109817</v>
      </c>
      <c r="O13" s="71">
        <f t="shared" si="4"/>
        <v>0.12054663536579738</v>
      </c>
      <c r="P13" s="56">
        <f>ABS(O13*'Assumed Values'!$C$7)</f>
        <v>229.641340371844</v>
      </c>
      <c r="Q13" s="57">
        <f t="shared" si="1"/>
        <v>124.90967372049731</v>
      </c>
      <c r="T13" s="68">
        <f t="shared" si="5"/>
        <v>0.26568578791517561</v>
      </c>
      <c r="U13" s="69">
        <f>T13*'Assumed Values'!$D$8</f>
        <v>0</v>
      </c>
    </row>
    <row r="14" spans="2:21">
      <c r="C14" s="38"/>
      <c r="F14" s="54">
        <f t="shared" si="2"/>
        <v>2028</v>
      </c>
      <c r="G14" s="63">
        <f t="shared" si="6"/>
        <v>36839.822896244834</v>
      </c>
      <c r="H14" s="62">
        <f t="shared" si="8"/>
        <v>9.0167582408227087E-3</v>
      </c>
      <c r="I14" s="54">
        <f>IF(AND(F14&gt;='Inputs &amp; Outputs'!B$13,F14&lt;'Inputs &amp; Outputs'!B$13+'Inputs &amp; Outputs'!B$19),1,0)</f>
        <v>1</v>
      </c>
      <c r="J14" s="55">
        <f>I14*'Inputs &amp; Outputs'!B$16*'Benefit Calculations'!G14*('Benefit Calculations'!C$4-'Benefit Calculations'!C$5)</f>
        <v>1031.0823555108816</v>
      </c>
      <c r="K14" s="71">
        <f t="shared" si="3"/>
        <v>0.29550941422338711</v>
      </c>
      <c r="L14" s="56">
        <f>K14*'Assumed Values'!$C$8</f>
        <v>2218.6846819891903</v>
      </c>
      <c r="M14" s="57">
        <f t="shared" si="0"/>
        <v>1127.8667875593464</v>
      </c>
      <c r="N14" s="55">
        <f>I14*'Inputs &amp; Outputs'!B$16*'Benefit Calculations'!G14*('Benefit Calculations'!D$4-'Benefit Calculations'!D$5)</f>
        <v>424.4001281336549</v>
      </c>
      <c r="O14" s="71">
        <f t="shared" si="4"/>
        <v>0.12163357523363538</v>
      </c>
      <c r="P14" s="56">
        <f>ABS(O14*'Assumed Values'!$C$7)</f>
        <v>231.7119608200754</v>
      </c>
      <c r="Q14" s="57">
        <f t="shared" si="1"/>
        <v>117.7906112620328</v>
      </c>
      <c r="T14" s="68">
        <f t="shared" si="5"/>
        <v>0.26808141243282924</v>
      </c>
      <c r="U14" s="69">
        <f>T14*'Assumed Values'!$D$8</f>
        <v>0</v>
      </c>
    </row>
    <row r="15" spans="2:21">
      <c r="C15" s="1"/>
      <c r="F15" s="54">
        <f t="shared" si="2"/>
        <v>2029</v>
      </c>
      <c r="G15" s="63">
        <f t="shared" si="6"/>
        <v>37171.998672934998</v>
      </c>
      <c r="H15" s="62">
        <f t="shared" si="8"/>
        <v>9.0167582408227087E-3</v>
      </c>
      <c r="I15" s="54">
        <f>IF(AND(F15&gt;='Inputs &amp; Outputs'!B$13,F15&lt;'Inputs &amp; Outputs'!B$13+'Inputs &amp; Outputs'!B$19),1,0)</f>
        <v>1</v>
      </c>
      <c r="J15" s="55">
        <f>I15*'Inputs &amp; Outputs'!B$16*'Benefit Calculations'!G15*('Benefit Calculations'!C$4-'Benefit Calculations'!C$5)</f>
        <v>1040.3793758369013</v>
      </c>
      <c r="K15" s="71">
        <f t="shared" si="3"/>
        <v>0.29817395116932655</v>
      </c>
      <c r="L15" s="56">
        <f>K15*'Assumed Values'!$C$8</f>
        <v>2238.6900253793037</v>
      </c>
      <c r="M15" s="57">
        <f t="shared" si="0"/>
        <v>1063.5855044024509</v>
      </c>
      <c r="N15" s="55">
        <f>I15*'Inputs &amp; Outputs'!B$16*'Benefit Calculations'!G15*('Benefit Calculations'!D$4-'Benefit Calculations'!D$5)</f>
        <v>428.22684148641031</v>
      </c>
      <c r="O15" s="71">
        <f t="shared" si="4"/>
        <v>0.122730315775484</v>
      </c>
      <c r="P15" s="56">
        <f>ABS(O15*'Assumed Values'!$C$7)</f>
        <v>233.80125155229703</v>
      </c>
      <c r="Q15" s="57">
        <f t="shared" si="1"/>
        <v>111.07729039889838</v>
      </c>
      <c r="T15" s="68">
        <f t="shared" si="5"/>
        <v>0.27049863771759436</v>
      </c>
      <c r="U15" s="69">
        <f>T15*'Assumed Values'!$D$8</f>
        <v>0</v>
      </c>
    </row>
    <row r="16" spans="2:21">
      <c r="C16" s="1"/>
      <c r="F16" s="54">
        <f t="shared" si="2"/>
        <v>2030</v>
      </c>
      <c r="G16" s="63">
        <f t="shared" si="6"/>
        <v>37507.169598297034</v>
      </c>
      <c r="H16" s="62">
        <f t="shared" si="8"/>
        <v>9.0167582408227087E-3</v>
      </c>
      <c r="I16" s="54">
        <f>IF(AND(F16&gt;='Inputs &amp; Outputs'!B$13,F16&lt;'Inputs &amp; Outputs'!B$13+'Inputs &amp; Outputs'!B$19),1,0)</f>
        <v>1</v>
      </c>
      <c r="J16" s="55">
        <f>I16*'Inputs &amp; Outputs'!B$16*'Benefit Calculations'!G16*('Benefit Calculations'!C$4-'Benefit Calculations'!C$5)</f>
        <v>1049.7602251475605</v>
      </c>
      <c r="K16" s="71">
        <f t="shared" si="3"/>
        <v>0.30086251360073119</v>
      </c>
      <c r="L16" s="56">
        <f>K16*'Assumed Values'!$C$8</f>
        <v>2258.8757521142898</v>
      </c>
      <c r="M16" s="57">
        <f t="shared" si="0"/>
        <v>1002.9678483776553</v>
      </c>
      <c r="N16" s="55">
        <f>I16*'Inputs &amp; Outputs'!B$16*'Benefit Calculations'!G16*('Benefit Calculations'!D$4-'Benefit Calculations'!D$5)</f>
        <v>432.08805938832433</v>
      </c>
      <c r="O16" s="71">
        <f t="shared" si="4"/>
        <v>0.12383694536165135</v>
      </c>
      <c r="P16" s="56">
        <f>ABS(O16*'Assumed Values'!$C$7)</f>
        <v>235.90938091394582</v>
      </c>
      <c r="Q16" s="57">
        <f t="shared" si="1"/>
        <v>104.74658642287001</v>
      </c>
      <c r="T16" s="68">
        <f t="shared" si="5"/>
        <v>0.27293765853836571</v>
      </c>
      <c r="U16" s="69">
        <f>T16*'Assumed Values'!$D$8</f>
        <v>0</v>
      </c>
    </row>
    <row r="17" spans="3:21">
      <c r="C17" s="1"/>
      <c r="F17" s="54">
        <f t="shared" si="2"/>
        <v>2031</v>
      </c>
      <c r="G17" s="63">
        <f t="shared" si="6"/>
        <v>37845.362678862417</v>
      </c>
      <c r="H17" s="62">
        <f t="shared" si="8"/>
        <v>9.0167582408227087E-3</v>
      </c>
      <c r="I17" s="54">
        <f>IF(AND(F17&gt;='Inputs &amp; Outputs'!B$13,F17&lt;'Inputs &amp; Outputs'!B$13+'Inputs &amp; Outputs'!B$19),1,0)</f>
        <v>1</v>
      </c>
      <c r="J17" s="55">
        <f>I17*'Inputs &amp; Outputs'!B$16*'Benefit Calculations'!G17*('Benefit Calculations'!C$4-'Benefit Calculations'!C$5)</f>
        <v>1059.2256593085478</v>
      </c>
      <c r="K17" s="71">
        <f t="shared" si="3"/>
        <v>0.30357531814959526</v>
      </c>
      <c r="L17" s="56">
        <f>K17*'Assumed Values'!$C$8</f>
        <v>2279.2434886671613</v>
      </c>
      <c r="M17" s="57">
        <f t="shared" si="0"/>
        <v>945.80501587831293</v>
      </c>
      <c r="N17" s="55">
        <f>I17*'Inputs &amp; Outputs'!B$16*'Benefit Calculations'!G17*('Benefit Calculations'!D$4-'Benefit Calculations'!D$5)</f>
        <v>435.9840929585751</v>
      </c>
      <c r="O17" s="71">
        <f t="shared" si="4"/>
        <v>0.12495355315925934</v>
      </c>
      <c r="P17" s="56">
        <f>ABS(O17*'Assumed Values'!$C$7)</f>
        <v>238.03651876838904</v>
      </c>
      <c r="Q17" s="57">
        <f t="shared" si="1"/>
        <v>98.776692588034081</v>
      </c>
      <c r="T17" s="68">
        <f t="shared" si="5"/>
        <v>0.27539867142022245</v>
      </c>
      <c r="U17" s="69">
        <f>T17*'Assumed Values'!$D$8</f>
        <v>0</v>
      </c>
    </row>
    <row r="18" spans="3:21">
      <c r="F18" s="54">
        <f t="shared" si="2"/>
        <v>2032</v>
      </c>
      <c r="G18" s="63">
        <f t="shared" si="6"/>
        <v>38186.605164673972</v>
      </c>
      <c r="H18" s="62">
        <f t="shared" si="8"/>
        <v>9.0167582408227087E-3</v>
      </c>
      <c r="I18" s="54">
        <f>IF(AND(F18&gt;='Inputs &amp; Outputs'!B$13,F18&lt;'Inputs &amp; Outputs'!B$13+'Inputs &amp; Outputs'!B$19),1,0)</f>
        <v>1</v>
      </c>
      <c r="J18" s="55">
        <f>I18*'Inputs &amp; Outputs'!B$16*'Benefit Calculations'!G18*('Benefit Calculations'!C$4-'Benefit Calculations'!C$5)</f>
        <v>1068.7764410010091</v>
      </c>
      <c r="K18" s="71">
        <f t="shared" si="3"/>
        <v>0.30631258340123102</v>
      </c>
      <c r="L18" s="56">
        <f>K18*'Assumed Values'!$C$8</f>
        <v>2299.7948761764424</v>
      </c>
      <c r="M18" s="57">
        <f t="shared" si="0"/>
        <v>891.90010378452826</v>
      </c>
      <c r="N18" s="55">
        <f>I18*'Inputs &amp; Outputs'!B$16*'Benefit Calculations'!G18*('Benefit Calculations'!D$4-'Benefit Calculations'!D$5)</f>
        <v>439.91525612162695</v>
      </c>
      <c r="O18" s="71">
        <f t="shared" si="4"/>
        <v>0.12608022913942818</v>
      </c>
      <c r="P18" s="56">
        <f>ABS(O18*'Assumed Values'!$C$7)</f>
        <v>240.18283651061068</v>
      </c>
      <c r="Q18" s="57">
        <f t="shared" si="1"/>
        <v>93.147044995260245</v>
      </c>
      <c r="T18" s="68">
        <f t="shared" si="5"/>
        <v>0.27788187466026237</v>
      </c>
      <c r="U18" s="69">
        <f>T18*'Assumed Values'!$D$8</f>
        <v>0</v>
      </c>
    </row>
    <row r="19" spans="3:21">
      <c r="F19" s="54">
        <f t="shared" si="2"/>
        <v>2033</v>
      </c>
      <c r="G19" s="63">
        <f t="shared" si="6"/>
        <v>38530.924551481592</v>
      </c>
      <c r="H19" s="62">
        <f t="shared" si="8"/>
        <v>9.0167582408227087E-3</v>
      </c>
      <c r="I19" s="54">
        <f>IF(AND(F19&gt;='Inputs &amp; Outputs'!B$13,F19&lt;'Inputs &amp; Outputs'!B$13+'Inputs &amp; Outputs'!B$19),1,0)</f>
        <v>1</v>
      </c>
      <c r="J19" s="55">
        <f>I19*'Inputs &amp; Outputs'!B$16*'Benefit Calculations'!G19*('Benefit Calculations'!C$4-'Benefit Calculations'!C$5)</f>
        <v>1078.4133397830021</v>
      </c>
      <c r="K19" s="71">
        <f t="shared" si="3"/>
        <v>0.30907452991188178</v>
      </c>
      <c r="L19" s="56">
        <f>K19*'Assumed Values'!$C$8</f>
        <v>2320.5315705784083</v>
      </c>
      <c r="M19" s="57">
        <f t="shared" si="0"/>
        <v>841.06743121057752</v>
      </c>
      <c r="N19" s="55">
        <f>I19*'Inputs &amp; Outputs'!B$16*'Benefit Calculations'!G19*('Benefit Calculations'!D$4-'Benefit Calculations'!D$5)</f>
        <v>443.88186563252526</v>
      </c>
      <c r="O19" s="71">
        <f t="shared" si="4"/>
        <v>0.12721706408452593</v>
      </c>
      <c r="P19" s="56">
        <f>ABS(O19*'Assumed Values'!$C$7)</f>
        <v>242.34850708102189</v>
      </c>
      <c r="Q19" s="57">
        <f t="shared" si="1"/>
        <v>87.838251757784604</v>
      </c>
      <c r="T19" s="68">
        <f t="shared" si="5"/>
        <v>0.28038746834358053</v>
      </c>
      <c r="U19" s="69">
        <f>T19*'Assumed Values'!$D$8</f>
        <v>0</v>
      </c>
    </row>
    <row r="20" spans="3:21">
      <c r="F20" s="54">
        <f t="shared" si="2"/>
        <v>2034</v>
      </c>
      <c r="G20" s="63">
        <f t="shared" si="6"/>
        <v>38878.348582957682</v>
      </c>
      <c r="H20" s="62">
        <f t="shared" si="8"/>
        <v>9.0167582408227087E-3</v>
      </c>
      <c r="I20" s="54">
        <f>IF(AND(F20&gt;='Inputs &amp; Outputs'!B$13,F20&lt;'Inputs &amp; Outputs'!B$13+'Inputs &amp; Outputs'!B$19),1,0)</f>
        <v>1</v>
      </c>
      <c r="J20" s="55">
        <f>I20*'Inputs &amp; Outputs'!B$16*'Benefit Calculations'!G20*('Benefit Calculations'!C$4-'Benefit Calculations'!C$5)</f>
        <v>1088.1371321515037</v>
      </c>
      <c r="K20" s="71">
        <f t="shared" si="3"/>
        <v>0.31186138022649312</v>
      </c>
      <c r="L20" s="56">
        <f>K20*'Assumed Values'!$C$8</f>
        <v>2341.4552427405106</v>
      </c>
      <c r="M20" s="57">
        <f t="shared" si="0"/>
        <v>793.13189990844228</v>
      </c>
      <c r="N20" s="55">
        <f>I20*'Inputs &amp; Outputs'!B$16*'Benefit Calculations'!G20*('Benefit Calculations'!D$4-'Benefit Calculations'!D$5)</f>
        <v>447.88424110241914</v>
      </c>
      <c r="O20" s="71">
        <f t="shared" si="4"/>
        <v>0.12836414959548334</v>
      </c>
      <c r="P20" s="56">
        <f>ABS(O20*'Assumed Values'!$C$7)</f>
        <v>244.53370497939576</v>
      </c>
      <c r="Q20" s="57">
        <f t="shared" si="1"/>
        <v>82.832026203907546</v>
      </c>
      <c r="T20" s="68">
        <f t="shared" si="5"/>
        <v>0.28291565435939098</v>
      </c>
      <c r="U20" s="69">
        <f>T20*'Assumed Values'!$D$8</f>
        <v>0</v>
      </c>
    </row>
    <row r="21" spans="3:21">
      <c r="F21" s="54">
        <f t="shared" si="2"/>
        <v>2035</v>
      </c>
      <c r="G21" s="63">
        <f t="shared" si="6"/>
        <v>39228.905252932644</v>
      </c>
      <c r="H21" s="62">
        <f t="shared" si="8"/>
        <v>9.0167582408227087E-3</v>
      </c>
      <c r="I21" s="54">
        <f>IF(AND(F21&gt;='Inputs &amp; Outputs'!B$13,F21&lt;'Inputs &amp; Outputs'!B$13+'Inputs &amp; Outputs'!B$19),1,0)</f>
        <v>1</v>
      </c>
      <c r="J21" s="55">
        <f>I21*'Inputs &amp; Outputs'!B$16*'Benefit Calculations'!G21*('Benefit Calculations'!C$4-'Benefit Calculations'!C$5)</f>
        <v>1097.9486016049759</v>
      </c>
      <c r="K21" s="71">
        <f t="shared" si="3"/>
        <v>0.31467335889664472</v>
      </c>
      <c r="L21" s="56">
        <f>K21*'Assumed Values'!$C$8</f>
        <v>2362.5675785960084</v>
      </c>
      <c r="M21" s="57">
        <f t="shared" si="0"/>
        <v>747.92839112429999</v>
      </c>
      <c r="N21" s="55">
        <f>I21*'Inputs &amp; Outputs'!B$16*'Benefit Calculations'!G21*('Benefit Calculations'!D$4-'Benefit Calculations'!D$5)</f>
        <v>451.92270502431398</v>
      </c>
      <c r="O21" s="71">
        <f t="shared" si="4"/>
        <v>0.12952157809917464</v>
      </c>
      <c r="P21" s="56">
        <f>ABS(O21*'Assumed Values'!$C$7)</f>
        <v>246.73860627892768</v>
      </c>
      <c r="Q21" s="57">
        <f t="shared" si="1"/>
        <v>78.111123886715589</v>
      </c>
      <c r="T21" s="68">
        <f t="shared" si="5"/>
        <v>0.28546663641729375</v>
      </c>
      <c r="U21" s="69">
        <f>T21*'Assumed Values'!$D$8</f>
        <v>0</v>
      </c>
    </row>
    <row r="22" spans="3:21">
      <c r="F22" s="54">
        <f t="shared" si="2"/>
        <v>2036</v>
      </c>
      <c r="G22" s="63">
        <f t="shared" si="6"/>
        <v>39582.622807650478</v>
      </c>
      <c r="H22" s="62">
        <f t="shared" si="8"/>
        <v>9.0167582408227087E-3</v>
      </c>
      <c r="I22" s="54">
        <f>IF(AND(F22&gt;='Inputs &amp; Outputs'!B$13,F22&lt;'Inputs &amp; Outputs'!B$13+'Inputs &amp; Outputs'!B$19),1,0)</f>
        <v>1</v>
      </c>
      <c r="J22" s="55">
        <f>I22*'Inputs &amp; Outputs'!B$16*'Benefit Calculations'!G22*('Benefit Calculations'!C$4-'Benefit Calculations'!C$5)</f>
        <v>1107.8485387064973</v>
      </c>
      <c r="K22" s="71">
        <f t="shared" si="3"/>
        <v>0.31751069249864339</v>
      </c>
      <c r="L22" s="56">
        <f>K22*'Assumed Values'!$C$8</f>
        <v>2383.8702792798144</v>
      </c>
      <c r="M22" s="57">
        <f t="shared" si="0"/>
        <v>705.30119683038811</v>
      </c>
      <c r="N22" s="55">
        <f>I22*'Inputs &amp; Outputs'!B$16*'Benefit Calculations'!G22*('Benefit Calculations'!D$4-'Benefit Calculations'!D$5)</f>
        <v>455.99758279905683</v>
      </c>
      <c r="O22" s="71">
        <f t="shared" si="4"/>
        <v>0.1306894428558647</v>
      </c>
      <c r="P22" s="56">
        <f>ABS(O22*'Assumed Values'!$C$7)</f>
        <v>248.96338864042227</v>
      </c>
      <c r="Q22" s="57">
        <f t="shared" si="1"/>
        <v>73.659283183851443</v>
      </c>
      <c r="T22" s="68">
        <f t="shared" si="5"/>
        <v>0.2880406200636893</v>
      </c>
      <c r="U22" s="69">
        <f>T22*'Assumed Values'!$D$8</f>
        <v>0</v>
      </c>
    </row>
    <row r="23" spans="3:21">
      <c r="F23" s="54">
        <f t="shared" si="2"/>
        <v>2037</v>
      </c>
      <c r="G23" s="63">
        <f t="shared" si="6"/>
        <v>39939.529748044733</v>
      </c>
      <c r="H23" s="62">
        <f t="shared" si="8"/>
        <v>9.0167582408227087E-3</v>
      </c>
      <c r="I23" s="54">
        <f>IF(AND(F23&gt;='Inputs &amp; Outputs'!B$13,F23&lt;'Inputs &amp; Outputs'!B$13+'Inputs &amp; Outputs'!B$19),1,0)</f>
        <v>1</v>
      </c>
      <c r="J23" s="55">
        <f>I23*'Inputs &amp; Outputs'!B$16*'Benefit Calculations'!G23*('Benefit Calculations'!C$4-'Benefit Calculations'!C$5)</f>
        <v>1117.8377411474626</v>
      </c>
      <c r="K23" s="71">
        <f t="shared" si="3"/>
        <v>0.32037360965177986</v>
      </c>
      <c r="L23" s="56">
        <f>K23*'Assumed Values'!$C$8</f>
        <v>2405.3650612655633</v>
      </c>
      <c r="M23" s="57">
        <f t="shared" si="0"/>
        <v>665.10348337305675</v>
      </c>
      <c r="N23" s="55">
        <f>I23*'Inputs &amp; Outputs'!B$16*'Benefit Calculations'!G23*('Benefit Calculations'!D$4-'Benefit Calculations'!D$5)</f>
        <v>460.10920276155548</v>
      </c>
      <c r="O23" s="71">
        <f t="shared" si="4"/>
        <v>0.13186783796672386</v>
      </c>
      <c r="P23" s="56">
        <f>ABS(O23*'Assumed Values'!$C$7)</f>
        <v>251.20823132660894</v>
      </c>
      <c r="Q23" s="57">
        <f t="shared" si="1"/>
        <v>69.461169282721983</v>
      </c>
      <c r="T23" s="68">
        <f t="shared" si="5"/>
        <v>0.29063781269834027</v>
      </c>
      <c r="U23" s="69">
        <f>T23*'Assumed Values'!$D$8</f>
        <v>0</v>
      </c>
    </row>
    <row r="24" spans="3:21">
      <c r="F24" s="54">
        <f t="shared" si="2"/>
        <v>2038</v>
      </c>
      <c r="G24" s="63">
        <f t="shared" si="6"/>
        <v>40299.654832034998</v>
      </c>
      <c r="H24" s="62">
        <f t="shared" si="8"/>
        <v>9.0167582408227087E-3</v>
      </c>
      <c r="I24" s="54">
        <f>IF(AND(F24&gt;='Inputs &amp; Outputs'!B$13,F24&lt;'Inputs &amp; Outputs'!B$13+'Inputs &amp; Outputs'!B$19),1,0)</f>
        <v>1</v>
      </c>
      <c r="J24" s="55">
        <f>I24*'Inputs &amp; Outputs'!B$16*'Benefit Calculations'!G24*('Benefit Calculations'!C$4-'Benefit Calculations'!C$5)</f>
        <v>1127.9170138118564</v>
      </c>
      <c r="K24" s="71">
        <f t="shared" si="3"/>
        <v>0.32326234103674961</v>
      </c>
      <c r="L24" s="56">
        <f>K24*'Assumed Values'!$C$8</f>
        <v>2427.053656503916</v>
      </c>
      <c r="M24" s="57">
        <f t="shared" si="0"/>
        <v>627.19678568949575</v>
      </c>
      <c r="N24" s="55">
        <f>I24*'Inputs &amp; Outputs'!B$16*'Benefit Calculations'!G24*('Benefit Calculations'!D$4-'Benefit Calculations'!D$5)</f>
        <v>464.25789620723407</v>
      </c>
      <c r="O24" s="71">
        <f t="shared" si="4"/>
        <v>0.13305685838140979</v>
      </c>
      <c r="P24" s="56">
        <f>ABS(O24*'Assumed Values'!$C$7)</f>
        <v>253.47331521658566</v>
      </c>
      <c r="Q24" s="57">
        <f t="shared" si="1"/>
        <v>65.502321358195474</v>
      </c>
      <c r="T24" s="68">
        <f t="shared" si="5"/>
        <v>0.29325842359108262</v>
      </c>
      <c r="U24" s="69">
        <f>T24*'Assumed Values'!$D$8</f>
        <v>0</v>
      </c>
    </row>
    <row r="25" spans="3:21">
      <c r="F25" s="54">
        <f t="shared" si="2"/>
        <v>2039</v>
      </c>
      <c r="G25" s="63">
        <f t="shared" si="6"/>
        <v>40663.027076844061</v>
      </c>
      <c r="H25" s="62">
        <f t="shared" si="8"/>
        <v>9.0167582408227087E-3</v>
      </c>
      <c r="I25" s="54">
        <f>IF(AND(F25&gt;='Inputs &amp; Outputs'!B$13,F25&lt;'Inputs &amp; Outputs'!B$13+'Inputs &amp; Outputs'!B$19),1,0)</f>
        <v>1</v>
      </c>
      <c r="J25" s="55">
        <f>I25*'Inputs &amp; Outputs'!B$16*'Benefit Calculations'!G25*('Benefit Calculations'!C$4-'Benefit Calculations'!C$5)</f>
        <v>1138.0871688411087</v>
      </c>
      <c r="K25" s="71">
        <f t="shared" si="3"/>
        <v>0.32617711941424038</v>
      </c>
      <c r="L25" s="56">
        <f>K25*'Assumed Values'!$C$8</f>
        <v>2448.937812562117</v>
      </c>
      <c r="M25" s="57">
        <f t="shared" si="0"/>
        <v>591.45053035091507</v>
      </c>
      <c r="N25" s="55">
        <f>I25*'Inputs &amp; Outputs'!B$16*'Benefit Calculations'!G25*('Benefit Calculations'!D$4-'Benefit Calculations'!D$5)</f>
        <v>468.44399741872769</v>
      </c>
      <c r="O25" s="71">
        <f t="shared" si="4"/>
        <v>0.13425659990571834</v>
      </c>
      <c r="P25" s="56">
        <f>ABS(O25*'Assumed Values'!$C$7)</f>
        <v>255.75882282039345</v>
      </c>
      <c r="Q25" s="57">
        <f t="shared" si="1"/>
        <v>61.769102760836446</v>
      </c>
      <c r="T25" s="68">
        <f t="shared" si="5"/>
        <v>0.2959026638986883</v>
      </c>
      <c r="U25" s="69">
        <f>T25*'Assumed Values'!$D$8</f>
        <v>0</v>
      </c>
    </row>
    <row r="26" spans="3:21">
      <c r="F26" s="54">
        <f t="shared" si="2"/>
        <v>2040</v>
      </c>
      <c r="G26" s="63">
        <f t="shared" si="6"/>
        <v>41029.675761335988</v>
      </c>
      <c r="H26" s="62">
        <f t="shared" si="8"/>
        <v>9.0167582408227087E-3</v>
      </c>
      <c r="I26" s="54">
        <f>IF(AND(F26&gt;='Inputs &amp; Outputs'!B$13,F26&lt;'Inputs &amp; Outputs'!B$13+'Inputs &amp; Outputs'!B$19),1,0)</f>
        <v>1</v>
      </c>
      <c r="J26" s="55">
        <f>I26*'Inputs &amp; Outputs'!B$16*'Benefit Calculations'!G26*('Benefit Calculations'!C$4-'Benefit Calculations'!C$5)</f>
        <v>1148.3490256995312</v>
      </c>
      <c r="K26" s="71">
        <f t="shared" si="3"/>
        <v>0.3291181796436865</v>
      </c>
      <c r="L26" s="56">
        <f>K26*'Assumed Values'!$C$8</f>
        <v>2471.0192927647981</v>
      </c>
      <c r="M26" s="57">
        <f t="shared" si="0"/>
        <v>557.74158578924812</v>
      </c>
      <c r="N26" s="55">
        <f>I26*'Inputs &amp; Outputs'!B$16*'Benefit Calculations'!G26*('Benefit Calculations'!D$4-'Benefit Calculations'!D$5)</f>
        <v>472.66784369281686</v>
      </c>
      <c r="O26" s="71">
        <f t="shared" si="4"/>
        <v>0.13546715920930305</v>
      </c>
      <c r="P26" s="56">
        <f>ABS(O26*'Assumed Values'!$C$7)</f>
        <v>258.06493829372232</v>
      </c>
      <c r="Q26" s="57">
        <f t="shared" si="1"/>
        <v>58.248654044096668</v>
      </c>
      <c r="T26" s="68">
        <f t="shared" si="5"/>
        <v>0.29857074668187811</v>
      </c>
      <c r="U26" s="69">
        <f>T26*'Assumed Values'!$D$8</f>
        <v>0</v>
      </c>
    </row>
    <row r="27" spans="3:21">
      <c r="F27" s="54">
        <f t="shared" si="2"/>
        <v>2041</v>
      </c>
      <c r="G27" s="63">
        <f t="shared" si="6"/>
        <v>41399.630428375298</v>
      </c>
      <c r="H27" s="62">
        <f t="shared" si="8"/>
        <v>9.0167582408227087E-3</v>
      </c>
      <c r="I27" s="54">
        <f>IF(AND(F27&gt;='Inputs &amp; Outputs'!B$13,F27&lt;'Inputs &amp; Outputs'!B$13+'Inputs &amp; Outputs'!B$19),1,0)</f>
        <v>1</v>
      </c>
      <c r="J27" s="55">
        <f>I27*'Inputs &amp; Outputs'!B$16*'Benefit Calculations'!G27*('Benefit Calculations'!C$4-'Benefit Calculations'!C$5)</f>
        <v>1158.703411240348</v>
      </c>
      <c r="K27" s="71">
        <f t="shared" si="3"/>
        <v>0.33208575870219326</v>
      </c>
      <c r="L27" s="56">
        <f>K27*'Assumed Values'!$C$8</f>
        <v>2493.299876336067</v>
      </c>
      <c r="M27" s="57">
        <f t="shared" si="0"/>
        <v>525.95383815809612</v>
      </c>
      <c r="N27" s="55">
        <f>I27*'Inputs &amp; Outputs'!B$16*'Benefit Calculations'!G27*('Benefit Calculations'!D$4-'Benefit Calculations'!D$5)</f>
        <v>476.92977536760594</v>
      </c>
      <c r="O27" s="71">
        <f t="shared" si="4"/>
        <v>0.13668863383346436</v>
      </c>
      <c r="P27" s="56">
        <f>ABS(O27*'Assumed Values'!$C$7)</f>
        <v>260.39184745274957</v>
      </c>
      <c r="Q27" s="57">
        <f t="shared" si="1"/>
        <v>54.928848668659434</v>
      </c>
      <c r="T27" s="68">
        <f t="shared" si="5"/>
        <v>0.30126288692249048</v>
      </c>
      <c r="U27" s="69">
        <f>T27*'Assumed Values'!$D$8</f>
        <v>0</v>
      </c>
    </row>
    <row r="28" spans="3:21">
      <c r="F28" s="54">
        <f t="shared" si="2"/>
        <v>2042</v>
      </c>
      <c r="G28" s="63">
        <f t="shared" si="6"/>
        <v>41772.920887207365</v>
      </c>
      <c r="H28" s="62">
        <f t="shared" si="8"/>
        <v>9.0167582408227087E-3</v>
      </c>
      <c r="I28" s="54">
        <f>IF(AND(F28&gt;='Inputs &amp; Outputs'!B$13,F28&lt;'Inputs &amp; Outputs'!B$13+'Inputs &amp; Outputs'!B$19),1,0)</f>
        <v>1</v>
      </c>
      <c r="J28" s="55">
        <f>I28*'Inputs &amp; Outputs'!B$16*'Benefit Calculations'!G28*('Benefit Calculations'!C$4-'Benefit Calculations'!C$5)</f>
        <v>1169.151159772319</v>
      </c>
      <c r="K28" s="71">
        <f t="shared" si="3"/>
        <v>0.33508009570363118</v>
      </c>
      <c r="L28" s="56">
        <f>K28*'Assumed Values'!$C$8</f>
        <v>2515.781358542863</v>
      </c>
      <c r="M28" s="57">
        <f t="shared" si="0"/>
        <v>495.97779136691639</v>
      </c>
      <c r="N28" s="55">
        <f>I28*'Inputs &amp; Outputs'!B$16*'Benefit Calculations'!G28*('Benefit Calculations'!D$4-'Benefit Calculations'!D$5)</f>
        <v>481.23013584994555</v>
      </c>
      <c r="O28" s="71">
        <f t="shared" si="4"/>
        <v>0.13792112219900909</v>
      </c>
      <c r="P28" s="56">
        <f>ABS(O28*'Assumed Values'!$C$7)</f>
        <v>262.73973778911233</v>
      </c>
      <c r="Q28" s="57">
        <f t="shared" si="1"/>
        <v>51.798251231356538</v>
      </c>
      <c r="T28" s="68">
        <f t="shared" si="5"/>
        <v>0.30397930154080294</v>
      </c>
      <c r="U28" s="69">
        <f>T28*'Assumed Values'!$D$8</f>
        <v>0</v>
      </c>
    </row>
    <row r="29" spans="3:21">
      <c r="F29" s="54">
        <f t="shared" si="2"/>
        <v>2043</v>
      </c>
      <c r="G29" s="63">
        <f t="shared" si="6"/>
        <v>42149.577215860329</v>
      </c>
      <c r="H29" s="62">
        <f t="shared" si="8"/>
        <v>9.0167582408227087E-3</v>
      </c>
      <c r="I29" s="54">
        <f>IF(AND(F29&gt;='Inputs &amp; Outputs'!B$13,F29&lt;'Inputs &amp; Outputs'!B$13+'Inputs &amp; Outputs'!B$19),1,0)</f>
        <v>1</v>
      </c>
      <c r="J29" s="55">
        <f>I29*'Inputs &amp; Outputs'!B$16*'Benefit Calculations'!G29*('Benefit Calculations'!C$4-'Benefit Calculations'!C$5)</f>
        <v>1179.6931131269635</v>
      </c>
      <c r="K29" s="71">
        <f t="shared" si="3"/>
        <v>0.33810143191790254</v>
      </c>
      <c r="L29" s="56">
        <f>K29*'Assumed Values'!$C$8</f>
        <v>2538.4655508396122</v>
      </c>
      <c r="M29" s="57">
        <f t="shared" si="0"/>
        <v>467.71018991073737</v>
      </c>
      <c r="N29" s="55">
        <f>I29*'Inputs &amp; Outputs'!B$16*'Benefit Calculations'!G29*('Benefit Calculations'!D$4-'Benefit Calculations'!D$5)</f>
        <v>485.56927164310281</v>
      </c>
      <c r="O29" s="71">
        <f t="shared" si="4"/>
        <v>0.1391647236141805</v>
      </c>
      <c r="P29" s="56">
        <f>ABS(O29*'Assumed Values'!$C$7)</f>
        <v>265.10879848501384</v>
      </c>
      <c r="Q29" s="57">
        <f t="shared" si="1"/>
        <v>48.846078074772954</v>
      </c>
      <c r="T29" s="68">
        <f t="shared" si="5"/>
        <v>0.30672020941301054</v>
      </c>
      <c r="U29" s="69">
        <f>T29*'Assumed Values'!$D$8</f>
        <v>0</v>
      </c>
    </row>
    <row r="30" spans="3:21">
      <c r="F30" s="54">
        <f t="shared" si="2"/>
        <v>2044</v>
      </c>
      <c r="G30" s="63">
        <f t="shared" si="6"/>
        <v>42529.629763568628</v>
      </c>
      <c r="H30" s="62">
        <f t="shared" si="8"/>
        <v>9.0167582408227087E-3</v>
      </c>
      <c r="I30" s="54">
        <f>IF(AND(F30&gt;='Inputs &amp; Outputs'!B$13,F30&lt;'Inputs &amp; Outputs'!B$13+'Inputs &amp; Outputs'!B$19),1,0)</f>
        <v>0</v>
      </c>
      <c r="J30" s="55">
        <f>I30*'Inputs &amp; Outputs'!B$16*'Benefit Calculations'!G30*('Benefit Calculations'!C$4-'Benefit Calculations'!C$5)</f>
        <v>0</v>
      </c>
      <c r="K30" s="71">
        <f t="shared" si="3"/>
        <v>0</v>
      </c>
      <c r="L30" s="56">
        <f>K30*'Assumed Values'!$C$8</f>
        <v>0</v>
      </c>
      <c r="M30" s="57">
        <f t="shared" si="0"/>
        <v>0</v>
      </c>
      <c r="N30" s="55">
        <f>I30*'Inputs &amp; Outputs'!B$16*'Benefit Calculations'!G30*('Benefit Calculations'!D$4-'Benefit Calculations'!D$5)</f>
        <v>0</v>
      </c>
      <c r="O30" s="71">
        <f t="shared" si="4"/>
        <v>0</v>
      </c>
      <c r="P30" s="56">
        <f>ABS(O30*'Assumed Values'!$C$7)</f>
        <v>0</v>
      </c>
      <c r="Q30" s="57">
        <f t="shared" si="1"/>
        <v>0</v>
      </c>
      <c r="T30" s="68">
        <f t="shared" si="5"/>
        <v>0</v>
      </c>
      <c r="U30" s="69">
        <f>T30*'Assumed Values'!$D$8</f>
        <v>0</v>
      </c>
    </row>
    <row r="31" spans="3:21">
      <c r="F31" s="54">
        <f t="shared" si="2"/>
        <v>2045</v>
      </c>
      <c r="G31" s="63">
        <f>'Inputs &amp; Outputs'!$B$24</f>
        <v>44883</v>
      </c>
      <c r="H31" s="62">
        <f t="shared" si="8"/>
        <v>9.0167582408227087E-3</v>
      </c>
      <c r="I31" s="54">
        <f>IF(AND(F31&gt;='Inputs &amp; Outputs'!B$13,F31&lt;'Inputs &amp; Outputs'!B$13+'Inputs &amp; Outputs'!B$19),1,0)</f>
        <v>0</v>
      </c>
      <c r="J31" s="55">
        <f>I31*'Inputs &amp; Outputs'!B$16*'Benefit Calculations'!G31*('Benefit Calculations'!C$4-'Benefit Calculations'!C$5)</f>
        <v>0</v>
      </c>
      <c r="K31" s="71">
        <f t="shared" si="3"/>
        <v>0</v>
      </c>
      <c r="L31" s="56">
        <f>K31*'Assumed Values'!$C$8</f>
        <v>0</v>
      </c>
      <c r="M31" s="57">
        <f t="shared" si="0"/>
        <v>0</v>
      </c>
      <c r="N31" s="55">
        <f>I31*'Inputs &amp; Outputs'!B$16*'Benefit Calculations'!G31*('Benefit Calculations'!D$4-'Benefit Calculations'!D$5)</f>
        <v>0</v>
      </c>
      <c r="O31" s="71">
        <f t="shared" si="4"/>
        <v>0</v>
      </c>
      <c r="P31" s="56">
        <f>ABS(O31*'Assumed Values'!$C$7)</f>
        <v>0</v>
      </c>
      <c r="Q31" s="57">
        <f t="shared" si="1"/>
        <v>0</v>
      </c>
      <c r="T31" s="68">
        <f t="shared" si="5"/>
        <v>0</v>
      </c>
      <c r="U31" s="69">
        <f>T31*'Assumed Values'!$D$8</f>
        <v>0</v>
      </c>
    </row>
    <row r="32" spans="3:21">
      <c r="F32" s="54">
        <f t="shared" si="2"/>
        <v>2046</v>
      </c>
      <c r="G32" s="63">
        <f t="shared" si="6"/>
        <v>45287.699160122844</v>
      </c>
      <c r="H32" s="62">
        <f t="shared" si="8"/>
        <v>9.0167582408227087E-3</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45696.047394732785</v>
      </c>
      <c r="H33" s="62">
        <f t="shared" si="8"/>
        <v>9.0167582408227087E-3</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46108.077606652267</v>
      </c>
      <c r="H34" s="62">
        <f t="shared" si="8"/>
        <v>9.0167582408227087E-3</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46523.822995380542</v>
      </c>
      <c r="H35" s="62">
        <f t="shared" si="8"/>
        <v>9.0167582408227087E-3</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46943.317059768713</v>
      </c>
      <c r="H36" s="62">
        <f t="shared" si="8"/>
        <v>9.0167582408227087E-3</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21703.2891512922</v>
      </c>
      <c r="K37" s="55">
        <f t="shared" ref="K37:Q37" si="9">SUM(K4:K36)</f>
        <v>6.2201881639622965</v>
      </c>
      <c r="L37" s="58">
        <f t="shared" si="9"/>
        <v>46701.1727350289</v>
      </c>
      <c r="M37" s="59">
        <f t="shared" si="9"/>
        <v>17299.137729273032</v>
      </c>
      <c r="N37" s="55">
        <f t="shared" si="9"/>
        <v>8933.2133825201145</v>
      </c>
      <c r="O37" s="55">
        <f t="shared" si="9"/>
        <v>2.5602694485961277</v>
      </c>
      <c r="P37" s="55">
        <f t="shared" si="9"/>
        <v>4877.3132995756241</v>
      </c>
      <c r="Q37" s="59">
        <f t="shared" si="9"/>
        <v>1806.663721206477</v>
      </c>
      <c r="T37" s="68">
        <f>SUM(T4:T36)</f>
        <v>5.6428551793359718</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55</v>
      </c>
      <c r="D2" s="92" t="s">
        <v>114</v>
      </c>
      <c r="E2" s="92" t="s">
        <v>115</v>
      </c>
      <c r="F2" s="92" t="s">
        <v>116</v>
      </c>
      <c r="G2" s="92" t="s">
        <v>117</v>
      </c>
      <c r="H2" s="92" t="s">
        <v>118</v>
      </c>
      <c r="I2" s="92" t="s">
        <v>119</v>
      </c>
      <c r="J2" s="92" t="s">
        <v>120</v>
      </c>
    </row>
    <row r="3" spans="1:14">
      <c r="A3" s="73" t="s">
        <v>121</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121</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122</v>
      </c>
      <c r="N4" t="s">
        <v>123</v>
      </c>
    </row>
    <row r="5" spans="1:14">
      <c r="A5" s="73" t="s">
        <v>121</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62</v>
      </c>
    </row>
    <row r="6" spans="1:14">
      <c r="A6" s="73" t="s">
        <v>121</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121</v>
      </c>
    </row>
    <row r="7" spans="1:14">
      <c r="A7" s="73" t="s">
        <v>121</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121</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121</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121</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121</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121</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121</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121</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121</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121</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121</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121</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55</v>
      </c>
      <c r="D21" s="92" t="s">
        <v>114</v>
      </c>
      <c r="E21" s="92" t="s">
        <v>115</v>
      </c>
      <c r="F21" s="92" t="s">
        <v>116</v>
      </c>
      <c r="G21" s="92" t="s">
        <v>117</v>
      </c>
      <c r="H21" s="92" t="s">
        <v>118</v>
      </c>
      <c r="I21" s="92" t="s">
        <v>119</v>
      </c>
      <c r="J21" s="92" t="s">
        <v>120</v>
      </c>
    </row>
    <row r="22" spans="1:10">
      <c r="A22" s="73" t="s">
        <v>62</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62</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62</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62</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62</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62</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62</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62</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62</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62</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62</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62</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62</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62</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62</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62</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55</v>
      </c>
      <c r="D2" s="92" t="s">
        <v>114</v>
      </c>
      <c r="E2" s="92" t="s">
        <v>115</v>
      </c>
      <c r="F2" s="92" t="s">
        <v>116</v>
      </c>
      <c r="G2" s="92" t="s">
        <v>117</v>
      </c>
      <c r="H2" s="92" t="s">
        <v>118</v>
      </c>
      <c r="I2" s="92" t="s">
        <v>119</v>
      </c>
      <c r="J2" s="92" t="s">
        <v>120</v>
      </c>
    </row>
    <row r="3" spans="1:14">
      <c r="A3" s="73" t="s">
        <v>121</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121</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122</v>
      </c>
      <c r="N4" t="s">
        <v>123</v>
      </c>
    </row>
    <row r="5" spans="1:14">
      <c r="A5" s="73" t="s">
        <v>121</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62</v>
      </c>
    </row>
    <row r="6" spans="1:14">
      <c r="A6" s="73" t="s">
        <v>121</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121</v>
      </c>
    </row>
    <row r="7" spans="1:14">
      <c r="A7" s="73" t="s">
        <v>121</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121</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121</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121</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121</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121</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121</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121</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121</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121</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121</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121</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55</v>
      </c>
      <c r="D21" s="92" t="s">
        <v>114</v>
      </c>
      <c r="E21" s="92" t="s">
        <v>115</v>
      </c>
      <c r="F21" s="92" t="s">
        <v>116</v>
      </c>
      <c r="G21" s="92" t="s">
        <v>117</v>
      </c>
      <c r="H21" s="92" t="s">
        <v>118</v>
      </c>
      <c r="I21" s="92" t="s">
        <v>119</v>
      </c>
      <c r="J21" s="92" t="s">
        <v>120</v>
      </c>
    </row>
    <row r="22" spans="1:10">
      <c r="A22" s="73" t="s">
        <v>62</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62</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62</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62</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62</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62</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62</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62</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62</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62</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62</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62</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62</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62</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62</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62</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A2D2BF-5DC2-4E07-AFC0-33CF6C2A4712}"/>
</file>

<file path=customXml/itemProps2.xml><?xml version="1.0" encoding="utf-8"?>
<ds:datastoreItem xmlns:ds="http://schemas.openxmlformats.org/officeDocument/2006/customXml" ds:itemID="{58CBEF66-A1B0-4547-AA2B-1F3902219ECF}"/>
</file>

<file path=customXml/itemProps3.xml><?xml version="1.0" encoding="utf-8"?>
<ds:datastoreItem xmlns:ds="http://schemas.openxmlformats.org/officeDocument/2006/customXml" ds:itemID="{12FC0C8A-8BEC-4274-9ACE-892A5D03CF49}"/>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2018-10-31T00:46:46Z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