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9_HW_SL336/"/>
    </mc:Choice>
  </mc:AlternateContent>
  <xr:revisionPtr revIDLastSave="1" documentId="10_ncr:100000_{1E1BC636-D3B2-418A-9F83-69F2D45ED539}" xr6:coauthVersionLast="40" xr6:coauthVersionMax="40" xr10:uidLastSave="{1821C998-9CAE-47CA-80FE-CBA5A85C02F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N18" i="19"/>
  <c r="O18" i="19"/>
  <c r="P18" i="19"/>
  <c r="Q18" i="19"/>
  <c r="J22" i="19"/>
  <c r="T22" i="19"/>
  <c r="U22" i="19"/>
  <c r="K22" i="19"/>
  <c r="L22" i="19"/>
  <c r="M22" i="19"/>
  <c r="N7" i="19"/>
  <c r="O7" i="19"/>
  <c r="P7" i="19"/>
  <c r="Q7" i="19"/>
  <c r="N26" i="19"/>
  <c r="O26" i="19"/>
  <c r="P26" i="19"/>
  <c r="Q26" i="19"/>
  <c r="J12" i="19"/>
  <c r="J5" i="19"/>
  <c r="J19" i="19"/>
  <c r="N6" i="19"/>
  <c r="O6" i="19"/>
  <c r="P6" i="19"/>
  <c r="Q6" i="19"/>
  <c r="N30" i="19"/>
  <c r="O30" i="19"/>
  <c r="P30" i="19"/>
  <c r="Q30" i="19"/>
  <c r="N29" i="19"/>
  <c r="O29" i="19"/>
  <c r="P29" i="19"/>
  <c r="Q29" i="19"/>
  <c r="N34" i="19"/>
  <c r="O34" i="19"/>
  <c r="P34" i="19"/>
  <c r="Q34" i="19"/>
  <c r="N27" i="19"/>
  <c r="O27" i="19"/>
  <c r="P27" i="19"/>
  <c r="Q27" i="19"/>
  <c r="J20" i="19"/>
  <c r="N25" i="19"/>
  <c r="O25" i="19"/>
  <c r="P25" i="19"/>
  <c r="Q25" i="19"/>
  <c r="J35" i="19"/>
  <c r="J16" i="19"/>
  <c r="N32" i="19"/>
  <c r="O32" i="19"/>
  <c r="P32" i="19"/>
  <c r="Q32" i="19"/>
  <c r="J33" i="19"/>
  <c r="N19" i="19"/>
  <c r="O19" i="19"/>
  <c r="P19" i="19"/>
  <c r="Q19" i="19"/>
  <c r="J6" i="19"/>
  <c r="J30" i="19"/>
  <c r="J29" i="19"/>
  <c r="N11" i="19"/>
  <c r="O11" i="19"/>
  <c r="P11" i="19"/>
  <c r="Q11" i="19"/>
  <c r="N23" i="19"/>
  <c r="O23" i="19"/>
  <c r="P23" i="19"/>
  <c r="Q23" i="19"/>
  <c r="J32" i="19"/>
  <c r="N10" i="19"/>
  <c r="O10" i="19"/>
  <c r="P10" i="19"/>
  <c r="Q10" i="19"/>
  <c r="J21" i="19"/>
  <c r="J4" i="19"/>
  <c r="N16" i="19"/>
  <c r="O16" i="19"/>
  <c r="P16" i="19"/>
  <c r="Q16" i="19"/>
  <c r="J15" i="19"/>
  <c r="J25" i="19"/>
  <c r="J36" i="19"/>
  <c r="J34" i="19"/>
  <c r="N33" i="19"/>
  <c r="O33" i="19"/>
  <c r="P33" i="19"/>
  <c r="Q33" i="19"/>
  <c r="J9" i="19"/>
  <c r="J28" i="19"/>
  <c r="J24" i="19"/>
  <c r="N31" i="19"/>
  <c r="O31" i="19"/>
  <c r="P31" i="19"/>
  <c r="Q31" i="19"/>
  <c r="J11" i="19"/>
  <c r="J23" i="19"/>
  <c r="N8" i="19"/>
  <c r="O8" i="19"/>
  <c r="P8" i="19"/>
  <c r="Q8" i="19"/>
  <c r="J13" i="19"/>
  <c r="J26" i="19"/>
  <c r="J8" i="19"/>
  <c r="N36" i="19"/>
  <c r="O36" i="19"/>
  <c r="P36" i="19"/>
  <c r="Q36" i="19"/>
  <c r="N12" i="19"/>
  <c r="O12" i="19"/>
  <c r="P12" i="19"/>
  <c r="Q12" i="19"/>
  <c r="N21" i="19"/>
  <c r="O21" i="19"/>
  <c r="P21" i="19"/>
  <c r="Q21" i="19"/>
  <c r="N35" i="19"/>
  <c r="O35" i="19"/>
  <c r="P35" i="19"/>
  <c r="Q35" i="19"/>
  <c r="N15" i="19"/>
  <c r="O15" i="19"/>
  <c r="P15" i="19"/>
  <c r="Q15" i="19"/>
  <c r="N4" i="19"/>
  <c r="N9" i="19"/>
  <c r="O9" i="19"/>
  <c r="P9" i="19"/>
  <c r="Q9" i="19"/>
  <c r="N28" i="19"/>
  <c r="O28" i="19"/>
  <c r="P28" i="19"/>
  <c r="Q28" i="19"/>
  <c r="N24" i="19"/>
  <c r="O24" i="19"/>
  <c r="P24" i="19"/>
  <c r="Q24" i="19"/>
  <c r="J31" i="19"/>
  <c r="J18" i="19"/>
  <c r="N17" i="19"/>
  <c r="O17" i="19"/>
  <c r="P17" i="19"/>
  <c r="Q17" i="19"/>
  <c r="N22" i="19"/>
  <c r="O22" i="19"/>
  <c r="P22" i="19"/>
  <c r="Q22" i="19"/>
  <c r="J14" i="19"/>
  <c r="N5" i="19"/>
  <c r="O5" i="19"/>
  <c r="P5" i="19"/>
  <c r="Q5" i="19"/>
  <c r="J27" i="19"/>
  <c r="N20" i="19"/>
  <c r="O20" i="19"/>
  <c r="P20" i="19"/>
  <c r="Q20" i="19"/>
  <c r="N13" i="19"/>
  <c r="O13" i="19"/>
  <c r="P13" i="19"/>
  <c r="Q13" i="19"/>
  <c r="N14" i="19"/>
  <c r="O14" i="19"/>
  <c r="P14" i="19"/>
  <c r="Q14" i="19"/>
  <c r="J7" i="19"/>
  <c r="J10" i="19"/>
  <c r="J17" i="19"/>
  <c r="T10" i="19"/>
  <c r="U10" i="19"/>
  <c r="K10" i="19"/>
  <c r="L10" i="19"/>
  <c r="M10" i="19"/>
  <c r="K36" i="19"/>
  <c r="L36" i="19"/>
  <c r="M36" i="19"/>
  <c r="T36" i="19"/>
  <c r="U36" i="19"/>
  <c r="T18" i="19"/>
  <c r="U18" i="19"/>
  <c r="K18" i="19"/>
  <c r="L18" i="19"/>
  <c r="M18" i="19"/>
  <c r="T11" i="19"/>
  <c r="U11" i="19"/>
  <c r="K11" i="19"/>
  <c r="L11" i="19"/>
  <c r="M11" i="19"/>
  <c r="T25" i="19"/>
  <c r="U25" i="19"/>
  <c r="K25" i="19"/>
  <c r="L25" i="19"/>
  <c r="M25" i="19"/>
  <c r="K35" i="19"/>
  <c r="L35" i="19"/>
  <c r="M35" i="19"/>
  <c r="T35" i="19"/>
  <c r="U35" i="19"/>
  <c r="T19" i="19"/>
  <c r="U19" i="19"/>
  <c r="K19" i="19"/>
  <c r="L19" i="19"/>
  <c r="M19" i="19"/>
  <c r="K23" i="19"/>
  <c r="L23" i="19"/>
  <c r="M23" i="19"/>
  <c r="T23" i="19"/>
  <c r="U23" i="19"/>
  <c r="T16" i="19"/>
  <c r="U16" i="19"/>
  <c r="K16" i="19"/>
  <c r="L16" i="19"/>
  <c r="M16" i="19"/>
  <c r="T31" i="19"/>
  <c r="U31" i="19"/>
  <c r="K31" i="19"/>
  <c r="L31" i="19"/>
  <c r="M31" i="19"/>
  <c r="K15" i="19"/>
  <c r="L15" i="19"/>
  <c r="M15" i="19"/>
  <c r="T15" i="19"/>
  <c r="U15" i="19"/>
  <c r="T29" i="19"/>
  <c r="U29" i="19"/>
  <c r="K29" i="19"/>
  <c r="L29" i="19"/>
  <c r="M29" i="19"/>
  <c r="T5" i="19"/>
  <c r="U5" i="19"/>
  <c r="K5" i="19"/>
  <c r="L5" i="19"/>
  <c r="M5" i="19"/>
  <c r="T30" i="19"/>
  <c r="U30" i="19"/>
  <c r="K30" i="19"/>
  <c r="L30" i="19"/>
  <c r="M30" i="19"/>
  <c r="T20" i="19"/>
  <c r="U20" i="19"/>
  <c r="K20" i="19"/>
  <c r="L20" i="19"/>
  <c r="M20" i="19"/>
  <c r="T12" i="19"/>
  <c r="U12" i="19"/>
  <c r="K12" i="19"/>
  <c r="L12" i="19"/>
  <c r="M12" i="19"/>
  <c r="T24" i="19"/>
  <c r="U24" i="19"/>
  <c r="K24" i="19"/>
  <c r="L24" i="19"/>
  <c r="M24" i="19"/>
  <c r="T27" i="19"/>
  <c r="U27" i="19"/>
  <c r="K27" i="19"/>
  <c r="L27" i="19"/>
  <c r="M27" i="19"/>
  <c r="K8" i="19"/>
  <c r="L8" i="19"/>
  <c r="M8" i="19"/>
  <c r="T8" i="19"/>
  <c r="U8" i="19"/>
  <c r="T28" i="19"/>
  <c r="U28" i="19"/>
  <c r="K28" i="19"/>
  <c r="L28" i="19"/>
  <c r="M28" i="19"/>
  <c r="J37" i="19"/>
  <c r="K4" i="19"/>
  <c r="T4" i="19"/>
  <c r="K6" i="19"/>
  <c r="L6" i="19"/>
  <c r="M6" i="19"/>
  <c r="T6" i="19"/>
  <c r="U6" i="19"/>
  <c r="T7" i="19"/>
  <c r="U7" i="19"/>
  <c r="K7" i="19"/>
  <c r="L7" i="19"/>
  <c r="M7" i="19"/>
  <c r="T26" i="19"/>
  <c r="U26" i="19"/>
  <c r="K26" i="19"/>
  <c r="L26" i="19"/>
  <c r="M26" i="19"/>
  <c r="K9" i="19"/>
  <c r="L9" i="19"/>
  <c r="M9" i="19"/>
  <c r="T9" i="19"/>
  <c r="U9" i="19"/>
  <c r="K21" i="19"/>
  <c r="L21" i="19"/>
  <c r="M21" i="19"/>
  <c r="T21" i="19"/>
  <c r="U21" i="19"/>
  <c r="K17" i="19"/>
  <c r="L17" i="19"/>
  <c r="M17" i="19"/>
  <c r="T17" i="19"/>
  <c r="U17" i="19"/>
  <c r="T14" i="19"/>
  <c r="U14" i="19"/>
  <c r="K14" i="19"/>
  <c r="L14" i="19"/>
  <c r="M14" i="19"/>
  <c r="N37" i="19"/>
  <c r="O4" i="19"/>
  <c r="T13" i="19"/>
  <c r="U13" i="19"/>
  <c r="K13" i="19"/>
  <c r="L13" i="19"/>
  <c r="M13" i="19"/>
  <c r="T33" i="19"/>
  <c r="U33" i="19"/>
  <c r="K33" i="19"/>
  <c r="L33" i="19"/>
  <c r="M33" i="19"/>
  <c r="T34" i="19"/>
  <c r="U34" i="19"/>
  <c r="K34" i="19"/>
  <c r="L34" i="19"/>
  <c r="M34" i="19"/>
  <c r="K32" i="19"/>
  <c r="L32" i="19"/>
  <c r="M32" i="19"/>
  <c r="T32" i="19"/>
  <c r="U32" i="19"/>
  <c r="P4" i="19"/>
  <c r="O37" i="19"/>
  <c r="B38" i="11"/>
  <c r="T37" i="19"/>
  <c r="U4" i="19"/>
  <c r="U37" i="19"/>
  <c r="K37" i="19"/>
  <c r="B37" i="11"/>
  <c r="L4" i="19"/>
  <c r="L37" i="19"/>
  <c r="M4" i="19"/>
  <c r="M37" i="19"/>
  <c r="B30" i="11"/>
  <c r="P37" i="19"/>
  <c r="Q4" i="19"/>
  <c r="Q37" i="19"/>
  <c r="B31" i="11"/>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<sst xmlns="http://schemas.openxmlformats.org/spreadsheetml/2006/main" count="263" uniqueCount="131">
  <si>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</si>
  <si>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</si>
  <si>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</si>
  <si>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</si>
  <si>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</si>
  <si>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</si>
  <si>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</si>
  <si>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</si>
  <si>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</si>
  <si>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</si>
  <si>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</si>
  <si>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</si>
  <si>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</si>
  <si>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</si>
  <si>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</si>
  <si>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</si>
  <si>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</si>
  <si>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</si>
  <si>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</si>
  <si>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</si>
  <si>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</si>
  <si>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</si>
  <si>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</si>
  <si>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</si>
  <si>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</si>
  <si>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</si>
  <si>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</si>
  <si>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</si>
  <si>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</si>
  <si>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</si>
  <si>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</si>
  <si>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</si>
  <si>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</si>
  <si>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</si>
  <si>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</si>
  <si>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</si>
  <si>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</si>
  <si>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</si>
  <si>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</si>
  <si>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</si>
  <si>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</si>
  <si>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</si>
  <si>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</si>
  <si>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</si>
  <si>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</si>
  <si>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</si>
  <si>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</si>
  <si>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South SL 336 Widening</t>
  </si>
  <si>
    <t>Data entered by the sponsors</t>
  </si>
  <si>
    <t>Application ID Number:</t>
  </si>
  <si>
    <t>Data populated/calculated based on inputs</t>
  </si>
  <si>
    <t>Sponsor ID Number (CSJ, etc.):</t>
  </si>
  <si>
    <t>0338-11-056</t>
  </si>
  <si>
    <t xml:space="preserve">HGAC regional travel demand model data provided by HGAC </t>
  </si>
  <si>
    <t>Project County</t>
  </si>
  <si>
    <t>Montgomery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</si>
  <si>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</si>
  <si>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</si>
  <si>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</si>
  <si>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</si>
  <si>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</si>
  <si>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</si>
  <si>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</si>
  <si>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</si>
  <si>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</si>
  <si>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</si>
  <si>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</si>
  <si>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</si>
  <si>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</si>
  <si>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</si>
  <si>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</si>
  <si>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</si>
  <si>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</si>
  <si>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</si>
  <si>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</si>
  <si>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</si>
  <si>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</si>
  <si>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</si>
  <si>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</si>
  <si>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</si>
  <si>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</si>
  <si>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</si>
  <si>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</si>
  <si>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</si>
  <si>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</si>
  <si>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</si>
  <si>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</si>
  <si>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</si>
  <si>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</si>
  <si>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</si>
  <si>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</si>
  <si>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</si>
  <si>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</si>
  <si>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</si>
  <si>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</si>
  <si>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</si>
  <si>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</si>
  <si>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</si>
  <si>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</si>
  <si>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</si>
  <si>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</si>
  <si>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</si>
  <si>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</si>
  <si>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</si>
  <si>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</si>
  <si>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</si>
  <si>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</si>
  <si>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</si>
  <si>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</si>
  <si>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</si>
  <si>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</si>
  <si>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</si>
  <si>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</si>
  <si>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</si>
  <si>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</si>
  <si>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</si>
  <si>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</si>
  <si>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</si>
  <si>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</si>
  <si>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Liberty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</si>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</sst>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1" zoomScaleNormal="100" workbookViewId="0" xr3:uid="{51F8DEE0-4D01-5F28-A812-FC0BD7CAC4A5}">
      <selection activeCell="B18" sqref="B18"/>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2.44</v>
      </c>
    </row>
    <row r="17" spans="1:2">
      <c r="A17" s="86" t="s">
        <v>64</v>
      </c>
      <c r="B17" s="8">
        <v>25</v>
      </c>
    </row>
    <row r="18" spans="1:2">
      <c r="A18" s="86" t="s">
        <v>65</v>
      </c>
      <c r="B18" s="8">
        <v>42</v>
      </c>
    </row>
    <row r="19" spans="1:2">
      <c r="A19" s="76" t="s">
        <v>66</v>
      </c>
      <c r="B19" s="77">
        <f>VLOOKUP(B14,'Service Life'!C6:D8,2,FALSE)</f>
        <v>20</v>
      </c>
    </row>
    <row r="21" spans="1:2">
      <c r="A21" s="81" t="s">
        <v>67</v>
      </c>
    </row>
    <row r="22" spans="1:2" ht="20.25" customHeight="1">
      <c r="A22" s="86" t="s">
        <v>68</v>
      </c>
      <c r="B22" s="95">
        <v>17111</v>
      </c>
    </row>
    <row r="23" spans="1:2" ht="30">
      <c r="A23" s="94" t="s">
        <v>69</v>
      </c>
      <c r="B23" s="96">
        <v>25692</v>
      </c>
    </row>
    <row r="24" spans="1:2" ht="30">
      <c r="A24" s="94" t="s">
        <v>70</v>
      </c>
      <c r="B24" s="96">
        <v>42400</v>
      </c>
    </row>
    <row r="27" spans="1:2" ht="18.75">
      <c r="A27" s="79" t="s">
        <v>71</v>
      </c>
      <c r="B27" s="80"/>
    </row>
    <row r="29" spans="1:2">
      <c r="A29" s="87" t="s">
        <v>72</v>
      </c>
    </row>
    <row r="30" spans="1:2">
      <c r="A30" s="84" t="s">
        <v>73</v>
      </c>
      <c r="B30" s="35">
        <f>'Benefit Calculations'!M37</f>
        <v>8795.8024848211571</v>
      </c>
    </row>
    <row r="31" spans="1:2">
      <c r="A31" s="84" t="s">
        <v>74</v>
      </c>
      <c r="B31" s="35">
        <f>'Benefit Calculations'!Q37</f>
        <v>978.02453914256967</v>
      </c>
    </row>
    <row r="32" spans="1:2">
      <c r="B32" s="88"/>
    </row>
    <row r="33" spans="1:9">
      <c r="A33" s="87" t="s">
        <v>75</v>
      </c>
      <c r="B33" s="88"/>
    </row>
    <row r="34" spans="1:9">
      <c r="A34" s="84" t="s">
        <v>76</v>
      </c>
      <c r="B34" s="35">
        <f>$B$30+$B$31</f>
        <v>9773.8270239637277</v>
      </c>
    </row>
    <row r="35" spans="1:9">
      <c r="I35" s="89"/>
    </row>
    <row r="36" spans="1:9">
      <c r="A36" s="87" t="s">
        <v>77</v>
      </c>
    </row>
    <row r="37" spans="1:9">
      <c r="A37" s="84" t="s">
        <v>78</v>
      </c>
      <c r="B37" s="91">
        <f>'Benefit Calculations'!K37</f>
        <v>3.246440928816698</v>
      </c>
    </row>
    <row r="38" spans="1:9">
      <c r="A38" s="84" t="s">
        <v>79</v>
      </c>
      <c r="B38" s="91">
        <f>'Benefit Calculations'!O37</f>
        <v>1.4226925984035435</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6.4815096557099994E-2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1.48897003382E-2</v>
      </c>
      <c r="F4" s="54">
        <v>2018</v>
      </c>
      <c r="G4" s="63">
        <f>'Inputs &amp; Outputs'!B22</f>
        <v>17111</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5.7234399020699898E-2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1.15676000714E-2</v>
      </c>
      <c r="F5" s="54">
        <f t="shared" ref="F5:F36" si="2">F4+1</f>
        <v>2019</v>
      </c>
      <c r="G5" s="63">
        <f>G4+G4*H5</f>
        <v>18133.970063711567</v>
      </c>
      <c r="H5" s="62">
        <f>$C$9</f>
        <v>5.9784352972448662E-2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19218.097730792317</v>
      </c>
      <c r="H6" s="62">
        <f t="shared" ref="H6:H11" si="7">$C$9</f>
        <v>5.9784352972448662E-2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20367.039268989018</v>
      </c>
      <c r="H7" s="62">
        <f t="shared" si="7"/>
        <v>5.9784352972448662E-2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21584.66953364998</v>
      </c>
      <c r="H8" s="62">
        <f t="shared" si="7"/>
        <v>5.9784352972448662E-2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5.9784352972448662E-2</v>
      </c>
      <c r="F9" s="54">
        <f t="shared" si="2"/>
        <v>2023</v>
      </c>
      <c r="G9" s="63">
        <f t="shared" si="6"/>
        <v>22875.095035843369</v>
      </c>
      <c r="H9" s="62">
        <f t="shared" si="7"/>
        <v>5.9784352972448662E-2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2.024087167015387E-2</v>
      </c>
      <c r="F10" s="54">
        <f t="shared" si="2"/>
        <v>2024</v>
      </c>
      <c r="G10" s="63">
        <f t="shared" si="6"/>
        <v>24242.667791744538</v>
      </c>
      <c r="H10" s="62">
        <f t="shared" si="7"/>
        <v>5.9784352972448662E-2</v>
      </c>
      <c r="I10" s="54">
        <f>IF(AND(F10&gt;='Inputs &amp; Outputs'!B$13,F10&lt;'Inputs &amp; Outputs'!B$13+'Inputs &amp; Outputs'!B$19),1,0)</f>
        <v>1</v>
      </c>
      <c r="J10" s="55">
        <f>I10*'Inputs &amp; Outputs'!B$16*'Benefit Calculations'!G10*('Benefit Calculations'!C$4-'Benefit Calculations'!C$5)</f>
        <v>448.41425009133076</v>
      </c>
      <c r="K10" s="71">
        <f t="shared" si="3"/>
        <v>0.12851605079426665</v>
      </c>
      <c r="L10" s="56">
        <f>K10*'Assumed Values'!$C$8</f>
        <v>964.89850936335392</v>
      </c>
      <c r="M10" s="57">
        <f t="shared" si="0"/>
        <v>642.9526184864153</v>
      </c>
      <c r="N10" s="55">
        <f>I10*'Inputs &amp; Outputs'!B$16*'Benefit Calculations'!G10*('Benefit Calculations'!D$4-'Benefit Calculations'!D$5)</f>
        <v>196.50923845891185</v>
      </c>
      <c r="O10" s="71">
        <f t="shared" si="4"/>
        <v>5.6319778566770451E-2</v>
      </c>
      <c r="P10" s="56">
        <f>ABS(O10*'Assumed Values'!$C$7)</f>
        <v>107.28917816969771</v>
      </c>
      <c r="Q10" s="57">
        <f t="shared" si="1"/>
        <v>71.4913095730424</v>
      </c>
      <c r="T10" s="68">
        <f t="shared" si="5"/>
        <v>0.11658770502374599</v>
      </c>
      <c r="U10" s="69">
        <f>T10*'Assumed Values'!$D$8</f>
        <v>0</v>
      </c>
    </row>
    <row r="11" spans="2:21">
      <c r="B11" s="15" t="s">
        <v>100</v>
      </c>
      <c r="C11" s="53">
        <f>('Inputs &amp; Outputs'!B24/'Inputs &amp; Outputs'!B22)^(1/(2045-2018))-1</f>
        <v>3.4179543888277486E-2</v>
      </c>
      <c r="F11" s="54">
        <f t="shared" si="2"/>
        <v>2025</v>
      </c>
      <c r="G11" s="63">
        <f>'Inputs &amp; Outputs'!$B$23</f>
        <v>25692</v>
      </c>
      <c r="H11" s="62">
        <f t="shared" si="7"/>
        <v>5.9784352972448662E-2</v>
      </c>
      <c r="I11" s="54">
        <f>IF(AND(F11&gt;='Inputs &amp; Outputs'!B$13,F11&lt;'Inputs &amp; Outputs'!B$13+'Inputs &amp; Outputs'!B$19),1,0)</f>
        <v>1</v>
      </c>
      <c r="J11" s="55">
        <f>I11*'Inputs &amp; Outputs'!B$16*'Benefit Calculations'!G11*('Benefit Calculations'!C$4-'Benefit Calculations'!C$5)</f>
        <v>475.2224058966666</v>
      </c>
      <c r="K11" s="71">
        <f t="shared" si="3"/>
        <v>0.13619929973757619</v>
      </c>
      <c r="L11" s="56">
        <f>K11*'Assumed Values'!$C$8</f>
        <v>1022.584342429722</v>
      </c>
      <c r="M11" s="57">
        <f t="shared" si="0"/>
        <v>636.81413530333373</v>
      </c>
      <c r="N11" s="55">
        <f>I11*'Inputs &amp; Outputs'!B$16*'Benefit Calculations'!G11*('Benefit Calculations'!D$4-'Benefit Calculations'!D$5)</f>
        <v>208.25741613328645</v>
      </c>
      <c r="O11" s="71">
        <f t="shared" si="4"/>
        <v>5.9686820087936382E-2</v>
      </c>
      <c r="P11" s="56">
        <f>ABS(O11*'Assumed Values'!$C$7)</f>
        <v>113.70339226751881</v>
      </c>
      <c r="Q11" s="57">
        <f t="shared" si="1"/>
        <v>70.80875818599975</v>
      </c>
      <c r="T11" s="68">
        <f t="shared" si="5"/>
        <v>0.12355782553313333</v>
      </c>
      <c r="U11" s="69">
        <f>T11*'Assumed Values'!$D$8</f>
        <v>0</v>
      </c>
    </row>
    <row r="12" spans="2:21">
      <c r="C12" s="38"/>
      <c r="F12" s="54">
        <f t="shared" si="2"/>
        <v>2026</v>
      </c>
      <c r="G12" s="63">
        <f t="shared" si="6"/>
        <v>26212.028474949595</v>
      </c>
      <c r="H12" s="62">
        <f>$C$10</f>
        <v>2.024087167015387E-2</v>
      </c>
      <c r="I12" s="54">
        <f>IF(AND(F12&gt;='Inputs &amp; Outputs'!B$13,F12&lt;'Inputs &amp; Outputs'!B$13+'Inputs &amp; Outputs'!B$19),1,0)</f>
        <v>1</v>
      </c>
      <c r="J12" s="55">
        <f>I12*'Inputs &amp; Outputs'!B$16*'Benefit Calculations'!G12*('Benefit Calculations'!C$4-'Benefit Calculations'!C$5)</f>
        <v>484.84132162920287</v>
      </c>
      <c r="K12" s="71">
        <f t="shared" si="3"/>
        <v>0.13895609228512928</v>
      </c>
      <c r="L12" s="56">
        <f>K12*'Assumed Values'!$C$8</f>
        <v>1043.2823408767506</v>
      </c>
      <c r="M12" s="57">
        <f t="shared" si="0"/>
        <v>607.19982102219478</v>
      </c>
      <c r="N12" s="55">
        <f>I12*'Inputs &amp; Outputs'!B$16*'Benefit Calculations'!G12*('Benefit Calculations'!D$4-'Benefit Calculations'!D$5)</f>
        <v>212.47272776759817</v>
      </c>
      <c r="O12" s="71">
        <f t="shared" si="4"/>
        <v>6.0894933353735872E-2</v>
      </c>
      <c r="P12" s="56">
        <f>ABS(O12*'Assumed Values'!$C$7)</f>
        <v>116.00484803886684</v>
      </c>
      <c r="Q12" s="57">
        <f t="shared" si="1"/>
        <v>67.515877732304247</v>
      </c>
      <c r="T12" s="68">
        <f t="shared" si="5"/>
        <v>0.12605874362359273</v>
      </c>
      <c r="U12" s="69">
        <f>T12*'Assumed Values'!$D$8</f>
        <v>0</v>
      </c>
    </row>
    <row r="13" spans="2:21">
      <c r="C13" s="38"/>
      <c r="F13" s="54">
        <f t="shared" si="2"/>
        <v>2027</v>
      </c>
      <c r="G13" s="63">
        <f t="shared" si="6"/>
        <v>26742.58277952547</v>
      </c>
      <c r="H13" s="62">
        <f t="shared" ref="H13:H36" si="8">$C$10</f>
        <v>2.024087167015387E-2</v>
      </c>
      <c r="I13" s="54">
        <f>IF(AND(F13&gt;='Inputs &amp; Outputs'!B$13,F13&lt;'Inputs &amp; Outputs'!B$13+'Inputs &amp; Outputs'!B$19),1,0)</f>
        <v>1</v>
      </c>
      <c r="J13" s="55">
        <f>I13*'Inputs &amp; Outputs'!B$16*'Benefit Calculations'!G13*('Benefit Calculations'!C$4-'Benefit Calculations'!C$5)</f>
        <v>494.6549326006874</v>
      </c>
      <c r="K13" s="71">
        <f t="shared" si="3"/>
        <v>0.14176868471685869</v>
      </c>
      <c r="L13" s="56">
        <f>K13*'Assumed Values'!$C$8</f>
        <v>1064.399284854175</v>
      </c>
      <c r="M13" s="57">
        <f t="shared" si="0"/>
        <v>578.96268661462204</v>
      </c>
      <c r="N13" s="55">
        <f>I13*'Inputs &amp; Outputs'!B$16*'Benefit Calculations'!G13*('Benefit Calculations'!D$4-'Benefit Calculations'!D$5)</f>
        <v>216.77336098374968</v>
      </c>
      <c r="O13" s="71">
        <f t="shared" si="4"/>
        <v>6.2127499885111417E-2</v>
      </c>
      <c r="P13" s="56">
        <f>ABS(O13*'Assumed Values'!$C$7)</f>
        <v>118.35288728113726</v>
      </c>
      <c r="Q13" s="57">
        <f t="shared" si="1"/>
        <v>64.376128924468802</v>
      </c>
      <c r="T13" s="68">
        <f t="shared" si="5"/>
        <v>0.12861028247617873</v>
      </c>
      <c r="U13" s="69">
        <f>T13*'Assumed Values'!$D$8</f>
        <v>0</v>
      </c>
    </row>
    <row r="14" spans="2:21">
      <c r="C14" s="38"/>
      <c r="F14" s="54">
        <f t="shared" si="2"/>
        <v>2028</v>
      </c>
      <c r="G14" s="63">
        <f t="shared" si="6"/>
        <v>27283.875965694311</v>
      </c>
      <c r="H14" s="62">
        <f t="shared" si="8"/>
        <v>2.024087167015387E-2</v>
      </c>
      <c r="I14" s="54">
        <f>IF(AND(F14&gt;='Inputs &amp; Outputs'!B$13,F14&lt;'Inputs &amp; Outputs'!B$13+'Inputs &amp; Outputs'!B$19),1,0)</f>
        <v>1</v>
      </c>
      <c r="J14" s="55">
        <f>I14*'Inputs &amp; Outputs'!B$16*'Benefit Calculations'!G14*('Benefit Calculations'!C$4-'Benefit Calculations'!C$5)</f>
        <v>504.6671796124665</v>
      </c>
      <c r="K14" s="71">
        <f t="shared" si="3"/>
        <v>0.14463820647105913</v>
      </c>
      <c r="L14" s="56">
        <f>K14*'Assumed Values'!$C$8</f>
        <v>1085.9436541847119</v>
      </c>
      <c r="M14" s="57">
        <f t="shared" si="0"/>
        <v>552.03868790298714</v>
      </c>
      <c r="N14" s="55">
        <f>I14*'Inputs &amp; Outputs'!B$16*'Benefit Calculations'!G14*('Benefit Calculations'!D$4-'Benefit Calculations'!D$5)</f>
        <v>221.1610427649297</v>
      </c>
      <c r="O14" s="71">
        <f t="shared" si="4"/>
        <v>6.3385014637473452E-2</v>
      </c>
      <c r="P14" s="56">
        <f>ABS(O14*'Assumed Values'!$C$7)</f>
        <v>120.74845288438692</v>
      </c>
      <c r="Q14" s="57">
        <f t="shared" si="1"/>
        <v>61.382390550140414</v>
      </c>
      <c r="T14" s="68">
        <f t="shared" si="5"/>
        <v>0.13121346669924128</v>
      </c>
      <c r="U14" s="69">
        <f>T14*'Assumed Values'!$D$8</f>
        <v>0</v>
      </c>
    </row>
    <row r="15" spans="2:21">
      <c r="C15" s="1"/>
      <c r="F15" s="54">
        <f t="shared" si="2"/>
        <v>2029</v>
      </c>
      <c r="G15" s="63">
        <f t="shared" si="6"/>
        <v>27836.125397780324</v>
      </c>
      <c r="H15" s="62">
        <f t="shared" si="8"/>
        <v>2.024087167015387E-2</v>
      </c>
      <c r="I15" s="54">
        <f>IF(AND(F15&gt;='Inputs &amp; Outputs'!B$13,F15&lt;'Inputs &amp; Outputs'!B$13+'Inputs &amp; Outputs'!B$19),1,0)</f>
        <v>1</v>
      </c>
      <c r="J15" s="55">
        <f>I15*'Inputs &amp; Outputs'!B$16*'Benefit Calculations'!G15*('Benefit Calculations'!C$4-'Benefit Calculations'!C$5)</f>
        <v>514.882083231141</v>
      </c>
      <c r="K15" s="71">
        <f t="shared" si="3"/>
        <v>0.14756580984684106</v>
      </c>
      <c r="L15" s="56">
        <f>K15*'Assumed Values'!$C$8</f>
        <v>1107.9241003300826</v>
      </c>
      <c r="M15" s="57">
        <f t="shared" si="0"/>
        <v>526.36675901102012</v>
      </c>
      <c r="N15" s="55">
        <f>I15*'Inputs &amp; Outputs'!B$16*'Benefit Calculations'!G15*('Benefit Calculations'!D$4-'Benefit Calculations'!D$5)</f>
        <v>225.63753504997206</v>
      </c>
      <c r="O15" s="71">
        <f t="shared" si="4"/>
        <v>6.4667982584561384E-2</v>
      </c>
      <c r="P15" s="56">
        <f>ABS(O15*'Assumed Values'!$C$7)</f>
        <v>123.19250682358944</v>
      </c>
      <c r="Q15" s="57">
        <f t="shared" si="1"/>
        <v>58.527872560815958</v>
      </c>
      <c r="T15" s="68">
        <f t="shared" si="5"/>
        <v>0.13386934164009665</v>
      </c>
      <c r="U15" s="69">
        <f>T15*'Assumed Values'!$D$8</f>
        <v>0</v>
      </c>
    </row>
    <row r="16" spans="2:21">
      <c r="C16" s="1"/>
      <c r="F16" s="54">
        <f t="shared" si="2"/>
        <v>2030</v>
      </c>
      <c r="G16" s="63">
        <f t="shared" si="6"/>
        <v>28399.552839751108</v>
      </c>
      <c r="H16" s="62">
        <f t="shared" si="8"/>
        <v>2.024087167015387E-2</v>
      </c>
      <c r="I16" s="54">
        <f>IF(AND(F16&gt;='Inputs &amp; Outputs'!B$13,F16&lt;'Inputs &amp; Outputs'!B$13+'Inputs &amp; Outputs'!B$19),1,0)</f>
        <v>1</v>
      </c>
      <c r="J16" s="55">
        <f>I16*'Inputs &amp; Outputs'!B$16*'Benefit Calculations'!G16*('Benefit Calculations'!C$4-'Benefit Calculations'!C$5)</f>
        <v>525.30374540308401</v>
      </c>
      <c r="K16" s="71">
        <f t="shared" si="3"/>
        <v>0.15055267046685331</v>
      </c>
      <c r="L16" s="56">
        <f>K16*'Assumed Values'!$C$8</f>
        <v>1130.3494498651346</v>
      </c>
      <c r="M16" s="57">
        <f t="shared" si="0"/>
        <v>501.88867386130568</v>
      </c>
      <c r="N16" s="55">
        <f>I16*'Inputs &amp; Outputs'!B$16*'Benefit Calculations'!G16*('Benefit Calculations'!D$4-'Benefit Calculations'!D$5)</f>
        <v>230.20463544088838</v>
      </c>
      <c r="O16" s="71">
        <f t="shared" si="4"/>
        <v>6.5976918921223232E-2</v>
      </c>
      <c r="P16" s="56">
        <f>ABS(O16*'Assumed Values'!$C$7)</f>
        <v>125.68603054493026</v>
      </c>
      <c r="Q16" s="57">
        <f t="shared" si="1"/>
        <v>55.806100671445385</v>
      </c>
      <c r="T16" s="68">
        <f t="shared" si="5"/>
        <v>0.13657897380480186</v>
      </c>
      <c r="U16" s="69">
        <f>T16*'Assumed Values'!$D$8</f>
        <v>0</v>
      </c>
    </row>
    <row r="17" spans="3:21">
      <c r="C17" s="1"/>
      <c r="F17" s="54">
        <f t="shared" si="2"/>
        <v>2031</v>
      </c>
      <c r="G17" s="63">
        <f t="shared" si="6"/>
        <v>28974.384544270266</v>
      </c>
      <c r="H17" s="62">
        <f t="shared" si="8"/>
        <v>2.024087167015387E-2</v>
      </c>
      <c r="I17" s="54">
        <f>IF(AND(F17&gt;='Inputs &amp; Outputs'!B$13,F17&lt;'Inputs &amp; Outputs'!B$13+'Inputs &amp; Outputs'!B$19),1,0)</f>
        <v>1</v>
      </c>
      <c r="J17" s="55">
        <f>I17*'Inputs &amp; Outputs'!B$16*'Benefit Calculations'!G17*('Benefit Calculations'!C$4-'Benefit Calculations'!C$5)</f>
        <v>535.93635110163893</v>
      </c>
      <c r="K17" s="71">
        <f t="shared" si="3"/>
        <v>0.15359998774937184</v>
      </c>
      <c r="L17" s="56">
        <f>K17*'Assumed Values'!$C$8</f>
        <v>1153.2287080222839</v>
      </c>
      <c r="M17" s="57">
        <f t="shared" si="0"/>
        <v>478.54891411367856</v>
      </c>
      <c r="N17" s="55">
        <f>I17*'Inputs &amp; Outputs'!B$16*'Benefit Calculations'!G17*('Benefit Calculations'!D$4-'Benefit Calculations'!D$5)</f>
        <v>234.86417792472196</v>
      </c>
      <c r="O17" s="71">
        <f t="shared" si="4"/>
        <v>6.7312349270299859E-2</v>
      </c>
      <c r="P17" s="56">
        <f>ABS(O17*'Assumed Values'!$C$7)</f>
        <v>128.23002535992123</v>
      </c>
      <c r="Q17" s="57">
        <f t="shared" si="1"/>
        <v>53.210901676212892</v>
      </c>
      <c r="T17" s="68">
        <f t="shared" si="5"/>
        <v>0.13934345128642614</v>
      </c>
      <c r="U17" s="69">
        <f>T17*'Assumed Values'!$D$8</f>
        <v>0</v>
      </c>
    </row>
    <row r="18" spans="3:21">
      <c r="F18" s="54">
        <f t="shared" si="2"/>
        <v>2032</v>
      </c>
      <c r="G18" s="63">
        <f t="shared" si="6"/>
        <v>29560.851343552531</v>
      </c>
      <c r="H18" s="62">
        <f t="shared" si="8"/>
        <v>2.024087167015387E-2</v>
      </c>
      <c r="I18" s="54">
        <f>IF(AND(F18&gt;='Inputs &amp; Outputs'!B$13,F18&lt;'Inputs &amp; Outputs'!B$13+'Inputs &amp; Outputs'!B$19),1,0)</f>
        <v>1</v>
      </c>
      <c r="J18" s="55">
        <f>I18*'Inputs &amp; Outputs'!B$16*'Benefit Calculations'!G18*('Benefit Calculations'!C$4-'Benefit Calculations'!C$5)</f>
        <v>546.78417000765774</v>
      </c>
      <c r="K18" s="71">
        <f t="shared" si="3"/>
        <v>0.15670898538994407</v>
      </c>
      <c r="L18" s="56">
        <f>K18*'Assumed Values'!$C$8</f>
        <v>1176.5710623077</v>
      </c>
      <c r="M18" s="57">
        <f t="shared" si="0"/>
        <v>456.29454324499528</v>
      </c>
      <c r="N18" s="55">
        <f>I18*'Inputs &amp; Outputs'!B$16*'Benefit Calculations'!G18*('Benefit Calculations'!D$4-'Benefit Calculations'!D$5)</f>
        <v>239.61803361001245</v>
      </c>
      <c r="O18" s="71">
        <f t="shared" si="4"/>
        <v>6.8674809893696565E-2</v>
      </c>
      <c r="P18" s="56">
        <f>ABS(O18*'Assumed Values'!$C$7)</f>
        <v>130.82551284749195</v>
      </c>
      <c r="Q18" s="57">
        <f t="shared" si="1"/>
        <v>50.736389447190923</v>
      </c>
      <c r="T18" s="68">
        <f t="shared" si="5"/>
        <v>0.14216388420199103</v>
      </c>
      <c r="U18" s="69">
        <f>T18*'Assumed Values'!$D$8</f>
        <v>0</v>
      </c>
    </row>
    <row r="19" spans="3:21">
      <c r="F19" s="54">
        <f t="shared" si="2"/>
        <v>2033</v>
      </c>
      <c r="G19" s="63">
        <f t="shared" si="6"/>
        <v>30159.188742057875</v>
      </c>
      <c r="H19" s="62">
        <f t="shared" si="8"/>
        <v>2.024087167015387E-2</v>
      </c>
      <c r="I19" s="54">
        <f>IF(AND(F19&gt;='Inputs &amp; Outputs'!B$13,F19&lt;'Inputs &amp; Outputs'!B$13+'Inputs &amp; Outputs'!B$19),1,0)</f>
        <v>1</v>
      </c>
      <c r="J19" s="55">
        <f>I19*'Inputs &amp; Outputs'!B$16*'Benefit Calculations'!G19*('Benefit Calculations'!C$4-'Benefit Calculations'!C$5)</f>
        <v>557.85155822405443</v>
      </c>
      <c r="K19" s="71">
        <f t="shared" si="3"/>
        <v>0.15988091185278194</v>
      </c>
      <c r="L19" s="56">
        <f>K19*'Assumed Values'!$C$8</f>
        <v>1200.3858861906867</v>
      </c>
      <c r="M19" s="57">
        <f t="shared" si="0"/>
        <v>435.07508648468098</v>
      </c>
      <c r="N19" s="55">
        <f>I19*'Inputs &amp; Outputs'!B$16*'Benefit Calculations'!G19*('Benefit Calculations'!D$4-'Benefit Calculations'!D$5)</f>
        <v>244.46811147816734</v>
      </c>
      <c r="O19" s="71">
        <f t="shared" si="4"/>
        <v>7.0064847907727101E-2</v>
      </c>
      <c r="P19" s="56">
        <f>ABS(O19*'Assumed Values'!$C$7)</f>
        <v>133.47353526422012</v>
      </c>
      <c r="Q19" s="57">
        <f t="shared" si="1"/>
        <v>48.376951584110714</v>
      </c>
      <c r="T19" s="68">
        <f t="shared" si="5"/>
        <v>0.14504140513825417</v>
      </c>
      <c r="U19" s="69">
        <f>T19*'Assumed Values'!$D$8</f>
        <v>0</v>
      </c>
    </row>
    <row r="20" spans="3:21">
      <c r="F20" s="54">
        <f t="shared" si="2"/>
        <v>2034</v>
      </c>
      <c r="G20" s="63">
        <f t="shared" si="6"/>
        <v>30769.637011061819</v>
      </c>
      <c r="H20" s="62">
        <f t="shared" si="8"/>
        <v>2.024087167015387E-2</v>
      </c>
      <c r="I20" s="54">
        <f>IF(AND(F20&gt;='Inputs &amp; Outputs'!B$13,F20&lt;'Inputs &amp; Outputs'!B$13+'Inputs &amp; Outputs'!B$19),1,0)</f>
        <v>1</v>
      </c>
      <c r="J20" s="55">
        <f>I20*'Inputs &amp; Outputs'!B$16*'Benefit Calculations'!G20*('Benefit Calculations'!C$4-'Benefit Calculations'!C$5)</f>
        <v>569.14296002506285</v>
      </c>
      <c r="K20" s="71">
        <f t="shared" si="3"/>
        <v>0.16311704087210127</v>
      </c>
      <c r="L20" s="56">
        <f>K20*'Assumed Values'!$C$8</f>
        <v>1224.6827428677364</v>
      </c>
      <c r="M20" s="57">
        <f t="shared" si="0"/>
        <v>414.84241633373694</v>
      </c>
      <c r="N20" s="55">
        <f>I20*'Inputs &amp; Outputs'!B$16*'Benefit Calculations'!G20*('Benefit Calculations'!D$4-'Benefit Calculations'!D$5)</f>
        <v>249.41635915004179</v>
      </c>
      <c r="O20" s="71">
        <f t="shared" si="4"/>
        <v>7.1483021502816255E-2</v>
      </c>
      <c r="P20" s="56">
        <f>ABS(O20*'Assumed Values'!$C$7)</f>
        <v>136.17515596286498</v>
      </c>
      <c r="Q20" s="57">
        <f t="shared" si="1"/>
        <v>46.127236684970057</v>
      </c>
      <c r="T20" s="68">
        <f t="shared" si="5"/>
        <v>0.14797716960651633</v>
      </c>
      <c r="U20" s="69">
        <f>T20*'Assumed Values'!$D$8</f>
        <v>0</v>
      </c>
    </row>
    <row r="21" spans="3:21">
      <c r="F21" s="54">
        <f t="shared" si="2"/>
        <v>2035</v>
      </c>
      <c r="G21" s="63">
        <f t="shared" si="6"/>
        <v>31392.441285139939</v>
      </c>
      <c r="H21" s="62">
        <f t="shared" si="8"/>
        <v>2.024087167015387E-2</v>
      </c>
      <c r="I21" s="54">
        <f>IF(AND(F21&gt;='Inputs &amp; Outputs'!B$13,F21&lt;'Inputs &amp; Outputs'!B$13+'Inputs &amp; Outputs'!B$19),1,0)</f>
        <v>1</v>
      </c>
      <c r="J21" s="55">
        <f>I21*'Inputs &amp; Outputs'!B$16*'Benefit Calculations'!G21*('Benefit Calculations'!C$4-'Benefit Calculations'!C$5)</f>
        <v>580.66290964090172</v>
      </c>
      <c r="K21" s="71">
        <f t="shared" si="3"/>
        <v>0.16641867196360874</v>
      </c>
      <c r="L21" s="56">
        <f>K21*'Assumed Values'!$C$8</f>
        <v>1249.4713891027743</v>
      </c>
      <c r="M21" s="57">
        <f t="shared" si="0"/>
        <v>395.55064340755581</v>
      </c>
      <c r="N21" s="55">
        <f>I21*'Inputs &amp; Outputs'!B$16*'Benefit Calculations'!G21*('Benefit Calculations'!D$4-'Benefit Calculations'!D$5)</f>
        <v>254.46476366803483</v>
      </c>
      <c r="O21" s="71">
        <f t="shared" si="4"/>
        <v>7.2929900167649622E-2</v>
      </c>
      <c r="P21" s="56">
        <f>ABS(O21*'Assumed Values'!$C$7)</f>
        <v>138.93145981937252</v>
      </c>
      <c r="Q21" s="57">
        <f t="shared" si="1"/>
        <v>43.982142208606867</v>
      </c>
      <c r="T21" s="68">
        <f t="shared" si="5"/>
        <v>0.15097235650663446</v>
      </c>
      <c r="U21" s="69">
        <f>T21*'Assumed Values'!$D$8</f>
        <v>0</v>
      </c>
    </row>
    <row r="22" spans="3:21">
      <c r="F22" s="54">
        <f t="shared" si="2"/>
        <v>2036</v>
      </c>
      <c r="G22" s="63">
        <f t="shared" si="6"/>
        <v>32027.851660605298</v>
      </c>
      <c r="H22" s="62">
        <f t="shared" si="8"/>
        <v>2.024087167015387E-2</v>
      </c>
      <c r="I22" s="54">
        <f>IF(AND(F22&gt;='Inputs &amp; Outputs'!B$13,F22&lt;'Inputs &amp; Outputs'!B$13+'Inputs &amp; Outputs'!B$19),1,0)</f>
        <v>1</v>
      </c>
      <c r="J22" s="55">
        <f>I22*'Inputs &amp; Outputs'!B$16*'Benefit Calculations'!G22*('Benefit Calculations'!C$4-'Benefit Calculations'!C$5)</f>
        <v>592.41603307856133</v>
      </c>
      <c r="K22" s="71">
        <f t="shared" si="3"/>
        <v>0.16978713094634157</v>
      </c>
      <c r="L22" s="56">
        <f>K22*'Assumed Values'!$C$8</f>
        <v>1274.7617791451326</v>
      </c>
      <c r="M22" s="57">
        <f t="shared" si="0"/>
        <v>377.15601235496723</v>
      </c>
      <c r="N22" s="55">
        <f>I22*'Inputs &amp; Outputs'!B$16*'Benefit Calculations'!G22*('Benefit Calculations'!D$4-'Benefit Calculations'!D$5)</f>
        <v>259.61535229401557</v>
      </c>
      <c r="O22" s="71">
        <f t="shared" si="4"/>
        <v>7.4406064917860157E-2</v>
      </c>
      <c r="P22" s="56">
        <f>ABS(O22*'Assumed Values'!$C$7)</f>
        <v>141.74355366852359</v>
      </c>
      <c r="Q22" s="57">
        <f t="shared" si="1"/>
        <v>41.936802901710038</v>
      </c>
      <c r="T22" s="68">
        <f t="shared" si="5"/>
        <v>0.15402816860042595</v>
      </c>
      <c r="U22" s="69">
        <f>T22*'Assumed Values'!$D$8</f>
        <v>0</v>
      </c>
    </row>
    <row r="23" spans="3:21">
      <c r="F23" s="54">
        <f t="shared" si="2"/>
        <v>2037</v>
      </c>
      <c r="G23" s="63">
        <f t="shared" si="6"/>
        <v>32676.123295938334</v>
      </c>
      <c r="H23" s="62">
        <f t="shared" si="8"/>
        <v>2.024087167015387E-2</v>
      </c>
      <c r="I23" s="54">
        <f>IF(AND(F23&gt;='Inputs &amp; Outputs'!B$13,F23&lt;'Inputs &amp; Outputs'!B$13+'Inputs &amp; Outputs'!B$19),1,0)</f>
        <v>1</v>
      </c>
      <c r="J23" s="55">
        <f>I23*'Inputs &amp; Outputs'!B$16*'Benefit Calculations'!G23*('Benefit Calculations'!C$4-'Benefit Calculations'!C$5)</f>
        <v>604.40704997944624</v>
      </c>
      <c r="K23" s="71">
        <f t="shared" si="3"/>
        <v>0.17322377047507015</v>
      </c>
      <c r="L23" s="56">
        <f>K23*'Assumed Values'!$C$8</f>
        <v>1300.5640687268267</v>
      </c>
      <c r="M23" s="57">
        <f t="shared" si="0"/>
        <v>359.61680261744971</v>
      </c>
      <c r="N23" s="55">
        <f>I23*'Inputs &amp; Outputs'!B$16*'Benefit Calculations'!G23*('Benefit Calculations'!D$4-'Benefit Calculations'!D$5)</f>
        <v>264.87019332340054</v>
      </c>
      <c r="O23" s="71">
        <f t="shared" si="4"/>
        <v>7.59121085293437E-2</v>
      </c>
      <c r="P23" s="56">
        <f>ABS(O23*'Assumed Values'!$C$7)</f>
        <v>144.61256674839976</v>
      </c>
      <c r="Q23" s="57">
        <f t="shared" si="1"/>
        <v>39.986579764018771</v>
      </c>
      <c r="T23" s="68">
        <f t="shared" si="5"/>
        <v>0.15714583299465604</v>
      </c>
      <c r="U23" s="69">
        <f>T23*'Assumed Values'!$D$8</f>
        <v>0</v>
      </c>
    </row>
    <row r="24" spans="3:21">
      <c r="F24" s="54">
        <f t="shared" si="2"/>
        <v>2038</v>
      </c>
      <c r="G24" s="63">
        <f t="shared" si="6"/>
        <v>33337.516514249546</v>
      </c>
      <c r="H24" s="62">
        <f t="shared" si="8"/>
        <v>2.024087167015387E-2</v>
      </c>
      <c r="I24" s="54">
        <f>IF(AND(F24&gt;='Inputs &amp; Outputs'!B$13,F24&lt;'Inputs &amp; Outputs'!B$13+'Inputs &amp; Outputs'!B$19),1,0)</f>
        <v>1</v>
      </c>
      <c r="J24" s="55">
        <f>I24*'Inputs &amp; Outputs'!B$16*'Benefit Calculations'!G24*('Benefit Calculations'!C$4-'Benefit Calculations'!C$5)</f>
        <v>616.64077551461639</v>
      </c>
      <c r="K24" s="71">
        <f t="shared" si="3"/>
        <v>0.17672997058347617</v>
      </c>
      <c r="L24" s="56">
        <f>K24*'Assumed Values'!$C$8</f>
        <v>1326.8886191407391</v>
      </c>
      <c r="M24" s="57">
        <f t="shared" si="0"/>
        <v>342.89323380342103</v>
      </c>
      <c r="N24" s="55">
        <f>I24*'Inputs &amp; Outputs'!B$16*'Benefit Calculations'!G24*('Benefit Calculations'!D$4-'Benefit Calculations'!D$5)</f>
        <v>270.23139691570827</v>
      </c>
      <c r="O24" s="71">
        <f t="shared" si="4"/>
        <v>7.7448635776296931E-2</v>
      </c>
      <c r="P24" s="56">
        <f>ABS(O24*'Assumed Values'!$C$7)</f>
        <v>147.53965115384565</v>
      </c>
      <c r="Q24" s="57">
        <f t="shared" si="1"/>
        <v>38.127049526682846</v>
      </c>
      <c r="T24" s="68">
        <f t="shared" si="5"/>
        <v>0.16032660163380025</v>
      </c>
      <c r="U24" s="69">
        <f>T24*'Assumed Values'!$D$8</f>
        <v>0</v>
      </c>
    </row>
    <row r="25" spans="3:21">
      <c r="F25" s="54">
        <f t="shared" si="2"/>
        <v>2039</v>
      </c>
      <c r="G25" s="63">
        <f t="shared" si="6"/>
        <v>34012.296907816104</v>
      </c>
      <c r="H25" s="62">
        <f t="shared" si="8"/>
        <v>2.024087167015387E-2</v>
      </c>
      <c r="I25" s="54">
        <f>IF(AND(F25&gt;='Inputs &amp; Outputs'!B$13,F25&lt;'Inputs &amp; Outputs'!B$13+'Inputs &amp; Outputs'!B$19),1,0)</f>
        <v>1</v>
      </c>
      <c r="J25" s="55">
        <f>I25*'Inputs &amp; Outputs'!B$16*'Benefit Calculations'!G25*('Benefit Calculations'!C$4-'Benefit Calculations'!C$5)</f>
        <v>629.12212231839192</v>
      </c>
      <c r="K25" s="71">
        <f t="shared" si="3"/>
        <v>0.18030713923832639</v>
      </c>
      <c r="L25" s="56">
        <f>K25*'Assumed Values'!$C$8</f>
        <v>1353.7460014013545</v>
      </c>
      <c r="M25" s="57">
        <f t="shared" si="0"/>
        <v>326.94737546299075</v>
      </c>
      <c r="N25" s="55">
        <f>I25*'Inputs &amp; Outputs'!B$16*'Benefit Calculations'!G25*('Benefit Calculations'!D$4-'Benefit Calculations'!D$5)</f>
        <v>275.70111594192554</v>
      </c>
      <c r="O25" s="71">
        <f t="shared" si="4"/>
        <v>7.9016263674073439E-2</v>
      </c>
      <c r="P25" s="56">
        <f>ABS(O25*'Assumed Values'!$C$7)</f>
        <v>150.5259822991099</v>
      </c>
      <c r="Q25" s="57">
        <f t="shared" si="1"/>
        <v>36.353994619919654</v>
      </c>
      <c r="T25" s="68">
        <f t="shared" si="5"/>
        <v>0.16357175180278188</v>
      </c>
      <c r="U25" s="69">
        <f>T25*'Assumed Values'!$D$8</f>
        <v>0</v>
      </c>
    </row>
    <row r="26" spans="3:21">
      <c r="F26" s="54">
        <f t="shared" si="2"/>
        <v>2040</v>
      </c>
      <c r="G26" s="63">
        <f t="shared" si="6"/>
        <v>34700.735444734382</v>
      </c>
      <c r="H26" s="62">
        <f t="shared" si="8"/>
        <v>2.024087167015387E-2</v>
      </c>
      <c r="I26" s="54">
        <f>IF(AND(F26&gt;='Inputs &amp; Outputs'!B$13,F26&lt;'Inputs &amp; Outputs'!B$13+'Inputs &amp; Outputs'!B$19),1,0)</f>
        <v>1</v>
      </c>
      <c r="J26" s="55">
        <f>I26*'Inputs &amp; Outputs'!B$16*'Benefit Calculations'!G26*('Benefit Calculations'!C$4-'Benefit Calculations'!C$5)</f>
        <v>641.85610246109331</v>
      </c>
      <c r="K26" s="71">
        <f t="shared" si="3"/>
        <v>0.1839567129048619</v>
      </c>
      <c r="L26" s="56">
        <f>K26*'Assumed Values'!$C$8</f>
        <v>1381.1470004897033</v>
      </c>
      <c r="M26" s="57">
        <f t="shared" si="0"/>
        <v>311.74306105853344</v>
      </c>
      <c r="N26" s="55">
        <f>I26*'Inputs &amp; Outputs'!B$16*'Benefit Calculations'!G26*('Benefit Calculations'!D$4-'Benefit Calculations'!D$5)</f>
        <v>281.28154684902427</v>
      </c>
      <c r="O26" s="71">
        <f t="shared" si="4"/>
        <v>8.0615621726955411E-2</v>
      </c>
      <c r="P26" s="56">
        <f>ABS(O26*'Assumed Values'!$C$7)</f>
        <v>153.57275938985006</v>
      </c>
      <c r="Q26" s="57">
        <f t="shared" si="1"/>
        <v>34.663393607213941</v>
      </c>
      <c r="T26" s="68">
        <f t="shared" si="5"/>
        <v>0.16688258663988426</v>
      </c>
      <c r="U26" s="69">
        <f>T26*'Assumed Values'!$D$8</f>
        <v>0</v>
      </c>
    </row>
    <row r="27" spans="3:21">
      <c r="F27" s="54">
        <f t="shared" si="2"/>
        <v>2041</v>
      </c>
      <c r="G27" s="63">
        <f t="shared" si="6"/>
        <v>35403.108577731211</v>
      </c>
      <c r="H27" s="62">
        <f t="shared" si="8"/>
        <v>2.024087167015387E-2</v>
      </c>
      <c r="I27" s="54">
        <f>IF(AND(F27&gt;='Inputs &amp; Outputs'!B$13,F27&lt;'Inputs &amp; Outputs'!B$13+'Inputs &amp; Outputs'!B$19),1,0)</f>
        <v>1</v>
      </c>
      <c r="J27" s="55">
        <f>I27*'Inputs &amp; Outputs'!B$16*'Benefit Calculations'!G27*('Benefit Calculations'!C$4-'Benefit Calculations'!C$5)</f>
        <v>654.84782946171345</v>
      </c>
      <c r="K27" s="71">
        <f t="shared" si="3"/>
        <v>0.18768015712363259</v>
      </c>
      <c r="L27" s="56">
        <f>K27*'Assumed Values'!$C$8</f>
        <v>1409.1026196842336</v>
      </c>
      <c r="M27" s="57">
        <f t="shared" si="0"/>
        <v>297.24580593596284</v>
      </c>
      <c r="N27" s="55">
        <f>I27*'Inputs &amp; Outputs'!B$16*'Benefit Calculations'!G27*('Benefit Calculations'!D$4-'Benefit Calculations'!D$5)</f>
        <v>286.97493054197776</v>
      </c>
      <c r="O27" s="71">
        <f t="shared" si="4"/>
        <v>8.2247352180940383E-2</v>
      </c>
      <c r="P27" s="56">
        <f>ABS(O27*'Assumed Values'!$C$7)</f>
        <v>156.68120590469144</v>
      </c>
      <c r="Q27" s="57">
        <f t="shared" si="1"/>
        <v>33.051412064364108</v>
      </c>
      <c r="T27" s="68">
        <f t="shared" si="5"/>
        <v>0.17026043566004551</v>
      </c>
      <c r="U27" s="69">
        <f>T27*'Assumed Values'!$D$8</f>
        <v>0</v>
      </c>
    </row>
    <row r="28" spans="3:21">
      <c r="F28" s="54">
        <f t="shared" si="2"/>
        <v>2042</v>
      </c>
      <c r="G28" s="63">
        <f t="shared" si="6"/>
        <v>36119.698355177592</v>
      </c>
      <c r="H28" s="62">
        <f t="shared" si="8"/>
        <v>2.024087167015387E-2</v>
      </c>
      <c r="I28" s="54">
        <f>IF(AND(F28&gt;='Inputs &amp; Outputs'!B$13,F28&lt;'Inputs &amp; Outputs'!B$13+'Inputs &amp; Outputs'!B$19),1,0)</f>
        <v>1</v>
      </c>
      <c r="J28" s="55">
        <f>I28*'Inputs &amp; Outputs'!B$16*'Benefit Calculations'!G28*('Benefit Calculations'!C$4-'Benefit Calculations'!C$5)</f>
        <v>668.10252034132679</v>
      </c>
      <c r="K28" s="71">
        <f t="shared" si="3"/>
        <v>0.19147896709900633</v>
      </c>
      <c r="L28" s="56">
        <f>K28*'Assumed Values'!$C$8</f>
        <v>1437.6240849793396</v>
      </c>
      <c r="M28" s="57">
        <f t="shared" si="0"/>
        <v>283.422729110658</v>
      </c>
      <c r="N28" s="55">
        <f>I28*'Inputs &amp; Outputs'!B$16*'Benefit Calculations'!G28*('Benefit Calculations'!D$4-'Benefit Calculations'!D$5)</f>
        <v>292.78355328362926</v>
      </c>
      <c r="O28" s="71">
        <f t="shared" si="4"/>
        <v>8.3912110281644733E-2</v>
      </c>
      <c r="P28" s="56">
        <f>ABS(O28*'Assumed Values'!$C$7)</f>
        <v>159.85257008653321</v>
      </c>
      <c r="Q28" s="57">
        <f t="shared" si="1"/>
        <v>31.514393882688097</v>
      </c>
      <c r="T28" s="68">
        <f t="shared" si="5"/>
        <v>0.17370665528874499</v>
      </c>
      <c r="U28" s="69">
        <f>T28*'Assumed Values'!$D$8</f>
        <v>0</v>
      </c>
    </row>
    <row r="29" spans="3:21">
      <c r="F29" s="54">
        <f t="shared" si="2"/>
        <v>2043</v>
      </c>
      <c r="G29" s="63">
        <f t="shared" si="6"/>
        <v>36850.792534349406</v>
      </c>
      <c r="H29" s="62">
        <f t="shared" si="8"/>
        <v>2.024087167015387E-2</v>
      </c>
      <c r="I29" s="54">
        <f>IF(AND(F29&gt;='Inputs &amp; Outputs'!B$13,F29&lt;'Inputs &amp; Outputs'!B$13+'Inputs &amp; Outputs'!B$19),1,0)</f>
        <v>1</v>
      </c>
      <c r="J29" s="55">
        <f>I29*'Inputs &amp; Outputs'!B$16*'Benefit Calculations'!G29*('Benefit Calculations'!C$4-'Benefit Calculations'!C$5)</f>
        <v>681.62549771806187</v>
      </c>
      <c r="K29" s="71">
        <f t="shared" si="3"/>
        <v>0.19535466829959092</v>
      </c>
      <c r="L29" s="56">
        <f>K29*'Assumed Values'!$C$8</f>
        <v>1466.7228495933286</v>
      </c>
      <c r="M29" s="57">
        <f t="shared" si="0"/>
        <v>270.24247869064629</v>
      </c>
      <c r="N29" s="55">
        <f>I29*'Inputs &amp; Outputs'!B$16*'Benefit Calculations'!G29*('Benefit Calculations'!D$4-'Benefit Calculations'!D$5)</f>
        <v>298.70974761277483</v>
      </c>
      <c r="O29" s="71">
        <f t="shared" si="4"/>
        <v>8.5610564537427311E-2</v>
      </c>
      <c r="P29" s="56">
        <f>ABS(O29*'Assumed Values'!$C$7)</f>
        <v>163.08812544379902</v>
      </c>
      <c r="Q29" s="57">
        <f t="shared" si="1"/>
        <v>30.048852976663802</v>
      </c>
      <c r="T29" s="68">
        <f t="shared" si="5"/>
        <v>0.17722262940669609</v>
      </c>
      <c r="U29" s="69">
        <f>T29*'Assumed Values'!$D$8</f>
        <v>0</v>
      </c>
    </row>
    <row r="30" spans="3:21">
      <c r="F30" s="54">
        <f t="shared" si="2"/>
        <v>2044</v>
      </c>
      <c r="G30" s="63">
        <f t="shared" si="6"/>
        <v>37596.684696980636</v>
      </c>
      <c r="H30" s="62">
        <f t="shared" si="8"/>
        <v>2.024087167015387E-2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42400</v>
      </c>
      <c r="H31" s="62">
        <f t="shared" si="8"/>
        <v>2.024087167015387E-2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43258.212958814525</v>
      </c>
      <c r="H32" s="62">
        <f t="shared" si="8"/>
        <v>2.024087167015387E-2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44133.796895994077</v>
      </c>
      <c r="H33" s="62">
        <f t="shared" si="8"/>
        <v>2.024087167015387E-2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45027.10341528253</v>
      </c>
      <c r="H34" s="62">
        <f t="shared" si="8"/>
        <v>2.024087167015387E-2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45938.491237190014</v>
      </c>
      <c r="H35" s="62">
        <f t="shared" si="8"/>
        <v>2.024087167015387E-2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46868.326343042463</v>
      </c>
      <c r="H36" s="62">
        <f t="shared" si="8"/>
        <v>2.024087167015387E-2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11327.381798337105</v>
      </c>
      <c r="K37" s="55">
        <f t="shared" ref="K37:Q37" si="9">SUM(K4:K36)</f>
        <v>3.246440928816698</v>
      </c>
      <c r="L37" s="58">
        <f t="shared" si="9"/>
        <v>24374.278493555765</v>
      </c>
      <c r="M37" s="59">
        <f t="shared" si="9"/>
        <v>8795.8024848211571</v>
      </c>
      <c r="N37" s="55">
        <f t="shared" si="9"/>
        <v>4964.0152391927695</v>
      </c>
      <c r="O37" s="55">
        <f t="shared" si="9"/>
        <v>1.4226925984035435</v>
      </c>
      <c r="P37" s="55">
        <f t="shared" si="9"/>
        <v>2710.2293999587509</v>
      </c>
      <c r="Q37" s="59">
        <f t="shared" si="9"/>
        <v>978.02453914256967</v>
      </c>
      <c r="T37" s="68">
        <f>SUM(T4:T36)</f>
        <v>2.9451192675676485</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118</v>
      </c>
      <c r="H2" s="92" t="s">
        <v>119</v>
      </c>
      <c r="I2" s="92" t="s">
        <v>55</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118</v>
      </c>
      <c r="H21" s="92" t="s">
        <v>119</v>
      </c>
      <c r="I21" s="92" t="s">
        <v>55</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118</v>
      </c>
      <c r="H2" s="92" t="s">
        <v>119</v>
      </c>
      <c r="I2" s="92" t="s">
        <v>55</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118</v>
      </c>
      <c r="H21" s="92" t="s">
        <v>119</v>
      </c>
      <c r="I21" s="92" t="s">
        <v>55</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475FEA-8846-4E12-AD0E-1CBF66EDA6E2}"/>
</file>

<file path=customXml/itemProps2.xml><?xml version="1.0" encoding="utf-8"?>
<ds:datastoreItem xmlns:ds="http://schemas.openxmlformats.org/officeDocument/2006/customXml" ds:itemID="{B0AA3745-7E24-4BD2-8A6F-8819A7EB308F}"/>
</file>

<file path=customXml/itemProps3.xml><?xml version="1.0" encoding="utf-8"?>
<ds:datastoreItem xmlns:ds="http://schemas.openxmlformats.org/officeDocument/2006/customXml" ds:itemID="{411C8E42-707E-4131-A899-D25874B857E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2018-10-31T01:35:50Z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