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-4,19/"/>
    </mc:Choice>
  </mc:AlternateContent>
  <xr:revisionPtr revIDLastSave="1338" documentId="11_F25DC773A252ABDACC10480171DC540E5BDE58ED" xr6:coauthVersionLast="47" xr6:coauthVersionMax="47" xr10:uidLastSave="{FCE8FFBF-8E13-4C46-A4FB-8E57AD88F72D}"/>
  <bookViews>
    <workbookView xWindow="-120" yWindow="-120" windowWidth="29040" windowHeight="15720" activeTab="2" xr2:uid="{00000000-000D-0000-FFFF-FFFF00000000}"/>
  </bookViews>
  <sheets>
    <sheet name="TDM" sheetId="2" r:id="rId1"/>
    <sheet name="Volumes" sheetId="3" r:id="rId2"/>
    <sheet name="Traffic" sheetId="1" r:id="rId3"/>
    <sheet name="Emissions" sheetId="6" r:id="rId4"/>
    <sheet name="Demographics" sheetId="4" r:id="rId5"/>
    <sheet name="CRF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C66" i="4"/>
  <c r="C64" i="4"/>
  <c r="D44" i="4" l="1"/>
  <c r="D45" i="4"/>
  <c r="D46" i="4"/>
  <c r="D43" i="4"/>
  <c r="C39" i="4" l="1"/>
  <c r="C37" i="4"/>
  <c r="C35" i="4"/>
  <c r="K32" i="1"/>
  <c r="S25" i="2"/>
  <c r="G32" i="1"/>
  <c r="E32" i="1"/>
  <c r="H32" i="1" s="1"/>
  <c r="J32" i="1" l="1"/>
  <c r="L3" i="1" l="1"/>
  <c r="L2" i="1"/>
  <c r="C36" i="6"/>
  <c r="C35" i="6"/>
  <c r="C29" i="6"/>
  <c r="C28" i="6"/>
  <c r="C18" i="6"/>
  <c r="C32" i="6" l="1"/>
  <c r="AP25" i="2"/>
  <c r="Q5" i="6" l="1"/>
  <c r="P5" i="6"/>
  <c r="O5" i="6"/>
  <c r="R5" i="6" s="1"/>
  <c r="R4" i="6"/>
  <c r="G42" i="1"/>
  <c r="G40" i="1"/>
  <c r="G39" i="1"/>
  <c r="I42" i="1" l="1"/>
  <c r="I40" i="1"/>
  <c r="I39" i="1"/>
  <c r="E42" i="1"/>
  <c r="E40" i="1"/>
  <c r="E39" i="1"/>
  <c r="C42" i="1"/>
  <c r="C40" i="1"/>
  <c r="C39" i="1"/>
  <c r="C13" i="1"/>
  <c r="I43" i="1" l="1"/>
  <c r="I41" i="1"/>
  <c r="G43" i="1"/>
  <c r="E43" i="1"/>
  <c r="E41" i="1"/>
  <c r="C43" i="1"/>
  <c r="C41" i="1"/>
  <c r="C44" i="1" s="1"/>
  <c r="G41" i="1"/>
  <c r="E44" i="1" l="1"/>
  <c r="I44" i="1"/>
  <c r="G44" i="1"/>
  <c r="D8" i="5"/>
  <c r="B58" i="4"/>
  <c r="C24" i="4" l="1"/>
  <c r="C28" i="4"/>
  <c r="C26" i="4"/>
  <c r="B8" i="4"/>
  <c r="B15" i="4" s="1"/>
  <c r="B9" i="4"/>
  <c r="B16" i="4" s="1"/>
  <c r="B26" i="1" l="1"/>
  <c r="B25" i="1"/>
  <c r="B24" i="1"/>
  <c r="B23" i="1"/>
  <c r="B22" i="1"/>
  <c r="C53" i="3"/>
  <c r="C55" i="3" s="1"/>
  <c r="C41" i="3"/>
  <c r="C43" i="3" s="1"/>
  <c r="C29" i="3"/>
  <c r="C31" i="3" s="1"/>
  <c r="C19" i="3"/>
  <c r="C17" i="3"/>
  <c r="C3" i="3"/>
  <c r="C35" i="3"/>
  <c r="C59" i="3" s="1"/>
  <c r="C7" i="3"/>
  <c r="C5" i="3" s="1"/>
  <c r="C15" i="1"/>
  <c r="C47" i="3" l="1"/>
  <c r="B27" i="1"/>
  <c r="L4" i="1" l="1"/>
</calcChain>
</file>

<file path=xl/sharedStrings.xml><?xml version="1.0" encoding="utf-8"?>
<sst xmlns="http://schemas.openxmlformats.org/spreadsheetml/2006/main" count="452" uniqueCount="221">
  <si>
    <t>AADT</t>
  </si>
  <si>
    <t>Volume Growth</t>
  </si>
  <si>
    <t>Total Volume</t>
  </si>
  <si>
    <t>HGAC TDM 2023</t>
  </si>
  <si>
    <t>HGAC TDM 2045</t>
  </si>
  <si>
    <t>% growth</t>
  </si>
  <si>
    <t>OBJECTID *</t>
  </si>
  <si>
    <t>Shape *</t>
  </si>
  <si>
    <t>FUNCL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</si>
  <si>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</si>
  <si>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</si>
  <si>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</si>
  <si>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</si>
  <si>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</si>
  <si>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</si>
  <si>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</si>
  <si>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</si>
  <si>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</si>
  <si>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</si>
  <si>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</si>
  <si>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</si>
  <si>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</si>
  <si>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</si>
  <si>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</si>
  <si>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</si>
  <si>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</si>
  <si>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</si>
  <si>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</si>
  <si>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</si>
  <si>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</si>
  <si>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</si>
  <si>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</si>
  <si>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</si>
  <si>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</si>
  <si>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</si>
  <si>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</si>
  <si>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</si>
  <si>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</si>
  <si>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</si>
  <si>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</si>
  <si>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</si>
  <si>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</si>
  <si>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</si>
  <si>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</si>
  <si>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</si>
  <si>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</si>
  <si>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</si>
  <si>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</si>
  <si>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</si>
  <si>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</si>
  <si>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</si>
  <si>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</si>
  <si>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SH 99</t>
  </si>
  <si>
    <t>22676-26027</t>
  </si>
  <si>
    <t>Mainlanes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</si>
  <si>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</si>
  <si>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</si>
  <si>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</si>
  <si>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</si>
  <si>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</si>
  <si>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</si>
  <si>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Travel Time Index (SB)</t>
  </si>
  <si>
    <t>Traffic operations</t>
  </si>
  <si>
    <t>Source</t>
  </si>
  <si>
    <t>Top 100 congested roadways of Texas</t>
  </si>
  <si>
    <t>Most congested roadways in texas 2022 spreadsheet</t>
  </si>
  <si>
    <t>TxDOT Roadway Inventory</t>
  </si>
  <si>
    <t>K factor</t>
  </si>
  <si>
    <t>Value</t>
  </si>
  <si>
    <t>Year</t>
  </si>
  <si>
    <t>Rank 79</t>
  </si>
  <si>
    <t>annual person delay per mile (person hr)</t>
  </si>
  <si>
    <t xml:space="preserve">AADT </t>
  </si>
  <si>
    <t>Bay Hill Blvd</t>
  </si>
  <si>
    <t>Cinco Ranch Blvd</t>
  </si>
  <si>
    <t>NB Ramps</t>
  </si>
  <si>
    <t>SB Ramps</t>
  </si>
  <si>
    <t xml:space="preserve">Cross Street </t>
  </si>
  <si>
    <t>(AADT 2022, H-GAC TCDS)</t>
  </si>
  <si>
    <t xml:space="preserve">SH 99 ML </t>
  </si>
  <si>
    <t>(AADT 2021, H-GAC TCDS)</t>
  </si>
  <si>
    <t>(AADT 2020, H-GAC TCDS)</t>
  </si>
  <si>
    <t>(AADT 2019, H-GAC TCDS)</t>
  </si>
  <si>
    <t>(AADT 2018, H-GAC TCDS)</t>
  </si>
  <si>
    <t>(AADT 2022, H-GAC TCDS) k=8%</t>
  </si>
  <si>
    <t>-</t>
  </si>
  <si>
    <t>Truck AADT percentage (2022)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</si>
  <si>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</si>
  <si>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</si>
  <si>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</si>
  <si>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</si>
  <si>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</si>
  <si>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</si>
  <si>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</si>
  <si>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</si>
  <si>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</si>
  <si>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</si>
  <si>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</si>
  <si>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</si>
  <si>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</si>
  <si>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</si>
  <si>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</si>
  <si>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</si>
  <si>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</si>
  <si>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</si>
  <si>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</si>
  <si>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</si>
  <si>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</si>
  <si>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</si>
  <si>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</si>
  <si>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</si>
  <si>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</si>
  <si>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</si>
  <si>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</si>
  <si>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</si>
  <si>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</si>
  <si>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Data: 5 miles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</si>
  <si>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</si>
  <si>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</si>
  <si>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</si>
  <si>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</si>
  <si>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</si>
  <si>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</si>
  <si>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</si>
  <si>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</si>
  <si>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</si>
  <si>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</si>
  <si>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Install Sidewalks</t>
  </si>
  <si>
    <t>Pedestrian, Cyclist</t>
  </si>
  <si>
    <t>Add Through Lane</t>
  </si>
  <si>
    <t>Vehicle Movements/Manner of Collision</t>
  </si>
  <si>
    <t>Add Right Turn Lane</t>
  </si>
  <si>
    <t>Intersection Related</t>
  </si>
  <si>
    <t>Vehicle Movements/Manner of Collision, Intersection Related</t>
  </si>
  <si>
    <t>Consolidated CRF</t>
  </si>
  <si>
    <t>LOS</t>
  </si>
  <si>
    <t>Road</t>
  </si>
  <si>
    <t>Direction</t>
  </si>
  <si>
    <t>NB</t>
  </si>
  <si>
    <t>Frontage Rd</t>
  </si>
  <si>
    <t>Limits</t>
  </si>
  <si>
    <t>Free flow Speed (2023)</t>
  </si>
  <si>
    <t>Free flow Speed (2045)</t>
  </si>
  <si>
    <t>Bay Hill Blvd to Cinco Ranch blvd</t>
  </si>
  <si>
    <t>2-way Volume</t>
  </si>
  <si>
    <t xml:space="preserve">SH 99 Frontage Rd  LOS (TDM Volumes) </t>
  </si>
  <si>
    <t>2045 NB</t>
  </si>
  <si>
    <t>FID</t>
  </si>
  <si>
    <t>Shape</t>
  </si>
  <si>
    <t>PROJ_ID</t>
  </si>
  <si>
    <t>PROJ_IDA</t>
  </si>
  <si>
    <t>26115-33627</t>
  </si>
  <si>
    <t>2045 B</t>
  </si>
  <si>
    <t>Bay Hill Blvd to Cinco Ranch Blvd</t>
  </si>
  <si>
    <t>SH 99 FRONTAGE RD</t>
  </si>
  <si>
    <t>41564-41829</t>
  </si>
  <si>
    <t>41828-33625</t>
  </si>
  <si>
    <t>41829-41828</t>
  </si>
  <si>
    <t>2045 Frontage Rd</t>
  </si>
  <si>
    <t>2023 ML</t>
  </si>
  <si>
    <t>2045  ML No Build</t>
  </si>
  <si>
    <t>2045 ML Build</t>
  </si>
  <si>
    <t>INPUTS</t>
  </si>
  <si>
    <t>Project Information</t>
  </si>
  <si>
    <t>Project Title:</t>
  </si>
  <si>
    <t>SH 99 FR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</si>
  <si>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</si>
  <si>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</si>
  <si>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</si>
  <si>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</si>
  <si>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</si>
  <si>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</si>
  <si>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</si>
  <si>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</si>
  <si>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</si>
  <si>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</si>
  <si>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</si>
  <si>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</si>
  <si>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</si>
  <si>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</si>
  <si>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</si>
  <si>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</si>
  <si>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</si>
  <si>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</si>
  <si>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</si>
  <si>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</si>
  <si>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</si>
  <si>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</si>
  <si>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</si>
  <si>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</si>
  <si>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</si>
  <si>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</si>
  <si>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</si>
  <si>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Avg. Speed before improvements (2045 NB)</t>
  </si>
  <si>
    <t>Avg. Speed after improvements (2045 B)</t>
  </si>
  <si>
    <t>PM 4 Hr</t>
  </si>
  <si>
    <t>MD 6 Hr</t>
  </si>
  <si>
    <t>AM 3 Hr</t>
  </si>
  <si>
    <t>Avg. Spd</t>
  </si>
  <si>
    <t>Speed</t>
  </si>
  <si>
    <t>Non-Freeway</t>
  </si>
  <si>
    <t>Volume (2045 NB)</t>
  </si>
  <si>
    <t>Volume (2045 B)</t>
  </si>
  <si>
    <t>V/C Ratio</t>
  </si>
  <si>
    <t>TDM PM Peak 
V/C Ratio</t>
  </si>
  <si>
    <t>LOS B</t>
  </si>
  <si>
    <t>Within 1/4 mile buffer</t>
  </si>
  <si>
    <t>Education facilities</t>
  </si>
  <si>
    <t>Social services facilities</t>
  </si>
  <si>
    <t>Medical facilities</t>
  </si>
  <si>
    <t>LG Counseling- Katy</t>
  </si>
  <si>
    <t>Residential</t>
  </si>
  <si>
    <t>Land Use Growth (2 miles buffer)</t>
  </si>
  <si>
    <t>Data: 2 miles buffer</t>
  </si>
  <si>
    <t>Commercial</t>
  </si>
  <si>
    <t>Industrial</t>
  </si>
  <si>
    <t>Multiple</t>
  </si>
  <si>
    <t>Current</t>
  </si>
  <si>
    <t>Fort Bend County Forecast</t>
  </si>
  <si>
    <t>Assumed K factor= 0.1, D factor= 0.5, HCM 7 Exhibit 12-41</t>
  </si>
  <si>
    <t>Cinco Ranch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</si>
</sst>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#,##0.0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7" xfId="0" applyBorder="1"/>
    <xf numFmtId="2" fontId="0" fillId="0" borderId="1" xfId="0" applyNumberFormat="1" applyBorder="1"/>
    <xf numFmtId="0" fontId="0" fillId="0" borderId="9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8" xfId="0" applyFill="1" applyBorder="1"/>
    <xf numFmtId="0" fontId="0" fillId="9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0" fontId="0" fillId="0" borderId="0" xfId="0" applyNumberFormat="1"/>
    <xf numFmtId="0" fontId="2" fillId="0" borderId="16" xfId="0" applyFont="1" applyBorder="1"/>
    <xf numFmtId="0" fontId="2" fillId="0" borderId="17" xfId="0" applyFont="1" applyBorder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0" fillId="0" borderId="19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/>
    </xf>
    <xf numFmtId="0" fontId="10" fillId="0" borderId="2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0" fillId="12" borderId="1" xfId="0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3" fontId="0" fillId="12" borderId="1" xfId="0" applyNumberFormat="1" applyFill="1" applyBorder="1" applyAlignment="1" applyProtection="1">
      <alignment horizontal="left" vertical="center"/>
      <protection locked="0"/>
    </xf>
    <xf numFmtId="167" fontId="0" fillId="12" borderId="1" xfId="0" applyNumberFormat="1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horizontal="left" vertical="center" wrapText="1"/>
    </xf>
    <xf numFmtId="0" fontId="0" fillId="13" borderId="25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9" fillId="14" borderId="1" xfId="0" applyFont="1" applyFill="1" applyBorder="1" applyAlignment="1">
      <alignment vertical="center"/>
    </xf>
    <xf numFmtId="168" fontId="0" fillId="6" borderId="1" xfId="0" applyNumberFormat="1" applyFill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6" borderId="1" xfId="2" applyFont="1" applyFill="1" applyBorder="1" applyAlignment="1" applyProtection="1">
      <alignment horizontal="left" vertic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6" fontId="0" fillId="0" borderId="0" xfId="0" applyNumberFormat="1"/>
    <xf numFmtId="0" fontId="2" fillId="12" borderId="11" xfId="0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9" fontId="0" fillId="0" borderId="0" xfId="1" applyFont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vertical="center"/>
    </xf>
    <xf numFmtId="2" fontId="2" fillId="16" borderId="1" xfId="0" applyNumberFormat="1" applyFont="1" applyFill="1" applyBorder="1" applyAlignment="1">
      <alignment horizontal="center"/>
    </xf>
    <xf numFmtId="9" fontId="2" fillId="0" borderId="1" xfId="0" applyNumberFormat="1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28</xdr:row>
      <xdr:rowOff>0</xdr:rowOff>
    </xdr:from>
    <xdr:to>
      <xdr:col>19</xdr:col>
      <xdr:colOff>312937</xdr:colOff>
      <xdr:row>52</xdr:row>
      <xdr:rowOff>40424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57A81B31-7B1B-4681-ABF9-0B7C32490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6191250"/>
          <a:ext cx="5968882" cy="4850549"/>
        </a:xfrm>
        <a:prstGeom prst="rect">
          <a:avLst/>
        </a:prstGeom>
      </xdr:spPr>
    </xdr:pic>
    <xdr:clientData/>
  </xdr:twoCellAnchor>
  <xdr:twoCellAnchor>
    <xdr:from>
      <xdr:col>11</xdr:col>
      <xdr:colOff>563880</xdr:colOff>
      <xdr:row>47</xdr:row>
      <xdr:rowOff>91889</xdr:rowOff>
    </xdr:from>
    <xdr:to>
      <xdr:col>18</xdr:col>
      <xdr:colOff>457200</xdr:colOff>
      <xdr:row>48</xdr:row>
      <xdr:rowOff>84269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4953EC-F11B-42E5-85CB-7867A9D4933B}"/>
            </a:ext>
          </a:extLst>
        </xdr:cNvPr>
        <xdr:cNvSpPr/>
      </xdr:nvSpPr>
      <xdr:spPr>
        <a:xfrm>
          <a:off x="10077674" y="9773771"/>
          <a:ext cx="4891144" cy="1828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1591235</xdr:colOff>
      <xdr:row>44</xdr:row>
      <xdr:rowOff>145677</xdr:rowOff>
    </xdr:from>
    <xdr:to>
      <xdr:col>9</xdr:col>
      <xdr:colOff>231873</xdr:colOff>
      <xdr:row>79</xdr:row>
      <xdr:rowOff>13239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E7F251-5460-85D8-559D-B8C011364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235" y="9256059"/>
          <a:ext cx="7392432" cy="6535062"/>
        </a:xfrm>
        <a:prstGeom prst="rect">
          <a:avLst/>
        </a:prstGeom>
      </xdr:spPr>
    </xdr:pic>
    <xdr:clientData/>
  </xdr:twoCellAnchor>
  <xdr:twoCellAnchor>
    <xdr:from>
      <xdr:col>0</xdr:col>
      <xdr:colOff>1718087</xdr:colOff>
      <xdr:row>63</xdr:row>
      <xdr:rowOff>103093</xdr:rowOff>
    </xdr:from>
    <xdr:to>
      <xdr:col>4</xdr:col>
      <xdr:colOff>100854</xdr:colOff>
      <xdr:row>64</xdr:row>
      <xdr:rowOff>123264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5172ADB-F88B-4666-D01B-045DFDA13EB0}"/>
            </a:ext>
          </a:extLst>
        </xdr:cNvPr>
        <xdr:cNvSpPr/>
      </xdr:nvSpPr>
      <xdr:spPr>
        <a:xfrm>
          <a:off x="1718087" y="12832975"/>
          <a:ext cx="2898738" cy="2106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5"/>
  <sheetViews>
    <sheetView workbookViewId="0">
      <selection activeCell="I27" sqref="I27:CF31"/>
    </sheetView>
  </sheetViews>
  <sheetFormatPr defaultRowHeight="15" x14ac:dyDescent="0.25"/>
  <cols>
    <col min="4" max="4" width="12" customWidth="1"/>
  </cols>
  <sheetData>
    <row r="1" spans="1:45" x14ac:dyDescent="0.25">
      <c r="A1" s="6">
        <v>2023</v>
      </c>
      <c r="B1" s="7" t="s">
        <v>52</v>
      </c>
      <c r="C1" s="8" t="s">
        <v>54</v>
      </c>
      <c r="D1" s="8"/>
      <c r="E1" s="9" t="s">
        <v>153</v>
      </c>
      <c r="F1" s="9"/>
      <c r="G1" s="9"/>
      <c r="H1" s="9"/>
    </row>
    <row r="2" spans="1:45" x14ac:dyDescent="0.25">
      <c r="A2" s="5"/>
    </row>
    <row r="3" spans="1:45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" t="s">
        <v>37</v>
      </c>
      <c r="AG3" s="2" t="s">
        <v>38</v>
      </c>
      <c r="AH3" s="2" t="s">
        <v>39</v>
      </c>
      <c r="AI3" s="2" t="s">
        <v>40</v>
      </c>
      <c r="AJ3" s="2" t="s">
        <v>41</v>
      </c>
      <c r="AK3" s="2" t="s">
        <v>42</v>
      </c>
      <c r="AL3" s="2" t="s">
        <v>43</v>
      </c>
      <c r="AM3" s="2" t="s">
        <v>44</v>
      </c>
      <c r="AN3" s="2" t="s">
        <v>45</v>
      </c>
      <c r="AO3" s="2" t="s">
        <v>46</v>
      </c>
      <c r="AP3" s="2" t="s">
        <v>47</v>
      </c>
      <c r="AQ3" s="2" t="s">
        <v>48</v>
      </c>
      <c r="AR3" s="2" t="s">
        <v>49</v>
      </c>
      <c r="AS3" s="2" t="s">
        <v>50</v>
      </c>
    </row>
    <row r="4" spans="1:45" x14ac:dyDescent="0.25">
      <c r="A4" s="2">
        <v>8660</v>
      </c>
      <c r="B4" s="2" t="s">
        <v>51</v>
      </c>
      <c r="C4" s="2">
        <v>11</v>
      </c>
      <c r="D4" s="2" t="s">
        <v>52</v>
      </c>
      <c r="E4" s="2" t="s">
        <v>53</v>
      </c>
      <c r="F4" s="2">
        <v>22676</v>
      </c>
      <c r="G4" s="2">
        <v>26027</v>
      </c>
      <c r="H4" s="2">
        <v>2</v>
      </c>
      <c r="I4" s="2">
        <v>0.27661999999999998</v>
      </c>
      <c r="J4" s="2">
        <v>3</v>
      </c>
      <c r="K4" s="2">
        <v>3</v>
      </c>
      <c r="L4" s="2">
        <v>100800</v>
      </c>
      <c r="M4" s="2">
        <v>61.79</v>
      </c>
      <c r="N4" s="2">
        <v>0.26861000000000002</v>
      </c>
      <c r="O4" s="2">
        <v>62</v>
      </c>
      <c r="P4" s="2">
        <v>15551.54004</v>
      </c>
      <c r="Q4" s="2">
        <v>0.43114000000000002</v>
      </c>
      <c r="R4" s="2">
        <v>0.92569000000000001</v>
      </c>
      <c r="S4" s="2">
        <v>15551.54004</v>
      </c>
      <c r="T4" s="11">
        <v>43.24</v>
      </c>
      <c r="U4" s="2">
        <v>0.38384000000000001</v>
      </c>
      <c r="V4" s="2">
        <v>15072.07617</v>
      </c>
      <c r="W4" s="2">
        <v>0.30313000000000001</v>
      </c>
      <c r="X4" s="2">
        <v>0.59809999999999997</v>
      </c>
      <c r="Y4" s="2">
        <v>15072.07617</v>
      </c>
      <c r="Z4" s="11">
        <v>56.21</v>
      </c>
      <c r="AA4" s="2">
        <v>0.29526999999999998</v>
      </c>
      <c r="AB4" s="2">
        <v>8553.2333999999992</v>
      </c>
      <c r="AC4" s="2">
        <v>0.32289000000000001</v>
      </c>
      <c r="AD4" s="2">
        <v>0.67883000000000004</v>
      </c>
      <c r="AE4" s="2">
        <v>8553.2333999999992</v>
      </c>
      <c r="AF4" s="11">
        <v>53.52</v>
      </c>
      <c r="AG4" s="2">
        <v>0.31011</v>
      </c>
      <c r="AH4" s="2">
        <v>49396.542970000002</v>
      </c>
      <c r="AI4" s="2">
        <v>13664.07129</v>
      </c>
      <c r="AJ4" s="2">
        <v>161.91281000000001</v>
      </c>
      <c r="AK4" s="2">
        <v>44.207689999999999</v>
      </c>
      <c r="AL4" s="2">
        <v>74.172520000000006</v>
      </c>
      <c r="AM4" s="2">
        <v>99.488140000000001</v>
      </c>
      <c r="AN4" s="2">
        <v>45.751280000000001</v>
      </c>
      <c r="AO4" s="2">
        <v>263.61962999999997</v>
      </c>
      <c r="AP4" s="2">
        <v>3.0737700000000001</v>
      </c>
      <c r="AQ4" s="2">
        <v>49396.542970000002</v>
      </c>
      <c r="AR4" s="2">
        <v>3.2372700000000001</v>
      </c>
      <c r="AS4" s="2">
        <v>1460.5370660000001</v>
      </c>
    </row>
    <row r="6" spans="1:45" x14ac:dyDescent="0.25">
      <c r="A6" s="6" t="s">
        <v>146</v>
      </c>
      <c r="B6" s="7" t="s">
        <v>52</v>
      </c>
      <c r="C6" s="8" t="s">
        <v>54</v>
      </c>
      <c r="D6" s="8"/>
      <c r="E6" s="9" t="s">
        <v>153</v>
      </c>
      <c r="F6" s="9"/>
      <c r="G6" s="9"/>
      <c r="H6" s="9"/>
    </row>
    <row r="8" spans="1:45" x14ac:dyDescent="0.25">
      <c r="A8" s="2" t="s">
        <v>147</v>
      </c>
      <c r="B8" s="2" t="s">
        <v>148</v>
      </c>
      <c r="C8" s="2" t="s">
        <v>9</v>
      </c>
      <c r="D8" s="2" t="s">
        <v>149</v>
      </c>
      <c r="E8" s="2" t="s">
        <v>150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2" t="s">
        <v>18</v>
      </c>
      <c r="O8" s="2" t="s">
        <v>19</v>
      </c>
      <c r="P8" s="2" t="s">
        <v>20</v>
      </c>
      <c r="Q8" s="2" t="s">
        <v>21</v>
      </c>
      <c r="R8" s="2" t="s">
        <v>22</v>
      </c>
      <c r="S8" s="2" t="s">
        <v>23</v>
      </c>
      <c r="T8" s="2" t="s">
        <v>24</v>
      </c>
      <c r="U8" s="2" t="s">
        <v>25</v>
      </c>
      <c r="V8" s="2" t="s">
        <v>26</v>
      </c>
      <c r="W8" s="2" t="s">
        <v>27</v>
      </c>
      <c r="X8" s="2" t="s">
        <v>28</v>
      </c>
      <c r="Y8" s="2" t="s">
        <v>29</v>
      </c>
      <c r="Z8" s="2" t="s">
        <v>30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2" t="s">
        <v>38</v>
      </c>
      <c r="AI8" s="2" t="s">
        <v>39</v>
      </c>
      <c r="AJ8" s="2" t="s">
        <v>40</v>
      </c>
      <c r="AK8" s="2" t="s">
        <v>42</v>
      </c>
      <c r="AL8" s="2" t="s">
        <v>43</v>
      </c>
      <c r="AM8" s="2" t="s">
        <v>44</v>
      </c>
      <c r="AN8" s="2" t="s">
        <v>45</v>
      </c>
      <c r="AO8" s="2" t="s">
        <v>46</v>
      </c>
      <c r="AP8" s="2" t="s">
        <v>48</v>
      </c>
      <c r="AQ8" s="2" t="s">
        <v>48</v>
      </c>
      <c r="AR8" s="2" t="s">
        <v>49</v>
      </c>
      <c r="AS8" s="2" t="s">
        <v>50</v>
      </c>
    </row>
    <row r="9" spans="1:45" x14ac:dyDescent="0.25">
      <c r="A9" s="2">
        <v>8846</v>
      </c>
      <c r="B9" s="2" t="s">
        <v>51</v>
      </c>
      <c r="C9" s="2" t="s">
        <v>52</v>
      </c>
      <c r="D9" s="2">
        <v>18022</v>
      </c>
      <c r="E9" s="2">
        <v>0</v>
      </c>
      <c r="F9" s="2" t="s">
        <v>151</v>
      </c>
      <c r="G9" s="2">
        <v>26115</v>
      </c>
      <c r="H9" s="2">
        <v>33627</v>
      </c>
      <c r="I9" s="2">
        <v>3</v>
      </c>
      <c r="J9" s="2">
        <v>0.47999000000000003</v>
      </c>
      <c r="K9" s="2">
        <v>3</v>
      </c>
      <c r="L9" s="2">
        <v>3</v>
      </c>
      <c r="M9" s="2">
        <v>151200</v>
      </c>
      <c r="N9" s="2">
        <v>61.82</v>
      </c>
      <c r="O9" s="2">
        <v>0.46586</v>
      </c>
      <c r="P9" s="2">
        <v>62</v>
      </c>
      <c r="Q9" s="2">
        <v>28648.61133</v>
      </c>
      <c r="R9" s="2">
        <v>1.04667</v>
      </c>
      <c r="S9" s="2">
        <v>1.1368499999999999</v>
      </c>
      <c r="T9" s="2">
        <v>28648.61133</v>
      </c>
      <c r="U9" s="2">
        <v>36.93</v>
      </c>
      <c r="V9" s="2">
        <v>0.77983999999999998</v>
      </c>
      <c r="W9" s="2">
        <v>31317.679690000001</v>
      </c>
      <c r="X9" s="2">
        <v>0.65686999999999995</v>
      </c>
      <c r="Y9" s="2">
        <v>0.82850999999999997</v>
      </c>
      <c r="Z9" s="2">
        <v>31317.679690000001</v>
      </c>
      <c r="AA9" s="2">
        <v>47.5</v>
      </c>
      <c r="AB9" s="2">
        <v>0.60629999999999995</v>
      </c>
      <c r="AC9" s="2">
        <v>18523.98633</v>
      </c>
      <c r="AD9" s="2">
        <v>0.81086999999999998</v>
      </c>
      <c r="AE9" s="2">
        <v>0.98011000000000004</v>
      </c>
      <c r="AF9" s="11">
        <v>18523.98633</v>
      </c>
      <c r="AG9" s="2">
        <v>40.86</v>
      </c>
      <c r="AH9" s="2">
        <v>0.70482999999999996</v>
      </c>
      <c r="AI9" s="2">
        <v>93260.796879999994</v>
      </c>
      <c r="AJ9" s="2">
        <v>44764.25</v>
      </c>
      <c r="AK9" s="2">
        <v>217.60471000000001</v>
      </c>
      <c r="AL9" s="2">
        <v>316.46679999999998</v>
      </c>
      <c r="AM9" s="2">
        <v>372.35437000000002</v>
      </c>
      <c r="AN9" s="2">
        <v>114.68299</v>
      </c>
      <c r="AO9" s="2">
        <v>1021.10889</v>
      </c>
      <c r="AP9" s="2">
        <v>93260.796879999994</v>
      </c>
      <c r="AQ9" s="2">
        <v>79884.835940000004</v>
      </c>
      <c r="AR9" s="2">
        <v>6.0119100000000003</v>
      </c>
      <c r="AS9" s="2">
        <v>1460.5370660000001</v>
      </c>
    </row>
    <row r="11" spans="1:45" x14ac:dyDescent="0.25">
      <c r="A11" s="6" t="s">
        <v>152</v>
      </c>
      <c r="B11" s="7" t="s">
        <v>52</v>
      </c>
      <c r="C11" s="8" t="s">
        <v>54</v>
      </c>
      <c r="D11" s="8"/>
      <c r="E11" s="9" t="s">
        <v>153</v>
      </c>
      <c r="F11" s="9"/>
      <c r="G11" s="9"/>
      <c r="H11" s="9"/>
    </row>
    <row r="13" spans="1:45" x14ac:dyDescent="0.25">
      <c r="A13" s="2" t="s">
        <v>147</v>
      </c>
      <c r="B13" s="2" t="s">
        <v>148</v>
      </c>
      <c r="C13" s="2" t="s">
        <v>9</v>
      </c>
      <c r="D13" s="2" t="s">
        <v>149</v>
      </c>
      <c r="E13" s="2" t="s">
        <v>150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14</v>
      </c>
      <c r="K13" s="2" t="s">
        <v>15</v>
      </c>
      <c r="L13" s="2" t="s">
        <v>16</v>
      </c>
      <c r="M13" s="2" t="s">
        <v>17</v>
      </c>
      <c r="N13" s="2" t="s">
        <v>18</v>
      </c>
      <c r="O13" s="2" t="s">
        <v>19</v>
      </c>
      <c r="P13" s="2" t="s">
        <v>20</v>
      </c>
      <c r="Q13" s="2" t="s">
        <v>21</v>
      </c>
      <c r="R13" s="2" t="s">
        <v>22</v>
      </c>
      <c r="S13" s="2" t="s">
        <v>23</v>
      </c>
      <c r="T13" s="2" t="s">
        <v>24</v>
      </c>
      <c r="U13" s="2" t="s">
        <v>25</v>
      </c>
      <c r="V13" s="2" t="s">
        <v>26</v>
      </c>
      <c r="W13" s="2" t="s">
        <v>27</v>
      </c>
      <c r="X13" s="2" t="s">
        <v>28</v>
      </c>
      <c r="Y13" s="2" t="s">
        <v>29</v>
      </c>
      <c r="Z13" s="2" t="s">
        <v>30</v>
      </c>
      <c r="AA13" s="2" t="s">
        <v>31</v>
      </c>
      <c r="AB13" s="2" t="s">
        <v>32</v>
      </c>
      <c r="AC13" s="2" t="s">
        <v>33</v>
      </c>
      <c r="AD13" s="2" t="s">
        <v>34</v>
      </c>
      <c r="AE13" s="2" t="s">
        <v>35</v>
      </c>
      <c r="AF13" s="2" t="s">
        <v>36</v>
      </c>
      <c r="AG13" s="2" t="s">
        <v>37</v>
      </c>
      <c r="AH13" s="2" t="s">
        <v>38</v>
      </c>
      <c r="AI13" s="2" t="s">
        <v>39</v>
      </c>
      <c r="AJ13" s="2" t="s">
        <v>40</v>
      </c>
      <c r="AK13" s="2" t="s">
        <v>42</v>
      </c>
      <c r="AL13" s="2" t="s">
        <v>43</v>
      </c>
      <c r="AM13" s="2" t="s">
        <v>44</v>
      </c>
      <c r="AN13" s="2" t="s">
        <v>45</v>
      </c>
      <c r="AO13" s="2" t="s">
        <v>46</v>
      </c>
      <c r="AP13" s="2" t="s">
        <v>48</v>
      </c>
      <c r="AQ13" s="2" t="s">
        <v>48</v>
      </c>
      <c r="AR13" s="2" t="s">
        <v>49</v>
      </c>
      <c r="AS13" s="2" t="s">
        <v>50</v>
      </c>
    </row>
    <row r="14" spans="1:45" x14ac:dyDescent="0.25">
      <c r="A14" s="2">
        <v>8851</v>
      </c>
      <c r="B14" s="2" t="s">
        <v>51</v>
      </c>
      <c r="C14" s="2" t="s">
        <v>52</v>
      </c>
      <c r="D14" s="2">
        <v>18022</v>
      </c>
      <c r="E14" s="2">
        <v>0</v>
      </c>
      <c r="F14" s="2" t="s">
        <v>151</v>
      </c>
      <c r="G14" s="2">
        <v>26115</v>
      </c>
      <c r="H14" s="2">
        <v>33627</v>
      </c>
      <c r="I14" s="2">
        <v>3</v>
      </c>
      <c r="J14" s="2">
        <v>0.47999000000000003</v>
      </c>
      <c r="K14" s="2">
        <v>3</v>
      </c>
      <c r="L14" s="2">
        <v>3</v>
      </c>
      <c r="M14" s="2">
        <v>151200</v>
      </c>
      <c r="N14" s="2">
        <v>61.82</v>
      </c>
      <c r="O14" s="2">
        <v>0.46586</v>
      </c>
      <c r="P14" s="2">
        <v>62</v>
      </c>
      <c r="Q14" s="2">
        <v>26475.396479999999</v>
      </c>
      <c r="R14" s="2">
        <v>0.90620999999999996</v>
      </c>
      <c r="S14" s="2">
        <v>1.05061</v>
      </c>
      <c r="T14" s="2">
        <v>26475.396479999999</v>
      </c>
      <c r="U14" s="2">
        <v>38.950000000000003</v>
      </c>
      <c r="V14" s="2">
        <v>0.73938999999999999</v>
      </c>
      <c r="W14" s="2">
        <v>30136.125</v>
      </c>
      <c r="X14" s="2">
        <v>0.63263999999999998</v>
      </c>
      <c r="Y14" s="2">
        <v>0.79725000000000001</v>
      </c>
      <c r="Z14" s="2">
        <v>30136.125</v>
      </c>
      <c r="AA14" s="2">
        <v>48.84</v>
      </c>
      <c r="AB14" s="2">
        <v>0.58967000000000003</v>
      </c>
      <c r="AC14" s="2">
        <v>17525.583979999999</v>
      </c>
      <c r="AD14" s="2">
        <v>0.74982000000000004</v>
      </c>
      <c r="AE14" s="2">
        <v>0.92727999999999999</v>
      </c>
      <c r="AF14" s="2">
        <v>17525.583979999999</v>
      </c>
      <c r="AG14" s="2">
        <v>43.17</v>
      </c>
      <c r="AH14" s="2">
        <v>0.66712000000000005</v>
      </c>
      <c r="AI14" s="2">
        <v>88815.9375</v>
      </c>
      <c r="AJ14" s="2">
        <v>42630.761720000002</v>
      </c>
      <c r="AK14" s="2">
        <v>194.85997</v>
      </c>
      <c r="AL14" s="2">
        <v>296.17196999999999</v>
      </c>
      <c r="AM14" s="2">
        <v>326.26254</v>
      </c>
      <c r="AN14" s="2">
        <v>113.97109</v>
      </c>
      <c r="AO14" s="2">
        <v>931.26556000000005</v>
      </c>
      <c r="AP14" s="2">
        <v>88815.9375</v>
      </c>
      <c r="AQ14" s="2">
        <v>3092.6728499999999</v>
      </c>
      <c r="AR14" s="2">
        <v>0.19428000000000001</v>
      </c>
      <c r="AS14" s="2">
        <v>2124.6192679999999</v>
      </c>
    </row>
    <row r="15" spans="1:4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9" spans="1:42" x14ac:dyDescent="0.25">
      <c r="A19" s="6" t="s">
        <v>152</v>
      </c>
      <c r="B19" s="7" t="s">
        <v>52</v>
      </c>
      <c r="C19" s="8" t="s">
        <v>139</v>
      </c>
      <c r="D19" s="8"/>
      <c r="E19" s="9" t="s">
        <v>153</v>
      </c>
      <c r="F19" s="9"/>
      <c r="G19" s="9"/>
      <c r="H19" s="9"/>
    </row>
    <row r="20" spans="1:42" x14ac:dyDescent="0.25">
      <c r="A20" s="5"/>
    </row>
    <row r="21" spans="1:42" s="2" customFormat="1" x14ac:dyDescent="0.25">
      <c r="A21" s="2" t="s">
        <v>147</v>
      </c>
      <c r="B21" s="2" t="s">
        <v>148</v>
      </c>
      <c r="C21" s="2" t="s">
        <v>9</v>
      </c>
      <c r="D21" s="2" t="s">
        <v>149</v>
      </c>
      <c r="E21" s="2" t="s">
        <v>150</v>
      </c>
      <c r="F21" s="2" t="s">
        <v>10</v>
      </c>
      <c r="G21" s="2" t="s">
        <v>11</v>
      </c>
      <c r="H21" s="2" t="s">
        <v>12</v>
      </c>
      <c r="I21" s="2" t="s">
        <v>13</v>
      </c>
      <c r="J21" s="2" t="s">
        <v>14</v>
      </c>
      <c r="K21" s="2" t="s">
        <v>15</v>
      </c>
      <c r="L21" s="2" t="s">
        <v>16</v>
      </c>
      <c r="M21" s="2" t="s">
        <v>17</v>
      </c>
      <c r="N21" s="2" t="s">
        <v>18</v>
      </c>
      <c r="O21" s="2" t="s">
        <v>19</v>
      </c>
      <c r="P21" s="2" t="s">
        <v>20</v>
      </c>
      <c r="Q21" s="2" t="s">
        <v>21</v>
      </c>
      <c r="R21" s="2" t="s">
        <v>22</v>
      </c>
      <c r="S21" s="2" t="s">
        <v>23</v>
      </c>
      <c r="T21" s="2" t="s">
        <v>24</v>
      </c>
      <c r="U21" s="2" t="s">
        <v>25</v>
      </c>
      <c r="V21" s="2" t="s">
        <v>26</v>
      </c>
      <c r="W21" s="2" t="s">
        <v>27</v>
      </c>
      <c r="X21" s="2" t="s">
        <v>28</v>
      </c>
      <c r="Y21" s="2" t="s">
        <v>29</v>
      </c>
      <c r="Z21" s="2" t="s">
        <v>30</v>
      </c>
      <c r="AA21" s="2" t="s">
        <v>31</v>
      </c>
      <c r="AB21" s="2" t="s">
        <v>32</v>
      </c>
      <c r="AC21" s="2" t="s">
        <v>33</v>
      </c>
      <c r="AD21" s="2" t="s">
        <v>34</v>
      </c>
      <c r="AE21" s="2" t="s">
        <v>35</v>
      </c>
      <c r="AF21" s="2" t="s">
        <v>36</v>
      </c>
      <c r="AG21" s="2" t="s">
        <v>37</v>
      </c>
      <c r="AH21" s="2" t="s">
        <v>38</v>
      </c>
      <c r="AI21" s="2" t="s">
        <v>39</v>
      </c>
      <c r="AJ21" s="2" t="s">
        <v>40</v>
      </c>
      <c r="AK21" s="2" t="s">
        <v>42</v>
      </c>
      <c r="AL21" s="2" t="s">
        <v>43</v>
      </c>
      <c r="AM21" s="2" t="s">
        <v>44</v>
      </c>
      <c r="AN21" s="2" t="s">
        <v>45</v>
      </c>
      <c r="AO21" s="2" t="s">
        <v>46</v>
      </c>
      <c r="AP21" s="2" t="s">
        <v>48</v>
      </c>
    </row>
    <row r="22" spans="1:42" s="2" customFormat="1" x14ac:dyDescent="0.25">
      <c r="A22" s="2">
        <v>45906</v>
      </c>
      <c r="B22" s="2" t="s">
        <v>51</v>
      </c>
      <c r="C22" s="2" t="s">
        <v>154</v>
      </c>
      <c r="D22" s="2">
        <v>0</v>
      </c>
      <c r="E22" s="2">
        <v>0</v>
      </c>
      <c r="F22" s="2" t="s">
        <v>155</v>
      </c>
      <c r="G22" s="2">
        <v>41564</v>
      </c>
      <c r="H22" s="2">
        <v>41829</v>
      </c>
      <c r="I22" s="2">
        <v>2</v>
      </c>
      <c r="J22" s="2">
        <v>0.22231999999999999</v>
      </c>
      <c r="K22" s="2">
        <v>50</v>
      </c>
      <c r="L22" s="2">
        <v>3</v>
      </c>
      <c r="M22" s="2">
        <v>37752</v>
      </c>
      <c r="N22" s="2">
        <v>32.14</v>
      </c>
      <c r="O22" s="2">
        <v>0.41502</v>
      </c>
      <c r="P22" s="2">
        <v>38.25</v>
      </c>
      <c r="Q22" s="2">
        <v>4127.0795900000003</v>
      </c>
      <c r="R22" s="2">
        <v>0.40206999999999998</v>
      </c>
      <c r="S22" s="2">
        <v>0.65591999999999995</v>
      </c>
      <c r="T22" s="2">
        <v>4127.0795900000003</v>
      </c>
      <c r="U22" s="2">
        <v>29.26</v>
      </c>
      <c r="V22" s="2">
        <v>0.45587</v>
      </c>
      <c r="W22" s="2">
        <v>2511.4746100000002</v>
      </c>
      <c r="X22" s="2">
        <v>0.33639000000000002</v>
      </c>
      <c r="Y22" s="2">
        <v>0.2661</v>
      </c>
      <c r="Z22" s="2">
        <v>2511.4746100000002</v>
      </c>
      <c r="AA22" s="2">
        <v>31.49</v>
      </c>
      <c r="AB22" s="2">
        <v>0.42359000000000002</v>
      </c>
      <c r="AC22" s="2">
        <v>1872.60852</v>
      </c>
      <c r="AD22" s="2">
        <v>0.34528999999999999</v>
      </c>
      <c r="AE22" s="2">
        <v>0.39682000000000001</v>
      </c>
      <c r="AF22" s="2">
        <v>1872.60852</v>
      </c>
      <c r="AG22" s="2">
        <v>31</v>
      </c>
      <c r="AH22" s="2">
        <v>0.43029000000000001</v>
      </c>
      <c r="AI22" s="2">
        <v>9027.7578099999992</v>
      </c>
      <c r="AJ22" s="2">
        <v>2007.0063500000001</v>
      </c>
      <c r="AK22" s="2">
        <v>13.429320000000001</v>
      </c>
      <c r="AL22" s="2">
        <v>17.73066</v>
      </c>
      <c r="AM22" s="2">
        <v>31.357199999999999</v>
      </c>
      <c r="AN22" s="2">
        <v>3.5733299999999999</v>
      </c>
      <c r="AO22" s="2">
        <v>66.090519999999998</v>
      </c>
      <c r="AP22" s="2">
        <v>9027.7578099999992</v>
      </c>
    </row>
    <row r="23" spans="1:42" s="2" customFormat="1" x14ac:dyDescent="0.25">
      <c r="A23" s="2">
        <v>45907</v>
      </c>
      <c r="B23" s="2" t="s">
        <v>51</v>
      </c>
      <c r="C23" s="2" t="s">
        <v>154</v>
      </c>
      <c r="D23" s="2">
        <v>0</v>
      </c>
      <c r="E23" s="2">
        <v>0</v>
      </c>
      <c r="F23" s="2" t="s">
        <v>156</v>
      </c>
      <c r="G23" s="2">
        <v>41828</v>
      </c>
      <c r="H23" s="2">
        <v>33625</v>
      </c>
      <c r="I23" s="2">
        <v>2</v>
      </c>
      <c r="J23" s="2">
        <v>0.24046999999999999</v>
      </c>
      <c r="K23" s="2">
        <v>50</v>
      </c>
      <c r="L23" s="2">
        <v>3</v>
      </c>
      <c r="M23" s="2">
        <v>37752</v>
      </c>
      <c r="N23" s="2">
        <v>32.18</v>
      </c>
      <c r="O23" s="2">
        <v>0.44835000000000003</v>
      </c>
      <c r="P23" s="2">
        <v>38.25</v>
      </c>
      <c r="Q23" s="2">
        <v>3755.5227100000002</v>
      </c>
      <c r="R23" s="2">
        <v>0.41403000000000001</v>
      </c>
      <c r="S23" s="2">
        <v>0.59687000000000001</v>
      </c>
      <c r="T23" s="2">
        <v>3755.5227100000002</v>
      </c>
      <c r="U23" s="2">
        <v>29.81</v>
      </c>
      <c r="V23" s="2">
        <v>0.48399999999999999</v>
      </c>
      <c r="W23" s="2">
        <v>1932.69128</v>
      </c>
      <c r="X23" s="2">
        <v>0.36196</v>
      </c>
      <c r="Y23" s="2">
        <v>0.20477999999999999</v>
      </c>
      <c r="Z23" s="2">
        <v>1932.69128</v>
      </c>
      <c r="AA23" s="2">
        <v>31.68</v>
      </c>
      <c r="AB23" s="2">
        <v>0.45543</v>
      </c>
      <c r="AC23" s="2">
        <v>1472.5304000000001</v>
      </c>
      <c r="AD23" s="2">
        <v>0.36620999999999998</v>
      </c>
      <c r="AE23" s="2">
        <v>0.31203999999999998</v>
      </c>
      <c r="AF23" s="2">
        <v>1472.5304000000001</v>
      </c>
      <c r="AG23" s="2">
        <v>31.34</v>
      </c>
      <c r="AH23" s="2">
        <v>0.46037</v>
      </c>
      <c r="AI23" s="2">
        <v>7405.9321300000001</v>
      </c>
      <c r="AJ23" s="2">
        <v>1780.8779300000001</v>
      </c>
      <c r="AK23" s="2">
        <v>11.29847</v>
      </c>
      <c r="AL23" s="2">
        <v>14.67005</v>
      </c>
      <c r="AM23" s="2">
        <v>30.294429999999998</v>
      </c>
      <c r="AN23" s="2">
        <v>1.8321799999999999</v>
      </c>
      <c r="AO23" s="2">
        <v>58.095140000000001</v>
      </c>
      <c r="AP23" s="2">
        <v>7405.9321300000001</v>
      </c>
    </row>
    <row r="24" spans="1:42" s="2" customFormat="1" x14ac:dyDescent="0.25">
      <c r="A24" s="12">
        <v>45908</v>
      </c>
      <c r="B24" s="12" t="s">
        <v>51</v>
      </c>
      <c r="C24" s="2" t="s">
        <v>154</v>
      </c>
      <c r="D24" s="2">
        <v>0</v>
      </c>
      <c r="E24" s="2">
        <v>0</v>
      </c>
      <c r="F24" s="2" t="s">
        <v>157</v>
      </c>
      <c r="G24" s="2">
        <v>41829</v>
      </c>
      <c r="H24" s="2">
        <v>41828</v>
      </c>
      <c r="I24" s="2">
        <v>2</v>
      </c>
      <c r="J24" s="2">
        <v>0.44142999999999999</v>
      </c>
      <c r="K24" s="2">
        <v>50</v>
      </c>
      <c r="L24" s="2">
        <v>3</v>
      </c>
      <c r="M24" s="2">
        <v>37752</v>
      </c>
      <c r="N24" s="2">
        <v>34.770000000000003</v>
      </c>
      <c r="O24" s="2">
        <v>0.76173999999999997</v>
      </c>
      <c r="P24" s="2">
        <v>38.25</v>
      </c>
      <c r="Q24" s="2">
        <v>3755.5227100000002</v>
      </c>
      <c r="R24" s="2">
        <v>0.76004000000000005</v>
      </c>
      <c r="S24" s="2">
        <v>0.59687000000000001</v>
      </c>
      <c r="T24" s="2">
        <v>3755.5227100000002</v>
      </c>
      <c r="U24" s="2">
        <v>33.15</v>
      </c>
      <c r="V24" s="2">
        <v>0.79896999999999996</v>
      </c>
      <c r="W24" s="2">
        <v>1932.69128</v>
      </c>
      <c r="X24" s="2">
        <v>0.66446000000000005</v>
      </c>
      <c r="Y24" s="2">
        <v>0.20477999999999999</v>
      </c>
      <c r="Z24" s="2">
        <v>1932.69128</v>
      </c>
      <c r="AA24" s="2">
        <v>34.44</v>
      </c>
      <c r="AB24" s="2">
        <v>0.76903999999999995</v>
      </c>
      <c r="AC24" s="2">
        <v>1472.5304000000001</v>
      </c>
      <c r="AD24" s="2">
        <v>0.67225999999999997</v>
      </c>
      <c r="AE24" s="2">
        <v>0.31203999999999998</v>
      </c>
      <c r="AF24" s="2">
        <v>1472.5304000000001</v>
      </c>
      <c r="AG24" s="2">
        <v>34.200000000000003</v>
      </c>
      <c r="AH24" s="2">
        <v>0.77444000000000002</v>
      </c>
      <c r="AI24" s="2">
        <v>7405.9321300000001</v>
      </c>
      <c r="AJ24" s="2">
        <v>3269.1877399999998</v>
      </c>
      <c r="AK24" s="2">
        <v>19.006329999999998</v>
      </c>
      <c r="AL24" s="2">
        <v>24.771909999999998</v>
      </c>
      <c r="AM24" s="2">
        <v>50.008859999999999</v>
      </c>
      <c r="AN24" s="2">
        <v>3.1128200000000001</v>
      </c>
      <c r="AO24" s="2">
        <v>96.899929999999998</v>
      </c>
      <c r="AP24" s="2">
        <v>7405.9321300000001</v>
      </c>
    </row>
    <row r="25" spans="1:42" x14ac:dyDescent="0.25">
      <c r="S25">
        <f>AVERAGE(S22:S24)</f>
        <v>0.6165533333333334</v>
      </c>
      <c r="AP25">
        <f>AVERAGE(AP22:AP24)</f>
        <v>7946.5406900000007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5D1E-7811-45C5-A2DA-2ACDCB96C395}">
  <dimension ref="A1:D59"/>
  <sheetViews>
    <sheetView workbookViewId="0">
      <selection activeCell="C43" sqref="C43"/>
    </sheetView>
  </sheetViews>
  <sheetFormatPr defaultRowHeight="15" x14ac:dyDescent="0.25"/>
  <cols>
    <col min="1" max="1" width="27.5703125" customWidth="1"/>
    <col min="2" max="3" width="9.28515625" bestFit="1" customWidth="1"/>
    <col min="4" max="4" width="9.5703125" bestFit="1" customWidth="1"/>
  </cols>
  <sheetData>
    <row r="1" spans="1:4" x14ac:dyDescent="0.25">
      <c r="A1" s="109" t="s">
        <v>84</v>
      </c>
      <c r="B1" s="110"/>
      <c r="C1" s="110"/>
      <c r="D1" s="111"/>
    </row>
    <row r="2" spans="1:4" x14ac:dyDescent="0.25">
      <c r="A2" s="32" t="s">
        <v>77</v>
      </c>
      <c r="B2" s="23" t="s">
        <v>76</v>
      </c>
      <c r="C2" s="23" t="s">
        <v>79</v>
      </c>
      <c r="D2" s="33" t="s">
        <v>75</v>
      </c>
    </row>
    <row r="3" spans="1:4" x14ac:dyDescent="0.25">
      <c r="A3" s="17"/>
      <c r="B3" s="24">
        <v>23569</v>
      </c>
      <c r="C3" s="21">
        <f>C5-B4+D4</f>
        <v>84303</v>
      </c>
      <c r="D3" s="34">
        <v>7625</v>
      </c>
    </row>
    <row r="4" spans="1:4" x14ac:dyDescent="0.25">
      <c r="A4" s="17"/>
      <c r="B4" s="21">
        <v>8349</v>
      </c>
      <c r="C4" s="21"/>
      <c r="D4" s="35">
        <v>8075</v>
      </c>
    </row>
    <row r="5" spans="1:4" x14ac:dyDescent="0.25">
      <c r="A5" s="36" t="s">
        <v>73</v>
      </c>
      <c r="B5" s="22"/>
      <c r="C5" s="22">
        <f>C7-D6-B6</f>
        <v>84577</v>
      </c>
      <c r="D5" s="37"/>
    </row>
    <row r="6" spans="1:4" x14ac:dyDescent="0.25">
      <c r="A6" s="17"/>
      <c r="B6" s="21">
        <v>6044</v>
      </c>
      <c r="C6" s="21"/>
      <c r="D6" s="35">
        <v>5644</v>
      </c>
    </row>
    <row r="7" spans="1:4" x14ac:dyDescent="0.25">
      <c r="A7" s="17"/>
      <c r="B7" s="21"/>
      <c r="C7" s="40">
        <f>C11-D10+D8-B10+B8</f>
        <v>96265</v>
      </c>
      <c r="D7" s="35"/>
    </row>
    <row r="8" spans="1:4" x14ac:dyDescent="0.25">
      <c r="A8" s="17"/>
      <c r="B8" s="21">
        <v>13000</v>
      </c>
      <c r="C8" s="21"/>
      <c r="D8" s="35">
        <v>10134</v>
      </c>
    </row>
    <row r="9" spans="1:4" x14ac:dyDescent="0.25">
      <c r="A9" s="36" t="s">
        <v>74</v>
      </c>
      <c r="B9" s="22"/>
      <c r="C9" s="22"/>
      <c r="D9" s="37"/>
    </row>
    <row r="10" spans="1:4" x14ac:dyDescent="0.25">
      <c r="A10" s="17"/>
      <c r="B10" s="21">
        <v>4361</v>
      </c>
      <c r="C10" s="21"/>
      <c r="D10" s="35">
        <v>3425</v>
      </c>
    </row>
    <row r="11" spans="1:4" ht="15.75" thickBot="1" x14ac:dyDescent="0.3">
      <c r="A11" s="19"/>
      <c r="B11" s="38"/>
      <c r="C11" s="38">
        <v>80917</v>
      </c>
      <c r="D11" s="39"/>
    </row>
    <row r="12" spans="1:4" ht="15.75" thickBot="1" x14ac:dyDescent="0.3"/>
    <row r="13" spans="1:4" x14ac:dyDescent="0.25">
      <c r="A13" s="109" t="s">
        <v>80</v>
      </c>
      <c r="B13" s="110"/>
      <c r="C13" s="110"/>
      <c r="D13" s="111"/>
    </row>
    <row r="14" spans="1:4" x14ac:dyDescent="0.25">
      <c r="A14" s="32" t="s">
        <v>77</v>
      </c>
      <c r="B14" s="23" t="s">
        <v>76</v>
      </c>
      <c r="C14" s="23" t="s">
        <v>79</v>
      </c>
      <c r="D14" s="33" t="s">
        <v>75</v>
      </c>
    </row>
    <row r="15" spans="1:4" x14ac:dyDescent="0.25">
      <c r="A15" s="17"/>
      <c r="B15" s="24">
        <v>23569</v>
      </c>
      <c r="C15" s="21">
        <v>96534</v>
      </c>
      <c r="D15" s="34">
        <v>7625</v>
      </c>
    </row>
    <row r="16" spans="1:4" x14ac:dyDescent="0.25">
      <c r="A16" s="17"/>
      <c r="B16" s="21">
        <v>7714</v>
      </c>
      <c r="C16" s="21"/>
      <c r="D16" s="35">
        <v>8494</v>
      </c>
    </row>
    <row r="17" spans="1:4" x14ac:dyDescent="0.25">
      <c r="A17" s="36" t="s">
        <v>73</v>
      </c>
      <c r="B17" s="22"/>
      <c r="C17" s="22">
        <f>C15+B16-D16</f>
        <v>95754</v>
      </c>
      <c r="D17" s="37"/>
    </row>
    <row r="18" spans="1:4" x14ac:dyDescent="0.25">
      <c r="A18" s="17"/>
      <c r="B18" s="21">
        <v>6505</v>
      </c>
      <c r="C18" s="21"/>
      <c r="D18" s="35">
        <v>7095</v>
      </c>
    </row>
    <row r="19" spans="1:4" x14ac:dyDescent="0.25">
      <c r="A19" s="17"/>
      <c r="B19" s="21"/>
      <c r="C19" s="40">
        <f>C17+B18+D18</f>
        <v>109354</v>
      </c>
      <c r="D19" s="35"/>
    </row>
    <row r="20" spans="1:4" x14ac:dyDescent="0.25">
      <c r="A20" s="17"/>
      <c r="B20" s="21">
        <v>11752</v>
      </c>
      <c r="C20" s="21"/>
      <c r="D20" s="35">
        <v>11291</v>
      </c>
    </row>
    <row r="21" spans="1:4" x14ac:dyDescent="0.25">
      <c r="A21" s="36" t="s">
        <v>74</v>
      </c>
      <c r="B21" s="22"/>
      <c r="C21" s="22"/>
      <c r="D21" s="37"/>
    </row>
    <row r="22" spans="1:4" x14ac:dyDescent="0.25">
      <c r="A22" s="17"/>
      <c r="B22" s="21">
        <v>4226</v>
      </c>
      <c r="C22" s="21"/>
      <c r="D22" s="35">
        <v>4984</v>
      </c>
    </row>
    <row r="23" spans="1:4" ht="15.75" thickBot="1" x14ac:dyDescent="0.3">
      <c r="A23" s="19"/>
      <c r="B23" s="38"/>
      <c r="C23" s="42">
        <v>94887</v>
      </c>
      <c r="D23" s="39"/>
    </row>
    <row r="24" spans="1:4" ht="15.75" thickBot="1" x14ac:dyDescent="0.3"/>
    <row r="25" spans="1:4" x14ac:dyDescent="0.25">
      <c r="A25" s="109" t="s">
        <v>81</v>
      </c>
      <c r="B25" s="110"/>
      <c r="C25" s="110"/>
      <c r="D25" s="111"/>
    </row>
    <row r="26" spans="1:4" x14ac:dyDescent="0.25">
      <c r="A26" s="32" t="s">
        <v>77</v>
      </c>
      <c r="B26" s="23" t="s">
        <v>76</v>
      </c>
      <c r="C26" s="23" t="s">
        <v>79</v>
      </c>
      <c r="D26" s="33" t="s">
        <v>75</v>
      </c>
    </row>
    <row r="27" spans="1:4" x14ac:dyDescent="0.25">
      <c r="A27" s="17"/>
      <c r="B27" s="24">
        <v>23569</v>
      </c>
      <c r="C27" s="21">
        <v>83943</v>
      </c>
      <c r="D27" s="34">
        <v>7625</v>
      </c>
    </row>
    <row r="28" spans="1:4" x14ac:dyDescent="0.25">
      <c r="A28" s="17"/>
      <c r="B28" s="21">
        <v>7943</v>
      </c>
      <c r="C28" s="21"/>
      <c r="D28" s="35">
        <v>8747</v>
      </c>
    </row>
    <row r="29" spans="1:4" x14ac:dyDescent="0.25">
      <c r="A29" s="36" t="s">
        <v>73</v>
      </c>
      <c r="B29" s="22"/>
      <c r="C29" s="22">
        <f>C27+B28-D28</f>
        <v>83139</v>
      </c>
      <c r="D29" s="37"/>
    </row>
    <row r="30" spans="1:4" x14ac:dyDescent="0.25">
      <c r="A30" s="17"/>
      <c r="B30" s="21">
        <v>7972</v>
      </c>
      <c r="C30" s="21"/>
      <c r="D30" s="35">
        <v>8377</v>
      </c>
    </row>
    <row r="31" spans="1:4" x14ac:dyDescent="0.25">
      <c r="A31" s="17"/>
      <c r="B31" s="21"/>
      <c r="C31" s="40">
        <f>C29+B30+D30</f>
        <v>99488</v>
      </c>
      <c r="D31" s="35"/>
    </row>
    <row r="32" spans="1:4" x14ac:dyDescent="0.25">
      <c r="A32" s="17"/>
      <c r="B32" s="21">
        <v>13489</v>
      </c>
      <c r="C32" s="21"/>
      <c r="D32" s="35">
        <v>13370</v>
      </c>
    </row>
    <row r="33" spans="1:4" x14ac:dyDescent="0.25">
      <c r="A33" s="36" t="s">
        <v>74</v>
      </c>
      <c r="B33" s="22"/>
      <c r="C33" s="22"/>
      <c r="D33" s="37"/>
    </row>
    <row r="34" spans="1:4" x14ac:dyDescent="0.25">
      <c r="A34" s="17"/>
      <c r="B34" s="21">
        <v>5598</v>
      </c>
      <c r="C34" s="21"/>
      <c r="D34" s="35">
        <v>5312</v>
      </c>
    </row>
    <row r="35" spans="1:4" ht="15.75" thickBot="1" x14ac:dyDescent="0.3">
      <c r="A35" s="19"/>
      <c r="B35" s="38"/>
      <c r="C35" s="42">
        <f>C23*1.02</f>
        <v>96784.74</v>
      </c>
      <c r="D35" s="39"/>
    </row>
    <row r="36" spans="1:4" ht="15.75" thickBot="1" x14ac:dyDescent="0.3"/>
    <row r="37" spans="1:4" x14ac:dyDescent="0.25">
      <c r="A37" s="109" t="s">
        <v>82</v>
      </c>
      <c r="B37" s="110"/>
      <c r="C37" s="110"/>
      <c r="D37" s="111"/>
    </row>
    <row r="38" spans="1:4" x14ac:dyDescent="0.25">
      <c r="A38" s="32" t="s">
        <v>77</v>
      </c>
      <c r="B38" s="23" t="s">
        <v>76</v>
      </c>
      <c r="C38" s="23" t="s">
        <v>79</v>
      </c>
      <c r="D38" s="33" t="s">
        <v>75</v>
      </c>
    </row>
    <row r="39" spans="1:4" x14ac:dyDescent="0.25">
      <c r="A39" s="17"/>
      <c r="B39" s="24">
        <v>23569</v>
      </c>
      <c r="C39" s="21">
        <v>98757</v>
      </c>
      <c r="D39" s="34">
        <v>7625</v>
      </c>
    </row>
    <row r="40" spans="1:4" x14ac:dyDescent="0.25">
      <c r="A40" s="17"/>
      <c r="B40" s="21">
        <v>7943</v>
      </c>
      <c r="C40" s="21"/>
      <c r="D40" s="35">
        <v>8747</v>
      </c>
    </row>
    <row r="41" spans="1:4" x14ac:dyDescent="0.25">
      <c r="A41" s="36" t="s">
        <v>73</v>
      </c>
      <c r="B41" s="22"/>
      <c r="C41" s="22">
        <f>C39+B40-D40</f>
        <v>97953</v>
      </c>
      <c r="D41" s="37"/>
    </row>
    <row r="42" spans="1:4" x14ac:dyDescent="0.25">
      <c r="A42" s="17"/>
      <c r="B42" s="21">
        <v>7972</v>
      </c>
      <c r="C42" s="21"/>
      <c r="D42" s="35">
        <v>8377</v>
      </c>
    </row>
    <row r="43" spans="1:4" x14ac:dyDescent="0.25">
      <c r="A43" s="17"/>
      <c r="B43" s="21"/>
      <c r="C43" s="40">
        <f>C41+B42+D42</f>
        <v>114302</v>
      </c>
      <c r="D43" s="35"/>
    </row>
    <row r="44" spans="1:4" x14ac:dyDescent="0.25">
      <c r="A44" s="17"/>
      <c r="B44" s="21">
        <v>13489</v>
      </c>
      <c r="C44" s="21"/>
      <c r="D44" s="35">
        <v>13370</v>
      </c>
    </row>
    <row r="45" spans="1:4" x14ac:dyDescent="0.25">
      <c r="A45" s="36" t="s">
        <v>74</v>
      </c>
      <c r="B45" s="22"/>
      <c r="C45" s="22"/>
      <c r="D45" s="37"/>
    </row>
    <row r="46" spans="1:4" x14ac:dyDescent="0.25">
      <c r="A46" s="17"/>
      <c r="B46" s="21">
        <v>5598</v>
      </c>
      <c r="C46" s="21"/>
      <c r="D46" s="35">
        <v>5312</v>
      </c>
    </row>
    <row r="47" spans="1:4" ht="15.75" thickBot="1" x14ac:dyDescent="0.3">
      <c r="A47" s="19"/>
      <c r="B47" s="38"/>
      <c r="C47" s="42">
        <f>C35</f>
        <v>96784.74</v>
      </c>
      <c r="D47" s="39"/>
    </row>
    <row r="48" spans="1:4" ht="15.75" thickBot="1" x14ac:dyDescent="0.3"/>
    <row r="49" spans="1:4" x14ac:dyDescent="0.25">
      <c r="A49" s="109" t="s">
        <v>83</v>
      </c>
      <c r="B49" s="110"/>
      <c r="C49" s="110"/>
      <c r="D49" s="111"/>
    </row>
    <row r="50" spans="1:4" x14ac:dyDescent="0.25">
      <c r="A50" s="32" t="s">
        <v>77</v>
      </c>
      <c r="B50" s="23" t="s">
        <v>76</v>
      </c>
      <c r="C50" s="23" t="s">
        <v>79</v>
      </c>
      <c r="D50" s="33" t="s">
        <v>75</v>
      </c>
    </row>
    <row r="51" spans="1:4" x14ac:dyDescent="0.25">
      <c r="A51" s="17"/>
      <c r="B51" s="24">
        <v>23569</v>
      </c>
      <c r="C51" s="21">
        <v>96821</v>
      </c>
      <c r="D51" s="34">
        <v>7625</v>
      </c>
    </row>
    <row r="52" spans="1:4" x14ac:dyDescent="0.25">
      <c r="A52" s="17"/>
      <c r="B52" s="21">
        <v>7943</v>
      </c>
      <c r="C52" s="21"/>
      <c r="D52" s="35">
        <v>8747</v>
      </c>
    </row>
    <row r="53" spans="1:4" x14ac:dyDescent="0.25">
      <c r="A53" s="36" t="s">
        <v>73</v>
      </c>
      <c r="B53" s="22"/>
      <c r="C53" s="22">
        <f>C51+B52-D52</f>
        <v>96017</v>
      </c>
      <c r="D53" s="37"/>
    </row>
    <row r="54" spans="1:4" x14ac:dyDescent="0.25">
      <c r="A54" s="17"/>
      <c r="B54" s="21">
        <v>7972</v>
      </c>
      <c r="C54" s="21"/>
      <c r="D54" s="35">
        <v>8377</v>
      </c>
    </row>
    <row r="55" spans="1:4" x14ac:dyDescent="0.25">
      <c r="A55" s="17"/>
      <c r="B55" s="21"/>
      <c r="C55" s="40">
        <f>C53+B54+D54</f>
        <v>112366</v>
      </c>
      <c r="D55" s="35"/>
    </row>
    <row r="56" spans="1:4" x14ac:dyDescent="0.25">
      <c r="A56" s="17"/>
      <c r="B56" s="21">
        <v>13489</v>
      </c>
      <c r="C56" s="21"/>
      <c r="D56" s="35">
        <v>13370</v>
      </c>
    </row>
    <row r="57" spans="1:4" x14ac:dyDescent="0.25">
      <c r="A57" s="36" t="s">
        <v>74</v>
      </c>
      <c r="B57" s="22"/>
      <c r="C57" s="22"/>
      <c r="D57" s="37"/>
    </row>
    <row r="58" spans="1:4" x14ac:dyDescent="0.25">
      <c r="A58" s="17"/>
      <c r="B58" s="21">
        <v>5598</v>
      </c>
      <c r="C58" s="21"/>
      <c r="D58" s="35">
        <v>5312</v>
      </c>
    </row>
    <row r="59" spans="1:4" ht="15.75" thickBot="1" x14ac:dyDescent="0.3">
      <c r="A59" s="19"/>
      <c r="B59" s="38"/>
      <c r="C59" s="42">
        <f>C35</f>
        <v>96784.74</v>
      </c>
      <c r="D59" s="39"/>
    </row>
  </sheetData>
  <mergeCells count="5">
    <mergeCell ref="A1:D1"/>
    <mergeCell ref="A13:D13"/>
    <mergeCell ref="A25:D25"/>
    <mergeCell ref="A37:D37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14" zoomScale="85" zoomScaleNormal="85" workbookViewId="0">
      <selection activeCell="P57" sqref="P57"/>
    </sheetView>
  </sheetViews>
  <sheetFormatPr defaultRowHeight="15" x14ac:dyDescent="0.25"/>
  <cols>
    <col min="1" max="1" width="27.5703125" customWidth="1"/>
    <col min="2" max="2" width="14.5703125" bestFit="1" customWidth="1"/>
    <col min="4" max="4" width="16.42578125" bestFit="1" customWidth="1"/>
    <col min="5" max="5" width="11.5703125" bestFit="1" customWidth="1"/>
    <col min="6" max="6" width="16.42578125" bestFit="1" customWidth="1"/>
    <col min="7" max="7" width="9.85546875" bestFit="1" customWidth="1"/>
    <col min="8" max="8" width="16.42578125" bestFit="1" customWidth="1"/>
    <col min="10" max="10" width="16.28515625" bestFit="1" customWidth="1"/>
    <col min="11" max="11" width="15.7109375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 x14ac:dyDescent="0.25">
      <c r="A1" s="123" t="s">
        <v>62</v>
      </c>
      <c r="B1" s="124"/>
      <c r="C1" s="125" t="s">
        <v>63</v>
      </c>
      <c r="D1" s="125"/>
      <c r="E1" s="125"/>
      <c r="F1" s="125"/>
      <c r="G1" s="125"/>
      <c r="K1" s="1" t="s">
        <v>1</v>
      </c>
      <c r="L1" s="1" t="s">
        <v>2</v>
      </c>
      <c r="N1" s="5"/>
      <c r="O1" s="5"/>
      <c r="P1" s="5"/>
      <c r="Q1" s="5"/>
      <c r="R1" s="30"/>
      <c r="S1" s="5"/>
      <c r="T1" s="5"/>
      <c r="U1" s="5"/>
      <c r="V1" s="5"/>
      <c r="W1" s="5"/>
      <c r="X1" s="5"/>
    </row>
    <row r="2" spans="1:24" x14ac:dyDescent="0.25">
      <c r="A2" s="57" t="s">
        <v>64</v>
      </c>
      <c r="B2" s="57"/>
      <c r="C2" s="126"/>
      <c r="D2" s="126"/>
      <c r="E2" s="126"/>
      <c r="F2" s="126"/>
      <c r="G2" s="126"/>
      <c r="K2" s="2" t="s">
        <v>3</v>
      </c>
      <c r="L2" s="3">
        <f>TDM!AQ4</f>
        <v>49396.542970000002</v>
      </c>
      <c r="N2" s="5"/>
      <c r="O2" s="5"/>
      <c r="P2" s="5"/>
      <c r="Q2" s="5"/>
      <c r="R2" s="30"/>
      <c r="U2" s="5"/>
      <c r="V2" s="5"/>
    </row>
    <row r="3" spans="1:24" x14ac:dyDescent="0.25">
      <c r="A3" s="57" t="s">
        <v>52</v>
      </c>
      <c r="B3" s="57" t="s">
        <v>70</v>
      </c>
      <c r="C3" s="126" t="s">
        <v>65</v>
      </c>
      <c r="D3" s="126"/>
      <c r="E3" s="126"/>
      <c r="F3" s="126"/>
      <c r="G3" s="126"/>
      <c r="K3" s="2" t="s">
        <v>4</v>
      </c>
      <c r="L3" s="3">
        <f>TDM!AP14</f>
        <v>88815.9375</v>
      </c>
      <c r="O3" s="31"/>
      <c r="Q3" s="31"/>
      <c r="R3" s="31"/>
      <c r="T3" s="31"/>
    </row>
    <row r="4" spans="1:24" ht="30" x14ac:dyDescent="0.25">
      <c r="A4" s="61" t="s">
        <v>71</v>
      </c>
      <c r="B4" s="57">
        <v>150119</v>
      </c>
      <c r="C4" s="57" t="s">
        <v>65</v>
      </c>
      <c r="D4" s="57"/>
      <c r="E4" s="57"/>
      <c r="F4" s="57"/>
      <c r="G4" s="57"/>
      <c r="K4" s="2" t="s">
        <v>5</v>
      </c>
      <c r="L4" s="4">
        <f>(L3-L2)/L2</f>
        <v>0.79801929770552116</v>
      </c>
      <c r="O4" s="97"/>
      <c r="Q4" s="97"/>
      <c r="R4" s="97"/>
      <c r="T4" s="97"/>
    </row>
    <row r="5" spans="1:24" x14ac:dyDescent="0.25">
      <c r="A5" s="57" t="s">
        <v>72</v>
      </c>
      <c r="B5" s="57">
        <v>89342</v>
      </c>
      <c r="C5" s="126" t="s">
        <v>66</v>
      </c>
      <c r="D5" s="126"/>
      <c r="E5" s="126"/>
      <c r="F5" s="126"/>
      <c r="G5" s="126"/>
      <c r="O5" s="98"/>
      <c r="Q5" s="98"/>
      <c r="R5" s="98"/>
      <c r="T5" s="98"/>
      <c r="V5" s="98"/>
      <c r="X5" s="98"/>
    </row>
    <row r="6" spans="1:24" x14ac:dyDescent="0.25">
      <c r="A6" s="57" t="s">
        <v>86</v>
      </c>
      <c r="B6" s="106">
        <v>4.4999999999999998E-2</v>
      </c>
      <c r="C6" s="126" t="s">
        <v>66</v>
      </c>
      <c r="D6" s="126"/>
      <c r="E6" s="126"/>
      <c r="F6" s="126"/>
      <c r="G6" s="126"/>
      <c r="O6" s="31"/>
      <c r="Q6" s="31"/>
      <c r="R6" s="31"/>
      <c r="T6" s="31"/>
    </row>
    <row r="7" spans="1:24" x14ac:dyDescent="0.25">
      <c r="A7" s="57" t="s">
        <v>67</v>
      </c>
      <c r="B7" s="57">
        <v>0.08</v>
      </c>
      <c r="C7" s="126" t="s">
        <v>66</v>
      </c>
      <c r="D7" s="126"/>
      <c r="E7" s="126"/>
      <c r="F7" s="126"/>
      <c r="G7" s="126"/>
      <c r="O7" s="98"/>
      <c r="Q7" s="98"/>
      <c r="R7" s="98"/>
      <c r="T7" s="98"/>
      <c r="V7" s="98"/>
      <c r="X7" s="98"/>
    </row>
    <row r="8" spans="1:24" ht="15.75" thickBot="1" x14ac:dyDescent="0.3">
      <c r="O8" s="99"/>
      <c r="Q8" s="99"/>
      <c r="R8" s="99"/>
      <c r="T8" s="99"/>
      <c r="V8" s="99"/>
      <c r="X8" s="99"/>
    </row>
    <row r="9" spans="1:24" x14ac:dyDescent="0.25">
      <c r="A9" s="109" t="s">
        <v>78</v>
      </c>
      <c r="B9" s="110"/>
      <c r="C9" s="110"/>
      <c r="D9" s="111"/>
      <c r="O9" s="16"/>
      <c r="Q9" s="16"/>
      <c r="R9" s="16"/>
      <c r="T9" s="16"/>
      <c r="V9" s="16"/>
      <c r="X9" s="16"/>
    </row>
    <row r="10" spans="1:24" x14ac:dyDescent="0.25">
      <c r="A10" s="32" t="s">
        <v>77</v>
      </c>
      <c r="B10" s="23" t="s">
        <v>76</v>
      </c>
      <c r="C10" s="23" t="s">
        <v>79</v>
      </c>
      <c r="D10" s="33" t="s">
        <v>75</v>
      </c>
      <c r="F10" s="30"/>
      <c r="G10" s="30"/>
      <c r="H10" s="30"/>
      <c r="I10" s="30"/>
      <c r="J10" s="30"/>
      <c r="K10" s="30"/>
      <c r="Q10" s="16"/>
      <c r="R10" s="16"/>
      <c r="X10" s="16"/>
    </row>
    <row r="11" spans="1:24" x14ac:dyDescent="0.25">
      <c r="A11" s="17"/>
      <c r="B11" s="24">
        <v>23569</v>
      </c>
      <c r="C11" s="21">
        <v>84303</v>
      </c>
      <c r="D11" s="34">
        <v>7625</v>
      </c>
      <c r="G11" s="31"/>
      <c r="I11" s="16"/>
      <c r="K11" s="16"/>
      <c r="Q11" s="16"/>
      <c r="R11" s="16"/>
      <c r="T11" s="16"/>
      <c r="X11" s="16"/>
    </row>
    <row r="12" spans="1:24" x14ac:dyDescent="0.25">
      <c r="A12" s="17"/>
      <c r="B12" s="21">
        <v>8349</v>
      </c>
      <c r="C12" s="21"/>
      <c r="D12" s="35">
        <v>8075</v>
      </c>
      <c r="G12" s="16"/>
      <c r="I12" s="29"/>
      <c r="K12" s="29"/>
      <c r="Q12" s="96"/>
      <c r="R12" s="96"/>
      <c r="T12" s="16"/>
      <c r="V12" s="16"/>
      <c r="X12" s="16"/>
    </row>
    <row r="13" spans="1:24" x14ac:dyDescent="0.25">
      <c r="A13" s="36" t="s">
        <v>73</v>
      </c>
      <c r="B13" s="22"/>
      <c r="C13" s="22">
        <f>C11+B12-D12</f>
        <v>84577</v>
      </c>
      <c r="D13" s="37"/>
      <c r="I13" s="16"/>
      <c r="K13" s="29"/>
      <c r="Q13" s="16"/>
      <c r="R13" s="16"/>
      <c r="T13" s="16"/>
      <c r="V13" s="16"/>
      <c r="X13" s="16"/>
    </row>
    <row r="14" spans="1:24" x14ac:dyDescent="0.25">
      <c r="A14" s="17"/>
      <c r="B14" s="21">
        <v>6044</v>
      </c>
      <c r="C14" s="21"/>
      <c r="D14" s="35">
        <v>5644</v>
      </c>
      <c r="I14" s="16"/>
      <c r="K14" s="29"/>
      <c r="Q14" s="16"/>
      <c r="T14" s="16"/>
      <c r="V14" s="16"/>
      <c r="X14" s="16"/>
    </row>
    <row r="15" spans="1:24" x14ac:dyDescent="0.25">
      <c r="A15" s="17"/>
      <c r="B15" s="21"/>
      <c r="C15" s="40">
        <f>C19-D18+D16-B18+B16</f>
        <v>96265</v>
      </c>
      <c r="D15" s="35"/>
      <c r="G15" s="29"/>
      <c r="I15" s="16"/>
      <c r="K15" s="29"/>
      <c r="Q15" s="16"/>
      <c r="R15" s="16"/>
      <c r="V15" s="16"/>
    </row>
    <row r="16" spans="1:24" x14ac:dyDescent="0.25">
      <c r="A16" s="17"/>
      <c r="B16" s="21">
        <v>13000</v>
      </c>
      <c r="C16" s="21"/>
      <c r="D16" s="35">
        <v>10134</v>
      </c>
      <c r="G16" s="25"/>
      <c r="I16" s="26"/>
      <c r="L16" s="41"/>
    </row>
    <row r="17" spans="1:14" x14ac:dyDescent="0.25">
      <c r="A17" s="36" t="s">
        <v>74</v>
      </c>
      <c r="B17" s="22"/>
      <c r="C17" s="22"/>
      <c r="D17" s="37"/>
      <c r="H17" s="27"/>
      <c r="I17" s="28"/>
      <c r="L17" s="41"/>
      <c r="M17" s="16"/>
      <c r="N17" s="16"/>
    </row>
    <row r="18" spans="1:14" x14ac:dyDescent="0.25">
      <c r="A18" s="17"/>
      <c r="B18" s="21">
        <v>4361</v>
      </c>
      <c r="C18" s="21"/>
      <c r="D18" s="35">
        <v>3425</v>
      </c>
      <c r="G18" s="25"/>
      <c r="I18" s="26"/>
      <c r="L18" s="41"/>
      <c r="M18" s="16"/>
      <c r="N18" s="16"/>
    </row>
    <row r="19" spans="1:14" ht="15.75" thickBot="1" x14ac:dyDescent="0.3">
      <c r="A19" s="19"/>
      <c r="B19" s="38"/>
      <c r="C19" s="38">
        <v>80917</v>
      </c>
      <c r="D19" s="39"/>
      <c r="H19" s="5"/>
      <c r="L19" s="41"/>
    </row>
    <row r="20" spans="1:14" x14ac:dyDescent="0.25">
      <c r="G20" s="5"/>
      <c r="H20" s="5"/>
      <c r="I20" s="5"/>
      <c r="J20" s="5"/>
      <c r="K20" s="5"/>
    </row>
    <row r="21" spans="1:14" x14ac:dyDescent="0.25">
      <c r="A21" s="10" t="s">
        <v>69</v>
      </c>
      <c r="B21" s="10" t="s">
        <v>0</v>
      </c>
      <c r="I21" s="92"/>
      <c r="J21" s="93"/>
      <c r="K21" s="41"/>
    </row>
    <row r="22" spans="1:14" x14ac:dyDescent="0.25">
      <c r="A22" s="58">
        <v>2018</v>
      </c>
      <c r="B22" s="91">
        <f>Volumes!C55</f>
        <v>112366</v>
      </c>
      <c r="C22" s="31"/>
      <c r="G22" s="31"/>
      <c r="H22" s="31"/>
      <c r="J22" s="31"/>
      <c r="L22" s="30"/>
    </row>
    <row r="23" spans="1:14" x14ac:dyDescent="0.25">
      <c r="A23" s="58">
        <v>2019</v>
      </c>
      <c r="B23" s="91">
        <f>Volumes!C43</f>
        <v>114302</v>
      </c>
      <c r="G23" s="31"/>
      <c r="H23" s="27"/>
      <c r="I23" s="94"/>
      <c r="J23" s="31"/>
    </row>
    <row r="24" spans="1:14" x14ac:dyDescent="0.25">
      <c r="A24" s="58">
        <v>2020</v>
      </c>
      <c r="B24" s="91">
        <f>Volumes!C31</f>
        <v>99488</v>
      </c>
      <c r="G24" s="31"/>
      <c r="H24" s="31"/>
      <c r="I24" s="64"/>
      <c r="J24" s="64"/>
      <c r="K24" s="64"/>
    </row>
    <row r="25" spans="1:14" x14ac:dyDescent="0.25">
      <c r="A25" s="58">
        <v>2021</v>
      </c>
      <c r="B25" s="91">
        <f>Volumes!C19</f>
        <v>109354</v>
      </c>
      <c r="G25" s="31"/>
      <c r="H25" s="31"/>
      <c r="I25" s="64"/>
      <c r="J25" s="64"/>
      <c r="K25" s="64"/>
    </row>
    <row r="26" spans="1:14" x14ac:dyDescent="0.25">
      <c r="A26" s="58">
        <v>2022</v>
      </c>
      <c r="B26" s="91">
        <f>Volumes!C7</f>
        <v>96265</v>
      </c>
      <c r="D26" s="31"/>
      <c r="E26" s="31"/>
      <c r="F26" s="31"/>
      <c r="K26" s="16"/>
    </row>
    <row r="27" spans="1:14" x14ac:dyDescent="0.25">
      <c r="A27" s="2"/>
      <c r="B27" s="3">
        <f>SUM(B22:B26)</f>
        <v>531775</v>
      </c>
      <c r="K27" s="16"/>
    </row>
    <row r="29" spans="1:14" ht="15.75" thickBot="1" x14ac:dyDescent="0.3">
      <c r="F29" s="29"/>
    </row>
    <row r="30" spans="1:14" x14ac:dyDescent="0.25">
      <c r="A30" s="120" t="s">
        <v>145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2"/>
    </row>
    <row r="31" spans="1:14" ht="45" x14ac:dyDescent="0.25">
      <c r="A31" s="65" t="s">
        <v>140</v>
      </c>
      <c r="B31" s="65" t="s">
        <v>136</v>
      </c>
      <c r="C31" s="65" t="s">
        <v>137</v>
      </c>
      <c r="D31" s="66" t="s">
        <v>201</v>
      </c>
      <c r="E31" s="66" t="s">
        <v>202</v>
      </c>
      <c r="F31" s="66" t="s">
        <v>141</v>
      </c>
      <c r="G31" s="66" t="s">
        <v>142</v>
      </c>
      <c r="H31" s="66" t="s">
        <v>144</v>
      </c>
      <c r="I31" s="66" t="s">
        <v>135</v>
      </c>
      <c r="J31" s="66" t="s">
        <v>203</v>
      </c>
      <c r="K31" s="95" t="s">
        <v>204</v>
      </c>
    </row>
    <row r="32" spans="1:14" ht="14.45" customHeight="1" x14ac:dyDescent="0.25">
      <c r="A32" s="20" t="s">
        <v>143</v>
      </c>
      <c r="B32" s="2" t="s">
        <v>139</v>
      </c>
      <c r="C32" s="2" t="s">
        <v>138</v>
      </c>
      <c r="D32" s="2">
        <v>0</v>
      </c>
      <c r="E32" s="3">
        <f>TDM!AP25</f>
        <v>7946.5406900000007</v>
      </c>
      <c r="F32" s="2">
        <v>0</v>
      </c>
      <c r="G32" s="2">
        <f>TDM!P22</f>
        <v>38.25</v>
      </c>
      <c r="H32" s="100">
        <f>E32*2</f>
        <v>15893.081380000001</v>
      </c>
      <c r="I32" s="101" t="s">
        <v>205</v>
      </c>
      <c r="J32" s="101">
        <f>(E32*0.08/2)/1900</f>
        <v>0.16729559347368422</v>
      </c>
      <c r="K32" s="101">
        <f>TDM!S25</f>
        <v>0.6165533333333334</v>
      </c>
    </row>
    <row r="33" spans="1:11" ht="14.45" customHeight="1" x14ac:dyDescent="0.25">
      <c r="A33" s="119" t="s">
        <v>219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</row>
    <row r="37" spans="1:11" x14ac:dyDescent="0.25">
      <c r="B37" s="114" t="s">
        <v>61</v>
      </c>
      <c r="C37" s="115"/>
      <c r="D37" s="115"/>
      <c r="E37" s="115"/>
      <c r="F37" s="115"/>
      <c r="G37" s="115"/>
      <c r="H37" s="115"/>
      <c r="I37" s="115"/>
    </row>
    <row r="38" spans="1:11" x14ac:dyDescent="0.25">
      <c r="B38" s="116" t="s">
        <v>159</v>
      </c>
      <c r="C38" s="116"/>
      <c r="D38" s="116" t="s">
        <v>160</v>
      </c>
      <c r="E38" s="117"/>
      <c r="F38" s="118" t="s">
        <v>161</v>
      </c>
      <c r="G38" s="118"/>
      <c r="H38" s="112" t="s">
        <v>158</v>
      </c>
      <c r="I38" s="113"/>
    </row>
    <row r="39" spans="1:11" ht="18" x14ac:dyDescent="0.35">
      <c r="B39" s="2" t="s">
        <v>59</v>
      </c>
      <c r="C39" s="12">
        <f>MIN(TDM!T4,TDM!Z4,TDM!AF4)</f>
        <v>43.24</v>
      </c>
      <c r="D39" s="2" t="s">
        <v>59</v>
      </c>
      <c r="E39" s="15">
        <f>MIN(TDM!U9,TDM!AA9,TDM!AG9)</f>
        <v>36.93</v>
      </c>
      <c r="F39" s="2" t="s">
        <v>59</v>
      </c>
      <c r="G39" s="15">
        <f>MIN(TDM!U14,TDM!AA14,TDM!AG14)</f>
        <v>38.950000000000003</v>
      </c>
      <c r="H39" s="2" t="s">
        <v>59</v>
      </c>
      <c r="I39" s="12">
        <f>MIN(TDM!U22:U24,TDM!AA22:AA24,TDM!AG22:AG24)</f>
        <v>29.26</v>
      </c>
    </row>
    <row r="40" spans="1:11" x14ac:dyDescent="0.25">
      <c r="B40" s="2" t="s">
        <v>58</v>
      </c>
      <c r="C40" s="13">
        <f>TDM!I4</f>
        <v>0.27661999999999998</v>
      </c>
      <c r="D40" s="2" t="s">
        <v>58</v>
      </c>
      <c r="E40" s="49">
        <f>TDM!J9</f>
        <v>0.47999000000000003</v>
      </c>
      <c r="F40" s="2" t="s">
        <v>58</v>
      </c>
      <c r="G40" s="49">
        <f>TDM!J14</f>
        <v>0.47999000000000003</v>
      </c>
      <c r="H40" s="2" t="s">
        <v>58</v>
      </c>
      <c r="I40" s="13">
        <f>TDM!J22+TDM!J23+TDM!J24</f>
        <v>0.90422000000000002</v>
      </c>
    </row>
    <row r="41" spans="1:11" ht="18" x14ac:dyDescent="0.35">
      <c r="B41" s="2" t="s">
        <v>55</v>
      </c>
      <c r="C41" s="14">
        <f>C40/C39</f>
        <v>6.3973172987974091E-3</v>
      </c>
      <c r="D41" s="2" t="s">
        <v>55</v>
      </c>
      <c r="E41" s="50">
        <f>E40/E39</f>
        <v>1.2997292174383971E-2</v>
      </c>
      <c r="F41" s="2" t="s">
        <v>55</v>
      </c>
      <c r="G41" s="50">
        <f>G40/G39</f>
        <v>1.2323234916559692E-2</v>
      </c>
      <c r="H41" s="2" t="s">
        <v>55</v>
      </c>
      <c r="I41" s="14">
        <f>I40/I39</f>
        <v>3.0902939166097061E-2</v>
      </c>
    </row>
    <row r="42" spans="1:11" ht="18" x14ac:dyDescent="0.35">
      <c r="B42" s="2" t="s">
        <v>60</v>
      </c>
      <c r="C42" s="12">
        <f>TDM!O4</f>
        <v>62</v>
      </c>
      <c r="D42" s="2" t="s">
        <v>60</v>
      </c>
      <c r="E42" s="15">
        <f>TDM!P9</f>
        <v>62</v>
      </c>
      <c r="F42" s="2" t="s">
        <v>60</v>
      </c>
      <c r="G42" s="15">
        <f>TDM!P14</f>
        <v>62</v>
      </c>
      <c r="H42" s="2" t="s">
        <v>60</v>
      </c>
      <c r="I42" s="12">
        <f>TDM!P22</f>
        <v>38.25</v>
      </c>
    </row>
    <row r="43" spans="1:11" ht="18" x14ac:dyDescent="0.35">
      <c r="B43" s="2" t="s">
        <v>56</v>
      </c>
      <c r="C43" s="14">
        <f>C40/C42</f>
        <v>4.461612903225806E-3</v>
      </c>
      <c r="D43" s="2" t="s">
        <v>56</v>
      </c>
      <c r="E43" s="50">
        <f>E40/E42</f>
        <v>7.7417741935483873E-3</v>
      </c>
      <c r="F43" s="2" t="s">
        <v>56</v>
      </c>
      <c r="G43" s="50">
        <f>G40/G42</f>
        <v>7.7417741935483873E-3</v>
      </c>
      <c r="H43" s="2" t="s">
        <v>56</v>
      </c>
      <c r="I43" s="14">
        <f>I40/I42</f>
        <v>2.3639738562091502E-2</v>
      </c>
    </row>
    <row r="44" spans="1:11" ht="15.75" thickBot="1" x14ac:dyDescent="0.3">
      <c r="B44" s="48" t="s">
        <v>57</v>
      </c>
      <c r="C44" s="51">
        <f>C41/C43</f>
        <v>1.4338575393154487</v>
      </c>
      <c r="D44" s="48" t="s">
        <v>57</v>
      </c>
      <c r="E44" s="51">
        <f>E41/E43</f>
        <v>1.6788518819388034</v>
      </c>
      <c r="F44" s="48" t="s">
        <v>57</v>
      </c>
      <c r="G44" s="67">
        <f>G41/G43</f>
        <v>1.5917843388960204</v>
      </c>
      <c r="H44" s="48" t="s">
        <v>57</v>
      </c>
      <c r="I44" s="107">
        <f>I41/I43</f>
        <v>1.3072453861927547</v>
      </c>
    </row>
    <row r="47" spans="1:11" x14ac:dyDescent="0.25">
      <c r="B47" s="5"/>
      <c r="C47" s="5"/>
      <c r="D47" s="5"/>
      <c r="E47" s="5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</sheetData>
  <mergeCells count="15">
    <mergeCell ref="A33:K33"/>
    <mergeCell ref="A30:K30"/>
    <mergeCell ref="A9:D9"/>
    <mergeCell ref="A1:B1"/>
    <mergeCell ref="C1:G1"/>
    <mergeCell ref="C2:G2"/>
    <mergeCell ref="C3:G3"/>
    <mergeCell ref="C5:G5"/>
    <mergeCell ref="C6:G6"/>
    <mergeCell ref="C7:G7"/>
    <mergeCell ref="H38:I38"/>
    <mergeCell ref="B37:I37"/>
    <mergeCell ref="B38:C38"/>
    <mergeCell ref="D38:E38"/>
    <mergeCell ref="F38:G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1312-2414-490C-BD34-FB94056D367A}">
  <dimension ref="B2:R37"/>
  <sheetViews>
    <sheetView workbookViewId="0">
      <selection activeCell="D30" sqref="D30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  <col min="14" max="14" width="12.7109375" customWidth="1"/>
  </cols>
  <sheetData>
    <row r="2" spans="2:18" ht="18.75" x14ac:dyDescent="0.25">
      <c r="B2" s="68" t="s">
        <v>162</v>
      </c>
      <c r="C2" s="69"/>
      <c r="D2" s="70"/>
      <c r="E2" s="64"/>
      <c r="F2" s="64"/>
      <c r="G2" s="64"/>
      <c r="H2" s="64"/>
      <c r="I2" s="64"/>
      <c r="J2" s="64"/>
      <c r="K2" s="127" t="s">
        <v>199</v>
      </c>
      <c r="L2" s="127"/>
      <c r="M2" s="127"/>
      <c r="N2" s="127"/>
      <c r="O2" s="127"/>
      <c r="P2" s="127"/>
      <c r="Q2" s="127"/>
      <c r="R2" s="127"/>
    </row>
    <row r="3" spans="2:18" x14ac:dyDescent="0.25">
      <c r="B3" s="64"/>
      <c r="C3" s="71"/>
      <c r="D3" s="64"/>
      <c r="E3" s="64"/>
      <c r="F3" s="64"/>
      <c r="G3" s="64"/>
      <c r="H3" s="64"/>
      <c r="I3" s="64"/>
      <c r="J3" s="64"/>
      <c r="K3" s="119"/>
      <c r="L3" s="119"/>
      <c r="M3" s="119"/>
      <c r="N3" s="119"/>
      <c r="O3" s="58" t="s">
        <v>195</v>
      </c>
      <c r="P3" s="58" t="s">
        <v>196</v>
      </c>
      <c r="Q3" s="58" t="s">
        <v>197</v>
      </c>
      <c r="R3" s="58" t="s">
        <v>198</v>
      </c>
    </row>
    <row r="4" spans="2:18" x14ac:dyDescent="0.25">
      <c r="B4" s="72" t="s">
        <v>163</v>
      </c>
      <c r="C4" s="71"/>
      <c r="D4" s="64"/>
      <c r="E4" s="64"/>
      <c r="F4" s="64"/>
      <c r="G4" s="64"/>
      <c r="H4" s="64"/>
      <c r="I4" s="64"/>
      <c r="J4" s="64"/>
      <c r="K4" s="119" t="s">
        <v>193</v>
      </c>
      <c r="L4" s="119"/>
      <c r="M4" s="119"/>
      <c r="N4" s="119"/>
      <c r="O4" s="2">
        <v>0</v>
      </c>
      <c r="P4" s="2">
        <v>0</v>
      </c>
      <c r="Q4" s="2">
        <v>0</v>
      </c>
      <c r="R4" s="18">
        <f>AVERAGE(O4:Q4)</f>
        <v>0</v>
      </c>
    </row>
    <row r="5" spans="2:18" x14ac:dyDescent="0.25">
      <c r="B5" s="73" t="s">
        <v>164</v>
      </c>
      <c r="C5" s="74" t="s">
        <v>165</v>
      </c>
      <c r="D5" s="64"/>
      <c r="E5" s="73"/>
      <c r="F5" s="64" t="s">
        <v>166</v>
      </c>
      <c r="G5" s="64"/>
      <c r="H5" s="64"/>
      <c r="I5" s="64"/>
      <c r="J5" s="64"/>
      <c r="K5" s="119" t="s">
        <v>194</v>
      </c>
      <c r="L5" s="119"/>
      <c r="M5" s="119"/>
      <c r="N5" s="119"/>
      <c r="O5" s="2">
        <f>TDM!U14</f>
        <v>38.950000000000003</v>
      </c>
      <c r="P5" s="2">
        <f>TDM!AA14</f>
        <v>48.84</v>
      </c>
      <c r="Q5" s="2">
        <f>TDM!AG14</f>
        <v>43.17</v>
      </c>
      <c r="R5" s="18">
        <f>AVERAGE(O5:Q5)</f>
        <v>43.653333333333336</v>
      </c>
    </row>
    <row r="6" spans="2:18" x14ac:dyDescent="0.25">
      <c r="B6" s="73" t="s">
        <v>167</v>
      </c>
      <c r="C6" s="75">
        <v>781</v>
      </c>
      <c r="D6" s="64"/>
      <c r="E6" s="76"/>
      <c r="F6" s="64" t="s">
        <v>168</v>
      </c>
      <c r="G6" s="64"/>
      <c r="H6" s="64"/>
      <c r="I6" s="64"/>
      <c r="J6" s="64"/>
    </row>
    <row r="7" spans="2:18" x14ac:dyDescent="0.25">
      <c r="B7" s="73" t="s">
        <v>169</v>
      </c>
      <c r="C7" s="75"/>
      <c r="D7" s="64"/>
      <c r="E7" s="77"/>
      <c r="F7" s="64" t="s">
        <v>170</v>
      </c>
      <c r="G7" s="64"/>
      <c r="H7" s="64"/>
      <c r="I7" s="64"/>
      <c r="J7" s="64"/>
    </row>
    <row r="8" spans="2:18" x14ac:dyDescent="0.25">
      <c r="B8" s="73" t="s">
        <v>171</v>
      </c>
      <c r="C8" s="75" t="s">
        <v>172</v>
      </c>
      <c r="D8" s="64"/>
      <c r="E8" s="64"/>
      <c r="F8" s="64"/>
      <c r="G8" s="64"/>
      <c r="H8" s="64"/>
      <c r="I8" s="64"/>
      <c r="J8" s="64"/>
    </row>
    <row r="9" spans="2:18" x14ac:dyDescent="0.25">
      <c r="B9" s="64"/>
      <c r="C9" s="71"/>
      <c r="D9" s="64"/>
      <c r="E9" s="64"/>
      <c r="F9" s="64"/>
      <c r="G9" s="64"/>
      <c r="H9" s="64"/>
      <c r="I9" s="64"/>
      <c r="J9" s="64"/>
    </row>
    <row r="10" spans="2:18" x14ac:dyDescent="0.25">
      <c r="B10" s="64"/>
      <c r="C10" s="71"/>
      <c r="D10" s="64"/>
      <c r="E10" s="64"/>
      <c r="F10" s="64"/>
      <c r="G10" s="64"/>
      <c r="H10" s="64"/>
      <c r="I10" s="64"/>
      <c r="J10" s="64"/>
    </row>
    <row r="11" spans="2:18" x14ac:dyDescent="0.25">
      <c r="B11" s="72" t="s">
        <v>173</v>
      </c>
      <c r="C11" s="71"/>
      <c r="D11" s="64"/>
      <c r="E11" s="64"/>
      <c r="F11" s="64"/>
      <c r="G11" s="64"/>
      <c r="H11" s="64"/>
      <c r="I11" s="64"/>
      <c r="J11" s="64"/>
    </row>
    <row r="12" spans="2:18" x14ac:dyDescent="0.25">
      <c r="B12" s="73" t="s">
        <v>174</v>
      </c>
      <c r="C12" s="75">
        <v>2025</v>
      </c>
      <c r="D12" s="64"/>
      <c r="E12" s="64"/>
      <c r="F12" s="64"/>
      <c r="G12" s="64"/>
      <c r="H12" s="64"/>
      <c r="I12" s="64"/>
      <c r="J12" s="64"/>
    </row>
    <row r="13" spans="2:18" x14ac:dyDescent="0.25">
      <c r="B13" s="73" t="s">
        <v>175</v>
      </c>
      <c r="C13" s="75" t="s">
        <v>176</v>
      </c>
      <c r="D13" s="64"/>
      <c r="E13" s="64"/>
      <c r="F13" s="64"/>
      <c r="G13" s="64"/>
      <c r="H13" s="64"/>
      <c r="I13" s="64"/>
      <c r="J13" s="64"/>
    </row>
    <row r="14" spans="2:18" x14ac:dyDescent="0.25">
      <c r="B14" s="78" t="s">
        <v>177</v>
      </c>
      <c r="C14" s="79" t="s">
        <v>200</v>
      </c>
      <c r="D14" s="64"/>
      <c r="E14" s="64"/>
      <c r="F14" s="64"/>
      <c r="G14" s="64"/>
      <c r="H14" s="64"/>
      <c r="I14" s="64"/>
      <c r="J14" s="64"/>
    </row>
    <row r="15" spans="2:18" x14ac:dyDescent="0.25">
      <c r="B15" s="78" t="s">
        <v>178</v>
      </c>
      <c r="C15" s="80">
        <v>0.9</v>
      </c>
      <c r="D15" s="64"/>
      <c r="E15" s="64"/>
      <c r="F15" s="64"/>
      <c r="G15" s="64"/>
      <c r="H15" s="64"/>
      <c r="I15" s="64"/>
      <c r="J15" s="64"/>
    </row>
    <row r="16" spans="2:18" x14ac:dyDescent="0.25">
      <c r="B16" s="78" t="s">
        <v>179</v>
      </c>
      <c r="C16" s="79">
        <v>0</v>
      </c>
      <c r="D16" s="64"/>
      <c r="E16" s="64"/>
      <c r="F16" s="64"/>
      <c r="G16" s="64"/>
      <c r="H16" s="64"/>
      <c r="I16" s="64"/>
      <c r="J16" s="64"/>
    </row>
    <row r="17" spans="2:10" x14ac:dyDescent="0.25">
      <c r="B17" s="81" t="s">
        <v>180</v>
      </c>
      <c r="C17" s="79">
        <v>43.65</v>
      </c>
      <c r="D17" s="64"/>
      <c r="E17" s="64"/>
      <c r="F17" s="64"/>
      <c r="G17" s="64"/>
      <c r="H17" s="64"/>
      <c r="I17" s="64"/>
      <c r="J17" s="64"/>
    </row>
    <row r="18" spans="2:10" x14ac:dyDescent="0.25">
      <c r="B18" s="82" t="s">
        <v>181</v>
      </c>
      <c r="C18" s="83">
        <f>VLOOKUP(C13,'[1]Service Life'!C6:D12,2,FALSE)</f>
        <v>20</v>
      </c>
      <c r="D18" s="64"/>
      <c r="E18" s="64"/>
      <c r="F18" s="64"/>
      <c r="G18" s="64"/>
      <c r="H18" s="64"/>
      <c r="I18" s="64"/>
      <c r="J18" s="64"/>
    </row>
    <row r="19" spans="2:10" x14ac:dyDescent="0.25">
      <c r="B19" s="64"/>
      <c r="C19" s="71"/>
      <c r="D19" s="64"/>
      <c r="E19" s="64"/>
      <c r="F19" s="64"/>
      <c r="G19" s="64"/>
      <c r="H19" s="64"/>
      <c r="I19" s="64"/>
      <c r="J19" s="64"/>
    </row>
    <row r="20" spans="2:10" x14ac:dyDescent="0.25">
      <c r="B20" s="72" t="s">
        <v>182</v>
      </c>
      <c r="C20" s="71"/>
      <c r="D20" s="64"/>
      <c r="E20" s="64"/>
      <c r="F20" s="64"/>
      <c r="G20" s="64"/>
      <c r="H20" s="64"/>
      <c r="I20" s="64"/>
      <c r="J20" s="64"/>
    </row>
    <row r="21" spans="2:10" ht="30" x14ac:dyDescent="0.25">
      <c r="B21" s="81" t="s">
        <v>183</v>
      </c>
      <c r="C21" s="79">
        <v>7946.5406900000007</v>
      </c>
      <c r="D21" s="64"/>
      <c r="E21" s="64"/>
      <c r="F21" s="64"/>
      <c r="G21" s="64"/>
      <c r="H21" s="64"/>
      <c r="I21" s="64"/>
      <c r="J21" s="64"/>
    </row>
    <row r="22" spans="2:10" x14ac:dyDescent="0.25">
      <c r="B22" s="84"/>
      <c r="C22" s="85"/>
      <c r="D22" s="64"/>
      <c r="E22" s="64"/>
      <c r="F22" s="64"/>
      <c r="G22" s="64"/>
      <c r="H22" s="64"/>
      <c r="I22" s="64"/>
      <c r="J22" s="64"/>
    </row>
    <row r="23" spans="2:10" x14ac:dyDescent="0.25">
      <c r="B23" s="64"/>
      <c r="C23" s="71"/>
      <c r="D23" s="64"/>
      <c r="E23" s="64"/>
      <c r="F23" s="64"/>
      <c r="G23" s="64"/>
      <c r="H23" s="64"/>
      <c r="I23" s="64"/>
      <c r="J23" s="64"/>
    </row>
    <row r="24" spans="2:10" x14ac:dyDescent="0.25">
      <c r="B24" s="64"/>
      <c r="C24" s="71"/>
      <c r="D24" s="64"/>
      <c r="E24" s="64"/>
      <c r="F24" s="64"/>
      <c r="G24" s="64"/>
      <c r="H24" s="64"/>
      <c r="I24" s="64"/>
      <c r="J24" s="64"/>
    </row>
    <row r="25" spans="2:10" ht="18.75" x14ac:dyDescent="0.25">
      <c r="B25" s="68" t="s">
        <v>184</v>
      </c>
      <c r="C25" s="69"/>
      <c r="D25" s="64"/>
      <c r="E25" s="64"/>
      <c r="F25" s="64"/>
      <c r="G25" s="64"/>
      <c r="H25" s="64"/>
      <c r="I25" s="64"/>
      <c r="J25" s="64"/>
    </row>
    <row r="26" spans="2:10" x14ac:dyDescent="0.25">
      <c r="B26" s="64"/>
      <c r="C26" s="71"/>
      <c r="D26" s="64"/>
      <c r="E26" s="64"/>
      <c r="F26" s="64"/>
      <c r="G26" s="64"/>
      <c r="H26" s="64"/>
      <c r="I26" s="64"/>
      <c r="J26" s="64"/>
    </row>
    <row r="27" spans="2:10" x14ac:dyDescent="0.25">
      <c r="B27" s="86" t="s">
        <v>185</v>
      </c>
      <c r="C27" s="71"/>
      <c r="D27" s="64"/>
      <c r="E27" s="64"/>
      <c r="F27" s="64"/>
      <c r="G27" s="64"/>
      <c r="H27" s="64"/>
      <c r="I27" s="64"/>
      <c r="J27" s="64"/>
    </row>
    <row r="28" spans="2:10" x14ac:dyDescent="0.25">
      <c r="B28" s="77" t="s">
        <v>186</v>
      </c>
      <c r="C28" s="87">
        <f>'[1]Benefit Calculations'!M35</f>
        <v>913.91455373444137</v>
      </c>
      <c r="D28" s="64"/>
      <c r="E28" s="64"/>
      <c r="F28" s="64"/>
      <c r="G28" s="64"/>
      <c r="H28" s="64"/>
      <c r="I28" s="64"/>
      <c r="J28" s="64"/>
    </row>
    <row r="29" spans="2:10" x14ac:dyDescent="0.25">
      <c r="B29" s="77" t="s">
        <v>187</v>
      </c>
      <c r="C29" s="87">
        <f>'[1]Benefit Calculations'!Q35</f>
        <v>156772.62679864088</v>
      </c>
      <c r="D29" s="64"/>
      <c r="E29" s="64"/>
      <c r="F29" s="64"/>
      <c r="G29" s="64"/>
      <c r="H29" s="64"/>
      <c r="I29" s="64"/>
      <c r="J29" s="64"/>
    </row>
    <row r="30" spans="2:10" x14ac:dyDescent="0.25">
      <c r="B30" s="64"/>
      <c r="C30" s="88"/>
      <c r="D30" s="64"/>
      <c r="E30" s="64"/>
      <c r="F30" s="64"/>
      <c r="G30" s="64"/>
      <c r="H30" s="64"/>
      <c r="I30" s="64"/>
      <c r="J30" s="64"/>
    </row>
    <row r="31" spans="2:10" x14ac:dyDescent="0.25">
      <c r="B31" s="86" t="s">
        <v>188</v>
      </c>
      <c r="C31" s="88"/>
      <c r="D31" s="64"/>
      <c r="E31" s="64"/>
      <c r="F31" s="64"/>
      <c r="G31" s="64"/>
      <c r="H31" s="64"/>
      <c r="I31" s="64"/>
      <c r="J31" s="64"/>
    </row>
    <row r="32" spans="2:10" x14ac:dyDescent="0.25">
      <c r="B32" s="77" t="s">
        <v>189</v>
      </c>
      <c r="C32" s="87">
        <f>$C$28+$C$29</f>
        <v>157686.54135237532</v>
      </c>
      <c r="D32" s="64"/>
      <c r="E32" s="64"/>
      <c r="F32" s="64"/>
      <c r="G32" s="64"/>
      <c r="H32" s="64"/>
      <c r="I32" s="64"/>
      <c r="J32" s="64"/>
    </row>
    <row r="33" spans="2:10" x14ac:dyDescent="0.25">
      <c r="B33" s="64"/>
      <c r="C33" s="71"/>
      <c r="D33" s="64"/>
      <c r="E33" s="64"/>
      <c r="F33" s="64"/>
      <c r="G33" s="64"/>
      <c r="H33" s="64"/>
      <c r="I33" s="64"/>
      <c r="J33" s="89"/>
    </row>
    <row r="34" spans="2:10" x14ac:dyDescent="0.25">
      <c r="B34" s="86" t="s">
        <v>190</v>
      </c>
      <c r="C34" s="71"/>
      <c r="D34" s="64"/>
      <c r="E34" s="64"/>
      <c r="F34" s="64"/>
      <c r="G34" s="64"/>
      <c r="H34" s="64"/>
      <c r="I34" s="64"/>
      <c r="J34" s="64"/>
    </row>
    <row r="35" spans="2:10" x14ac:dyDescent="0.25">
      <c r="B35" s="77" t="s">
        <v>191</v>
      </c>
      <c r="C35" s="90">
        <f>'[1]Benefit Calculations'!K35</f>
        <v>0.12857436324939236</v>
      </c>
      <c r="D35" s="64"/>
      <c r="E35" s="64"/>
      <c r="F35" s="64"/>
      <c r="G35" s="64"/>
      <c r="H35" s="64"/>
      <c r="I35" s="64"/>
      <c r="J35" s="64"/>
    </row>
    <row r="36" spans="2:10" x14ac:dyDescent="0.25">
      <c r="B36" s="77" t="s">
        <v>192</v>
      </c>
      <c r="C36" s="90">
        <f>'[1]Benefit Calculations'!O35</f>
        <v>0.46539341039911619</v>
      </c>
      <c r="D36" s="64"/>
      <c r="E36" s="64"/>
      <c r="F36" s="64"/>
      <c r="G36" s="64"/>
      <c r="H36" s="64"/>
      <c r="I36" s="64"/>
      <c r="J36" s="64"/>
    </row>
    <row r="37" spans="2:10" x14ac:dyDescent="0.25">
      <c r="B37" s="64"/>
      <c r="C37" s="71"/>
      <c r="D37" s="64"/>
      <c r="E37" s="64"/>
      <c r="F37" s="64"/>
      <c r="G37" s="64"/>
      <c r="H37" s="64"/>
      <c r="I37" s="64"/>
      <c r="J37" s="64"/>
    </row>
  </sheetData>
  <mergeCells count="4">
    <mergeCell ref="K4:N4"/>
    <mergeCell ref="K5:N5"/>
    <mergeCell ref="K2:R2"/>
    <mergeCell ref="K3:N3"/>
  </mergeCells>
  <dataValidations count="1">
    <dataValidation operator="lessThanOrEqual" allowBlank="1" showInputMessage="1" showErrorMessage="1" error="Volume Must Be Less Than Stated Capacity" sqref="C15" xr:uid="{983EF22E-BC31-4450-9200-94CACF4FA40F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D68"/>
  <sheetViews>
    <sheetView workbookViewId="0">
      <selection activeCell="E5" sqref="E5"/>
    </sheetView>
  </sheetViews>
  <sheetFormatPr defaultRowHeight="15" x14ac:dyDescent="0.25"/>
  <cols>
    <col min="1" max="1" width="33.7109375" bestFit="1" customWidth="1"/>
    <col min="2" max="2" width="16.28515625" bestFit="1" customWidth="1"/>
    <col min="3" max="3" width="22.7109375" bestFit="1" customWidth="1"/>
    <col min="4" max="4" width="22.140625" bestFit="1" customWidth="1"/>
    <col min="5" max="5" width="7" customWidth="1"/>
    <col min="6" max="6" width="35.42578125" customWidth="1"/>
    <col min="7" max="7" width="34.5703125" customWidth="1"/>
    <col min="8" max="8" width="49.85546875" customWidth="1"/>
  </cols>
  <sheetData>
    <row r="1" spans="1:4" x14ac:dyDescent="0.25">
      <c r="A1" s="116" t="s">
        <v>206</v>
      </c>
      <c r="B1" s="116"/>
      <c r="C1" s="116"/>
      <c r="D1" s="116"/>
    </row>
    <row r="2" spans="1:4" x14ac:dyDescent="0.25">
      <c r="A2" s="12" t="s">
        <v>117</v>
      </c>
      <c r="B2" s="104" t="s">
        <v>209</v>
      </c>
      <c r="C2" s="104" t="s">
        <v>207</v>
      </c>
      <c r="D2" s="104" t="s">
        <v>208</v>
      </c>
    </row>
    <row r="3" spans="1:4" ht="19.5" customHeight="1" x14ac:dyDescent="0.25">
      <c r="A3" s="58">
        <v>1</v>
      </c>
      <c r="B3" s="105" t="s">
        <v>85</v>
      </c>
      <c r="C3" s="105" t="s">
        <v>220</v>
      </c>
      <c r="D3" s="105" t="s">
        <v>210</v>
      </c>
    </row>
    <row r="4" spans="1:4" ht="68.25" customHeight="1" thickBot="1" x14ac:dyDescent="0.3"/>
    <row r="5" spans="1:4" ht="55.5" customHeight="1" thickBot="1" x14ac:dyDescent="0.3">
      <c r="A5" s="44" t="s">
        <v>115</v>
      </c>
      <c r="B5" s="45" t="s">
        <v>87</v>
      </c>
    </row>
    <row r="6" spans="1:4" x14ac:dyDescent="0.25">
      <c r="A6" s="131" t="s">
        <v>88</v>
      </c>
      <c r="B6" s="131"/>
    </row>
    <row r="7" spans="1:4" x14ac:dyDescent="0.25">
      <c r="A7" s="47" t="s">
        <v>89</v>
      </c>
      <c r="B7" s="47" t="s">
        <v>68</v>
      </c>
    </row>
    <row r="8" spans="1:4" x14ac:dyDescent="0.25">
      <c r="A8" t="s">
        <v>90</v>
      </c>
      <c r="B8">
        <f>176+9</f>
        <v>185</v>
      </c>
    </row>
    <row r="9" spans="1:4" x14ac:dyDescent="0.25">
      <c r="A9" t="s">
        <v>91</v>
      </c>
      <c r="B9">
        <f>3210+1985</f>
        <v>5195</v>
      </c>
    </row>
    <row r="10" spans="1:4" x14ac:dyDescent="0.25">
      <c r="A10" t="s">
        <v>92</v>
      </c>
      <c r="B10">
        <v>274</v>
      </c>
    </row>
    <row r="11" spans="1:4" x14ac:dyDescent="0.25">
      <c r="A11" t="s">
        <v>93</v>
      </c>
      <c r="B11">
        <v>458</v>
      </c>
    </row>
    <row r="12" spans="1:4" x14ac:dyDescent="0.25">
      <c r="A12" t="s">
        <v>94</v>
      </c>
      <c r="B12">
        <v>338</v>
      </c>
    </row>
    <row r="13" spans="1:4" x14ac:dyDescent="0.25">
      <c r="A13" t="s">
        <v>95</v>
      </c>
      <c r="B13">
        <v>387</v>
      </c>
    </row>
    <row r="14" spans="1:4" x14ac:dyDescent="0.25">
      <c r="A14" t="s">
        <v>96</v>
      </c>
      <c r="B14">
        <v>10938</v>
      </c>
    </row>
    <row r="15" spans="1:4" x14ac:dyDescent="0.25">
      <c r="A15" t="s">
        <v>97</v>
      </c>
      <c r="B15" s="43">
        <f>B8/B14</f>
        <v>1.6913512525141706E-2</v>
      </c>
    </row>
    <row r="16" spans="1:4" x14ac:dyDescent="0.25">
      <c r="A16" t="s">
        <v>98</v>
      </c>
      <c r="B16" s="43">
        <f>B9/B14</f>
        <v>0.47494971658438473</v>
      </c>
    </row>
    <row r="17" spans="1:3" ht="15.75" thickBot="1" x14ac:dyDescent="0.3"/>
    <row r="18" spans="1:3" ht="15.75" thickBot="1" x14ac:dyDescent="0.3">
      <c r="A18" s="44" t="s">
        <v>116</v>
      </c>
      <c r="B18" s="128" t="s">
        <v>109</v>
      </c>
      <c r="C18" s="129"/>
    </row>
    <row r="19" spans="1:3" x14ac:dyDescent="0.25">
      <c r="A19" s="118" t="s">
        <v>99</v>
      </c>
      <c r="B19" s="118"/>
    </row>
    <row r="20" spans="1:3" x14ac:dyDescent="0.25">
      <c r="A20" s="47" t="s">
        <v>89</v>
      </c>
      <c r="B20" s="47" t="s">
        <v>68</v>
      </c>
      <c r="C20" s="46" t="s">
        <v>108</v>
      </c>
    </row>
    <row r="21" spans="1:3" x14ac:dyDescent="0.25">
      <c r="A21" s="2" t="s">
        <v>100</v>
      </c>
      <c r="B21" s="2">
        <v>289363</v>
      </c>
      <c r="C21" s="2"/>
    </row>
    <row r="22" spans="1:3" x14ac:dyDescent="0.25">
      <c r="A22" s="2" t="s">
        <v>101</v>
      </c>
      <c r="B22" s="2">
        <v>13.8</v>
      </c>
      <c r="C22" s="2"/>
    </row>
    <row r="23" spans="1:3" x14ac:dyDescent="0.25">
      <c r="A23" s="2" t="s">
        <v>103</v>
      </c>
      <c r="B23" s="2">
        <v>297134</v>
      </c>
      <c r="C23" s="2"/>
    </row>
    <row r="24" spans="1:3" x14ac:dyDescent="0.25">
      <c r="A24" s="2" t="s">
        <v>102</v>
      </c>
      <c r="B24" s="2">
        <v>339666</v>
      </c>
      <c r="C24" s="4">
        <f>(B24-B23)/B23</f>
        <v>0.1431408051586153</v>
      </c>
    </row>
    <row r="25" spans="1:3" x14ac:dyDescent="0.25">
      <c r="A25" s="2" t="s">
        <v>104</v>
      </c>
      <c r="B25" s="2">
        <v>80384</v>
      </c>
      <c r="C25" s="2"/>
    </row>
    <row r="26" spans="1:3" x14ac:dyDescent="0.25">
      <c r="A26" s="2" t="s">
        <v>105</v>
      </c>
      <c r="B26" s="2">
        <v>101649</v>
      </c>
      <c r="C26" s="4">
        <f>(B26-B25)/B25</f>
        <v>0.26454269506369427</v>
      </c>
    </row>
    <row r="27" spans="1:3" x14ac:dyDescent="0.25">
      <c r="A27" s="2" t="s">
        <v>106</v>
      </c>
      <c r="B27" s="2">
        <v>96683</v>
      </c>
      <c r="C27" s="2"/>
    </row>
    <row r="28" spans="1:3" x14ac:dyDescent="0.25">
      <c r="A28" s="2" t="s">
        <v>107</v>
      </c>
      <c r="B28" s="2">
        <v>115839</v>
      </c>
      <c r="C28" s="4">
        <f>(B28-B27)/B27</f>
        <v>0.19813203975879937</v>
      </c>
    </row>
    <row r="29" spans="1:3" ht="15.75" thickBot="1" x14ac:dyDescent="0.3"/>
    <row r="30" spans="1:3" ht="15.75" thickBot="1" x14ac:dyDescent="0.3">
      <c r="A30" s="44" t="s">
        <v>213</v>
      </c>
      <c r="B30" s="128" t="s">
        <v>109</v>
      </c>
      <c r="C30" s="129"/>
    </row>
    <row r="31" spans="1:3" x14ac:dyDescent="0.25">
      <c r="A31" s="118" t="s">
        <v>99</v>
      </c>
      <c r="B31" s="118"/>
    </row>
    <row r="32" spans="1:3" x14ac:dyDescent="0.25">
      <c r="A32" s="47" t="s">
        <v>89</v>
      </c>
      <c r="B32" s="47" t="s">
        <v>68</v>
      </c>
      <c r="C32" s="46" t="s">
        <v>108</v>
      </c>
    </row>
    <row r="33" spans="1:4" x14ac:dyDescent="0.25">
      <c r="A33" s="2" t="s">
        <v>100</v>
      </c>
      <c r="B33" s="2"/>
      <c r="C33" s="2"/>
    </row>
    <row r="34" spans="1:4" x14ac:dyDescent="0.25">
      <c r="A34" s="2" t="s">
        <v>103</v>
      </c>
      <c r="B34" s="2">
        <v>95134</v>
      </c>
      <c r="C34" s="2"/>
    </row>
    <row r="35" spans="1:4" x14ac:dyDescent="0.25">
      <c r="A35" s="2" t="s">
        <v>102</v>
      </c>
      <c r="B35" s="2">
        <v>95454</v>
      </c>
      <c r="C35" s="4">
        <f>(B35-B34)/B34</f>
        <v>3.363676498412765E-3</v>
      </c>
    </row>
    <row r="36" spans="1:4" x14ac:dyDescent="0.25">
      <c r="A36" s="2" t="s">
        <v>104</v>
      </c>
      <c r="B36" s="2">
        <v>22890</v>
      </c>
      <c r="C36" s="2"/>
    </row>
    <row r="37" spans="1:4" x14ac:dyDescent="0.25">
      <c r="A37" s="2" t="s">
        <v>105</v>
      </c>
      <c r="B37" s="2">
        <v>26091</v>
      </c>
      <c r="C37" s="4">
        <f>(B37-B36)/B36</f>
        <v>0.1398427260812582</v>
      </c>
    </row>
    <row r="38" spans="1:4" x14ac:dyDescent="0.25">
      <c r="A38" s="2" t="s">
        <v>106</v>
      </c>
      <c r="B38" s="2">
        <v>30422</v>
      </c>
      <c r="C38" s="2"/>
    </row>
    <row r="39" spans="1:4" x14ac:dyDescent="0.25">
      <c r="A39" s="2" t="s">
        <v>107</v>
      </c>
      <c r="B39" s="2">
        <v>31890</v>
      </c>
      <c r="C39" s="4">
        <f>(B39-B38)/B38</f>
        <v>4.8254552626388794E-2</v>
      </c>
    </row>
    <row r="40" spans="1:4" ht="15.75" thickBot="1" x14ac:dyDescent="0.3">
      <c r="C40" s="102"/>
    </row>
    <row r="41" spans="1:4" ht="15.75" thickBot="1" x14ac:dyDescent="0.3">
      <c r="A41" s="132" t="s">
        <v>212</v>
      </c>
      <c r="B41" s="133"/>
      <c r="C41" s="133"/>
      <c r="D41" s="134"/>
    </row>
    <row r="42" spans="1:4" x14ac:dyDescent="0.25">
      <c r="A42" t="s">
        <v>89</v>
      </c>
      <c r="B42" t="s">
        <v>217</v>
      </c>
      <c r="C42">
        <v>2045</v>
      </c>
      <c r="D42" t="s">
        <v>109</v>
      </c>
    </row>
    <row r="43" spans="1:4" x14ac:dyDescent="0.25">
      <c r="A43" t="s">
        <v>211</v>
      </c>
      <c r="B43">
        <v>3751.4</v>
      </c>
      <c r="C43">
        <v>3795.88</v>
      </c>
      <c r="D43" s="103">
        <f>(C43-B43)/B43</f>
        <v>1.1856906754811542E-2</v>
      </c>
    </row>
    <row r="44" spans="1:4" x14ac:dyDescent="0.25">
      <c r="A44" t="s">
        <v>214</v>
      </c>
      <c r="B44">
        <v>613.54999999999995</v>
      </c>
      <c r="C44">
        <v>621.41</v>
      </c>
      <c r="D44" s="103">
        <f t="shared" ref="D44:D46" si="0">(C44-B44)/B44</f>
        <v>1.2810691875152823E-2</v>
      </c>
    </row>
    <row r="45" spans="1:4" x14ac:dyDescent="0.25">
      <c r="A45" t="s">
        <v>215</v>
      </c>
      <c r="B45">
        <v>105.14</v>
      </c>
      <c r="C45">
        <v>105.14</v>
      </c>
      <c r="D45" s="103">
        <f t="shared" si="0"/>
        <v>0</v>
      </c>
    </row>
    <row r="46" spans="1:4" x14ac:dyDescent="0.25">
      <c r="A46" t="s">
        <v>216</v>
      </c>
      <c r="B46">
        <v>548.91999999999996</v>
      </c>
      <c r="C46">
        <v>549.09</v>
      </c>
      <c r="D46" s="103">
        <f t="shared" si="0"/>
        <v>3.0969904539836912E-4</v>
      </c>
    </row>
    <row r="53" spans="1:3" ht="30" x14ac:dyDescent="0.25">
      <c r="A53" s="53" t="s">
        <v>110</v>
      </c>
      <c r="B53" s="52" t="s">
        <v>100</v>
      </c>
    </row>
    <row r="54" spans="1:3" x14ac:dyDescent="0.25">
      <c r="A54" t="s">
        <v>111</v>
      </c>
      <c r="B54" s="2">
        <v>21926</v>
      </c>
    </row>
    <row r="55" spans="1:3" x14ac:dyDescent="0.25">
      <c r="A55" t="s">
        <v>112</v>
      </c>
      <c r="B55" s="2">
        <v>17259</v>
      </c>
    </row>
    <row r="56" spans="1:3" x14ac:dyDescent="0.25">
      <c r="A56" s="2" t="s">
        <v>113</v>
      </c>
      <c r="B56" s="2">
        <v>221450</v>
      </c>
    </row>
    <row r="57" spans="1:3" x14ac:dyDescent="0.25">
      <c r="A57" s="2" t="s">
        <v>114</v>
      </c>
      <c r="B57" s="2">
        <v>195258</v>
      </c>
    </row>
    <row r="58" spans="1:3" x14ac:dyDescent="0.25">
      <c r="B58">
        <f>SUM(B54:B57)</f>
        <v>455893</v>
      </c>
    </row>
    <row r="60" spans="1:3" x14ac:dyDescent="0.25">
      <c r="A60" s="130" t="s">
        <v>218</v>
      </c>
      <c r="B60" s="130"/>
      <c r="C60" s="130"/>
    </row>
    <row r="61" spans="1:3" x14ac:dyDescent="0.25">
      <c r="A61" s="47" t="s">
        <v>89</v>
      </c>
      <c r="B61" s="47" t="s">
        <v>68</v>
      </c>
      <c r="C61" s="46" t="s">
        <v>108</v>
      </c>
    </row>
    <row r="62" spans="1:3" x14ac:dyDescent="0.25">
      <c r="A62" s="2" t="s">
        <v>100</v>
      </c>
      <c r="B62" s="2">
        <v>808731</v>
      </c>
      <c r="C62" s="2"/>
    </row>
    <row r="63" spans="1:3" x14ac:dyDescent="0.25">
      <c r="A63" s="2" t="s">
        <v>103</v>
      </c>
      <c r="B63" s="2">
        <v>782063</v>
      </c>
      <c r="C63" s="2"/>
    </row>
    <row r="64" spans="1:3" x14ac:dyDescent="0.25">
      <c r="A64" s="2" t="s">
        <v>102</v>
      </c>
      <c r="B64" s="2">
        <v>1362213</v>
      </c>
      <c r="C64" s="4">
        <f>(B64-B63)/B63</f>
        <v>0.74182003240148175</v>
      </c>
    </row>
    <row r="65" spans="1:3" x14ac:dyDescent="0.25">
      <c r="A65" s="2" t="s">
        <v>104</v>
      </c>
      <c r="B65" s="2">
        <v>224352</v>
      </c>
      <c r="C65" s="2"/>
    </row>
    <row r="66" spans="1:3" x14ac:dyDescent="0.25">
      <c r="A66" s="2" t="s">
        <v>105</v>
      </c>
      <c r="B66" s="2">
        <v>340813</v>
      </c>
      <c r="C66" s="4">
        <f>(B66-B65)/B65</f>
        <v>0.51909945086292963</v>
      </c>
    </row>
    <row r="67" spans="1:3" x14ac:dyDescent="0.25">
      <c r="A67" s="2" t="s">
        <v>106</v>
      </c>
      <c r="B67" s="2">
        <v>276844</v>
      </c>
      <c r="C67" s="2"/>
    </row>
    <row r="68" spans="1:3" x14ac:dyDescent="0.25">
      <c r="A68" s="2" t="s">
        <v>107</v>
      </c>
      <c r="B68" s="2">
        <v>523775</v>
      </c>
      <c r="C68" s="4">
        <f>(B68-B67)/B67</f>
        <v>0.89194997904957307</v>
      </c>
    </row>
  </sheetData>
  <mergeCells count="8">
    <mergeCell ref="A1:D1"/>
    <mergeCell ref="B30:C30"/>
    <mergeCell ref="A31:B31"/>
    <mergeCell ref="A60:C60"/>
    <mergeCell ref="A6:B6"/>
    <mergeCell ref="A19:B19"/>
    <mergeCell ref="B18:C18"/>
    <mergeCell ref="A41:D41"/>
  </mergeCells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8"/>
  <sheetViews>
    <sheetView workbookViewId="0">
      <selection activeCell="G15" sqref="G15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117</v>
      </c>
      <c r="B1" s="54" t="s">
        <v>118</v>
      </c>
      <c r="C1" s="54" t="s">
        <v>119</v>
      </c>
      <c r="D1" s="54" t="s">
        <v>120</v>
      </c>
      <c r="E1" s="54" t="s">
        <v>121</v>
      </c>
      <c r="F1" s="55" t="s">
        <v>122</v>
      </c>
      <c r="G1" s="56" t="s">
        <v>123</v>
      </c>
    </row>
    <row r="2" spans="1:7" ht="30" x14ac:dyDescent="0.25">
      <c r="A2">
        <v>1</v>
      </c>
      <c r="B2" s="57" t="s">
        <v>124</v>
      </c>
      <c r="C2" s="58">
        <v>401</v>
      </c>
      <c r="D2" s="59">
        <v>0.2</v>
      </c>
      <c r="E2" s="58">
        <v>2</v>
      </c>
      <c r="F2" s="60" t="s">
        <v>125</v>
      </c>
      <c r="G2" s="61" t="s">
        <v>126</v>
      </c>
    </row>
    <row r="3" spans="1:7" x14ac:dyDescent="0.25">
      <c r="A3">
        <v>2</v>
      </c>
      <c r="B3" s="57" t="s">
        <v>127</v>
      </c>
      <c r="C3" s="58">
        <v>407</v>
      </c>
      <c r="D3" s="62">
        <v>0.65</v>
      </c>
      <c r="E3" s="58">
        <v>10</v>
      </c>
      <c r="F3" s="63" t="s">
        <v>128</v>
      </c>
      <c r="G3" s="61" t="s">
        <v>128</v>
      </c>
    </row>
    <row r="4" spans="1:7" x14ac:dyDescent="0.25">
      <c r="A4">
        <v>3</v>
      </c>
      <c r="B4" s="57" t="s">
        <v>129</v>
      </c>
      <c r="C4" s="58">
        <v>517</v>
      </c>
      <c r="D4" s="62">
        <v>0.28000000000000003</v>
      </c>
      <c r="E4" s="58">
        <v>20</v>
      </c>
      <c r="F4" s="60" t="s">
        <v>125</v>
      </c>
      <c r="G4" s="61" t="s">
        <v>130</v>
      </c>
    </row>
    <row r="5" spans="1:7" ht="30" x14ac:dyDescent="0.25">
      <c r="A5">
        <v>4</v>
      </c>
      <c r="B5" s="57" t="s">
        <v>131</v>
      </c>
      <c r="C5" s="58">
        <v>521</v>
      </c>
      <c r="D5" s="59">
        <v>0.25</v>
      </c>
      <c r="E5" s="58">
        <v>10</v>
      </c>
      <c r="F5" s="63" t="s">
        <v>132</v>
      </c>
      <c r="G5" s="61" t="s">
        <v>133</v>
      </c>
    </row>
    <row r="8" spans="1:7" x14ac:dyDescent="0.25">
      <c r="B8" s="57" t="s">
        <v>134</v>
      </c>
      <c r="C8" s="2"/>
      <c r="D8" s="108">
        <f>1-((1-D2)*(1-D3)*(1-D4)*(1-D5))</f>
        <v>0.8488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TDM</vt:lpstr>
      <vt:lpstr>Volumes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2024-02-12T19:36:58Z</dcterms:modified>
</cp:coreProperties>
</file>