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304" documentId="11_F25DC773A252ABDACC10480171DC540E5BDE58ED" xr6:coauthVersionLast="47" xr6:coauthVersionMax="47" xr10:uidLastSave="{92EA3810-6DD0-4AB9-841F-2A5005B5EEC3}"/>
  <bookViews>
    <workbookView xWindow="-120" yWindow="-120" windowWidth="29040" windowHeight="15720" activeTab="2" xr2:uid="{00000000-000D-0000-FFFF-FFFF00000000}"/>
  </bookViews>
  <sheets>
    <sheet name="TDM" sheetId="2" r:id="rId1"/>
    <sheet name="Volumes" sheetId="3" r:id="rId2"/>
    <sheet name="Traffic" sheetId="1" r:id="rId3"/>
    <sheet name="Emission" sheetId="6" r:id="rId4"/>
    <sheet name="Demographics" sheetId="4" r:id="rId5"/>
    <sheet name="CRF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D35" i="4"/>
  <c r="D34" i="4"/>
  <c r="D33" i="4"/>
  <c r="D32" i="4"/>
  <c r="S32" i="2"/>
  <c r="K22" i="1" s="1"/>
  <c r="T32" i="2"/>
  <c r="G22" i="1"/>
  <c r="E22" i="1"/>
  <c r="H22" i="1" s="1"/>
  <c r="J22" i="1" s="1"/>
  <c r="L3" i="1" l="1"/>
  <c r="L2" i="1"/>
  <c r="C18" i="6"/>
  <c r="AP32" i="2"/>
  <c r="Q5" i="6"/>
  <c r="P5" i="6"/>
  <c r="O5" i="6"/>
  <c r="R4" i="6"/>
  <c r="H37" i="1"/>
  <c r="AG32" i="2"/>
  <c r="AA32" i="2"/>
  <c r="U32" i="2"/>
  <c r="H35" i="1"/>
  <c r="F37" i="1"/>
  <c r="F35" i="1"/>
  <c r="F34" i="1"/>
  <c r="D37" i="1"/>
  <c r="D35" i="1"/>
  <c r="D34" i="1"/>
  <c r="B37" i="1"/>
  <c r="B35" i="1"/>
  <c r="B34" i="1"/>
  <c r="B15" i="1"/>
  <c r="B14" i="1"/>
  <c r="B13" i="1"/>
  <c r="B12" i="1"/>
  <c r="B11" i="1"/>
  <c r="R5" i="6" l="1"/>
  <c r="H34" i="1"/>
  <c r="H36" i="1" s="1"/>
  <c r="F36" i="1"/>
  <c r="D36" i="1"/>
  <c r="B36" i="1"/>
  <c r="B38" i="1"/>
  <c r="F38" i="1"/>
  <c r="H38" i="1"/>
  <c r="D38" i="1"/>
  <c r="C45" i="3"/>
  <c r="C47" i="3" s="1"/>
  <c r="C35" i="3"/>
  <c r="C37" i="3" s="1"/>
  <c r="C25" i="3"/>
  <c r="C27" i="3" s="1"/>
  <c r="C15" i="3"/>
  <c r="C17" i="3" s="1"/>
  <c r="C5" i="3"/>
  <c r="C7" i="3" s="1"/>
  <c r="H39" i="1" l="1"/>
  <c r="F39" i="1"/>
  <c r="D39" i="1"/>
  <c r="B39" i="1"/>
  <c r="B16" i="1" l="1"/>
  <c r="D8" i="5"/>
  <c r="B47" i="4"/>
  <c r="C24" i="4" l="1"/>
  <c r="C28" i="4"/>
  <c r="C26" i="4"/>
  <c r="B15" i="4"/>
  <c r="B16" i="4"/>
  <c r="L4" i="1" l="1"/>
  <c r="C36" i="6" l="1"/>
  <c r="C35" i="6" l="1"/>
  <c r="C28" i="6" l="1"/>
  <c r="C29" i="6"/>
  <c r="C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X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<sst xmlns="http://schemas.openxmlformats.org/spreadsheetml/2006/main" count="429" uniqueCount="221">
  <si>
    <t>AADT</t>
  </si>
  <si>
    <t>Volume Growth</t>
  </si>
  <si>
    <t>Total Volume</t>
  </si>
  <si>
    <t>HGAC TDM 2023</t>
  </si>
  <si>
    <t>HGAC TDM 2045</t>
  </si>
  <si>
    <t>% growth</t>
  </si>
  <si>
    <t>C</t>
  </si>
  <si>
    <t>SH 99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</si>
  <si>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</si>
  <si>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</si>
  <si>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</si>
  <si>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</si>
  <si>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</si>
  <si>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</si>
  <si>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</si>
  <si>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</si>
  <si>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</si>
  <si>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</si>
  <si>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</si>
  <si>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</si>
  <si>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</si>
  <si>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Value</t>
  </si>
  <si>
    <t>Year</t>
  </si>
  <si>
    <t>Rank 79</t>
  </si>
  <si>
    <t>annual person delay per mile (person hr)</t>
  </si>
  <si>
    <t xml:space="preserve">AADT </t>
  </si>
  <si>
    <t>NB Ramps</t>
  </si>
  <si>
    <t>SB Ramps</t>
  </si>
  <si>
    <t xml:space="preserve">Cross Street </t>
  </si>
  <si>
    <t>(AADT 2022, H-GAC TCDS)</t>
  </si>
  <si>
    <t xml:space="preserve">SH 99 ML </t>
  </si>
  <si>
    <t>Truck AADT percentage (2022)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</si>
  <si>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</si>
  <si>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</si>
  <si>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</si>
  <si>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</si>
  <si>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</si>
  <si>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</si>
  <si>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</si>
  <si>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</si>
  <si>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</si>
  <si>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</si>
  <si>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</si>
  <si>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</si>
  <si>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</si>
  <si>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</si>
  <si>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</si>
  <si>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</si>
  <si>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</si>
  <si>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</si>
  <si>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</si>
  <si>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</si>
  <si>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</si>
  <si>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</si>
  <si>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</si>
  <si>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</si>
  <si>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</si>
  <si>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</si>
  <si>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</si>
  <si>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</si>
  <si>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</si>
  <si>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</si>
  <si>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</si>
  <si>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</si>
  <si>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</si>
  <si>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</si>
  <si>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</si>
  <si>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</si>
  <si>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</si>
  <si>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</si>
  <si>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</si>
  <si>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</si>
  <si>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</si>
  <si>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</si>
  <si>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</si>
  <si>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</si>
  <si>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</si>
  <si>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</si>
  <si>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</si>
  <si>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TDM</t>
  </si>
  <si>
    <t>Road</t>
  </si>
  <si>
    <t>SH 99 mainlanes</t>
  </si>
  <si>
    <t>Direction</t>
  </si>
  <si>
    <t>Limits</t>
  </si>
  <si>
    <t>Free flow Speed (2023)</t>
  </si>
  <si>
    <t>Free flow Speed (2045)</t>
  </si>
  <si>
    <t>Total</t>
  </si>
  <si>
    <t>2-way Volume</t>
  </si>
  <si>
    <t>LOS</t>
  </si>
  <si>
    <t>Westheimer Pkwy to S Fry Rd</t>
  </si>
  <si>
    <t>Westheimer Pkwy</t>
  </si>
  <si>
    <t>S Fry Rd</t>
  </si>
  <si>
    <t>(AADT 2022, H-GAC TCDS) k=-</t>
  </si>
  <si>
    <t>(AADT 2021, H-GAC TCDS) k=-</t>
  </si>
  <si>
    <t>(AADT 2020, H-GAC TCDS) k=-</t>
  </si>
  <si>
    <t>(AADT 2019, H-GAC TCDS) k=-</t>
  </si>
  <si>
    <t>(AADT 2018, H-GAC TCDS) k=-</t>
  </si>
  <si>
    <t>SB</t>
  </si>
  <si>
    <t>2045 NB</t>
  </si>
  <si>
    <t>Mainlanes</t>
  </si>
  <si>
    <t>Westheimer Pkwy (SB) S Fry Rd</t>
  </si>
  <si>
    <t>2045 B</t>
  </si>
  <si>
    <t>Frontage roads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</si>
  <si>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</si>
  <si>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</si>
  <si>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</si>
  <si>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</si>
  <si>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</si>
  <si>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</si>
  <si>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</si>
  <si>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</si>
  <si>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</si>
  <si>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</si>
  <si>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</si>
  <si>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</si>
  <si>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</si>
  <si>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</si>
  <si>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</si>
  <si>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</si>
  <si>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</si>
  <si>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</si>
  <si>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</si>
  <si>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</si>
  <si>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</si>
  <si>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</si>
  <si>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</si>
  <si>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</si>
  <si>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</si>
  <si>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</si>
  <si>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</si>
  <si>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</si>
  <si>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</si>
  <si>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</si>
  <si>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</si>
  <si>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</si>
  <si>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</si>
  <si>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</si>
  <si>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</si>
  <si>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</si>
  <si>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</si>
  <si>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</si>
  <si>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</si>
  <si>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</si>
  <si>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</si>
  <si>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</si>
  <si>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</si>
  <si>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</si>
  <si>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</si>
  <si>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33891-33879</t>
  </si>
  <si>
    <t>33893-33891</t>
  </si>
  <si>
    <t>FID</t>
  </si>
  <si>
    <t>Shape</t>
  </si>
  <si>
    <t>PROJ_ID</t>
  </si>
  <si>
    <t>PROJ_IDA</t>
  </si>
  <si>
    <t>SH 99 FRONTAGE RD</t>
  </si>
  <si>
    <t>33874-41833</t>
  </si>
  <si>
    <t>41831-33880</t>
  </si>
  <si>
    <t>41833-41831</t>
  </si>
  <si>
    <t>2023 ML</t>
  </si>
  <si>
    <t>2045  ML No Build</t>
  </si>
  <si>
    <t>2045 ML Build</t>
  </si>
  <si>
    <t>2045 Frontage Rd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</si>
  <si>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</si>
  <si>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</si>
  <si>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</si>
  <si>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</si>
  <si>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</si>
  <si>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</si>
  <si>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</si>
  <si>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</si>
  <si>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</si>
  <si>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</si>
  <si>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</si>
  <si>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</si>
  <si>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</si>
  <si>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</si>
  <si>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</si>
  <si>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</si>
  <si>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</si>
  <si>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</si>
  <si>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</si>
  <si>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</si>
  <si>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</si>
  <si>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</si>
  <si>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</si>
  <si>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</si>
  <si>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</si>
  <si>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</si>
  <si>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</si>
  <si>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</si>
  <si>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</si>
  <si>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</si>
  <si>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</si>
  <si>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sumproduct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</si>
  <si>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</si>
  <si>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</si>
  <si>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</si>
  <si>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</si>
  <si>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</si>
  <si>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</si>
  <si>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</si>
  <si>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Non-Freeway</t>
  </si>
  <si>
    <t>Volume (2045 NB)</t>
  </si>
  <si>
    <t>Volume (2045 B)</t>
  </si>
  <si>
    <t>V/C Ratio</t>
  </si>
  <si>
    <t>TDM PM Peak 
V/C Ratio</t>
  </si>
  <si>
    <t>LOS B</t>
  </si>
  <si>
    <t>Data: 2 miles buffer</t>
  </si>
  <si>
    <t>Land Use Growth (2 miles buffer)</t>
  </si>
  <si>
    <t>Current</t>
  </si>
  <si>
    <t>Residential</t>
  </si>
  <si>
    <t>Commercial</t>
  </si>
  <si>
    <t>Industrial</t>
  </si>
  <si>
    <t>Multiple</t>
  </si>
  <si>
    <t>Assumed K factor= 0.1, D factor= 0.5, HCM 7 Exhibit 12-41</t>
  </si>
  <si>
    <t>Within 1/4 mile buffer</t>
  </si>
  <si>
    <t>Medical facilities</t>
  </si>
  <si>
    <t>Education facilities</t>
  </si>
  <si>
    <t>Social services facilities</t>
  </si>
  <si>
    <t>CareNow Urgent care- Katy;
Steven Meadows Dental;
League Health Urgent &amp; Primary Care</t>
  </si>
  <si>
    <t>AP Counseling Group; 
Result Physiotherapy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</si>
</sst>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%"/>
    <numFmt numFmtId="166" formatCode="#,##0.0"/>
    <numFmt numFmtId="167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B3B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10" fontId="0" fillId="0" borderId="1" xfId="0" applyNumberFormat="1" applyBorder="1"/>
    <xf numFmtId="0" fontId="0" fillId="0" borderId="6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0" borderId="7" xfId="0" applyFill="1" applyBorder="1"/>
    <xf numFmtId="0" fontId="0" fillId="10" borderId="9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0" fillId="0" borderId="16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10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4" fillId="0" borderId="19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3" fontId="0" fillId="13" borderId="1" xfId="0" applyNumberFormat="1" applyFill="1" applyBorder="1" applyAlignment="1" applyProtection="1">
      <alignment horizontal="left" vertical="center"/>
      <protection locked="0"/>
    </xf>
    <xf numFmtId="166" fontId="0" fillId="13" borderId="1" xfId="0" applyNumberForma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left" vertical="center" wrapText="1"/>
    </xf>
    <xf numFmtId="0" fontId="0" fillId="14" borderId="22" xfId="0" applyFill="1" applyBorder="1" applyAlignment="1">
      <alignment vertical="center"/>
    </xf>
    <xf numFmtId="0" fontId="0" fillId="14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167" fontId="0" fillId="6" borderId="1" xfId="0" applyNumberFormat="1" applyFill="1" applyBorder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43" fontId="0" fillId="6" borderId="1" xfId="2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" fontId="10" fillId="0" borderId="0" xfId="0" applyNumberFormat="1" applyFont="1"/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1" fontId="12" fillId="0" borderId="0" xfId="0" applyNumberFormat="1" applyFont="1"/>
    <xf numFmtId="9" fontId="12" fillId="0" borderId="0" xfId="1" applyFont="1" applyFill="1" applyBorder="1"/>
    <xf numFmtId="2" fontId="0" fillId="0" borderId="1" xfId="0" applyNumberFormat="1" applyBorder="1" applyAlignment="1">
      <alignment vertical="center"/>
    </xf>
    <xf numFmtId="165" fontId="0" fillId="0" borderId="0" xfId="1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2" fillId="15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20</xdr:row>
      <xdr:rowOff>0</xdr:rowOff>
    </xdr:from>
    <xdr:to>
      <xdr:col>20</xdr:col>
      <xdr:colOff>495817</xdr:colOff>
      <xdr:row>43</xdr:row>
      <xdr:rowOff>63284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A398FFAB-01C1-4E0A-91A2-BD337F1D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450" y="6896100"/>
          <a:ext cx="5972692" cy="4858169"/>
        </a:xfrm>
        <a:prstGeom prst="rect">
          <a:avLst/>
        </a:prstGeom>
      </xdr:spPr>
    </xdr:pic>
    <xdr:clientData/>
  </xdr:twoCellAnchor>
  <xdr:twoCellAnchor>
    <xdr:from>
      <xdr:col>13</xdr:col>
      <xdr:colOff>78105</xdr:colOff>
      <xdr:row>38</xdr:row>
      <xdr:rowOff>133350</xdr:rowOff>
    </xdr:from>
    <xdr:to>
      <xdr:col>19</xdr:col>
      <xdr:colOff>369570</xdr:colOff>
      <xdr:row>39</xdr:row>
      <xdr:rowOff>118110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0202DC5-3CCF-4589-A958-108C57BFA837}"/>
            </a:ext>
          </a:extLst>
        </xdr:cNvPr>
        <xdr:cNvSpPr/>
      </xdr:nvSpPr>
      <xdr:spPr>
        <a:xfrm>
          <a:off x="11422380" y="8248650"/>
          <a:ext cx="4892040" cy="1847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857250</xdr:colOff>
      <xdr:row>39</xdr:row>
      <xdr:rowOff>95250</xdr:rowOff>
    </xdr:from>
    <xdr:to>
      <xdr:col>9</xdr:col>
      <xdr:colOff>62264</xdr:colOff>
      <xdr:row>73</xdr:row>
      <xdr:rowOff>153312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ECB843-6FFC-4E0B-9734-6599D79F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8422821"/>
          <a:ext cx="7396514" cy="6535062"/>
        </a:xfrm>
        <a:prstGeom prst="rect">
          <a:avLst/>
        </a:prstGeom>
      </xdr:spPr>
    </xdr:pic>
    <xdr:clientData/>
  </xdr:twoCellAnchor>
  <xdr:twoCellAnchor>
    <xdr:from>
      <xdr:col>0</xdr:col>
      <xdr:colOff>984102</xdr:colOff>
      <xdr:row>58</xdr:row>
      <xdr:rowOff>52666</xdr:rowOff>
    </xdr:from>
    <xdr:to>
      <xdr:col>3</xdr:col>
      <xdr:colOff>460643</xdr:colOff>
      <xdr:row>59</xdr:row>
      <xdr:rowOff>72837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00D6DB5-80DC-46F2-AC05-71C45988FE6D}"/>
            </a:ext>
          </a:extLst>
        </xdr:cNvPr>
        <xdr:cNvSpPr/>
      </xdr:nvSpPr>
      <xdr:spPr>
        <a:xfrm>
          <a:off x="984102" y="11999737"/>
          <a:ext cx="2891934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32"/>
  <sheetViews>
    <sheetView workbookViewId="0">
      <selection activeCell="S35" sqref="S35"/>
    </sheetView>
  </sheetViews>
  <sheetFormatPr defaultRowHeight="15"/>
  <sheetData>
    <row r="1" spans="1:45">
      <c r="A1" s="6">
        <v>2023</v>
      </c>
      <c r="B1" s="7" t="s">
        <v>7</v>
      </c>
      <c r="C1" s="8" t="s">
        <v>99</v>
      </c>
      <c r="D1" s="8"/>
      <c r="E1" s="9" t="s">
        <v>100</v>
      </c>
      <c r="F1" s="9"/>
      <c r="G1" s="9"/>
      <c r="H1" s="9"/>
    </row>
    <row r="2" spans="1:45">
      <c r="A2" s="5"/>
    </row>
    <row r="3" spans="1:45">
      <c r="A3" s="2" t="s">
        <v>103</v>
      </c>
      <c r="B3" s="2" t="s">
        <v>104</v>
      </c>
      <c r="C3" s="2" t="s">
        <v>105</v>
      </c>
      <c r="D3" s="2" t="s">
        <v>106</v>
      </c>
      <c r="E3" s="2" t="s">
        <v>107</v>
      </c>
      <c r="F3" s="2" t="s">
        <v>108</v>
      </c>
      <c r="G3" s="2" t="s">
        <v>109</v>
      </c>
      <c r="H3" s="2" t="s">
        <v>110</v>
      </c>
      <c r="I3" s="2" t="s">
        <v>111</v>
      </c>
      <c r="J3" s="2" t="s">
        <v>112</v>
      </c>
      <c r="K3" s="2" t="s">
        <v>113</v>
      </c>
      <c r="L3" s="2" t="s">
        <v>6</v>
      </c>
      <c r="M3" s="2" t="s">
        <v>114</v>
      </c>
      <c r="N3" s="2" t="s">
        <v>115</v>
      </c>
      <c r="O3" s="2" t="s">
        <v>116</v>
      </c>
      <c r="P3" s="2" t="s">
        <v>117</v>
      </c>
      <c r="Q3" s="2" t="s">
        <v>118</v>
      </c>
      <c r="R3" s="2" t="s">
        <v>119</v>
      </c>
      <c r="S3" s="2" t="s">
        <v>120</v>
      </c>
      <c r="T3" s="2" t="s">
        <v>121</v>
      </c>
      <c r="U3" s="2" t="s">
        <v>122</v>
      </c>
      <c r="V3" s="2" t="s">
        <v>123</v>
      </c>
      <c r="W3" s="2" t="s">
        <v>124</v>
      </c>
      <c r="X3" s="2" t="s">
        <v>125</v>
      </c>
      <c r="Y3" s="2" t="s">
        <v>126</v>
      </c>
      <c r="Z3" s="2" t="s">
        <v>127</v>
      </c>
      <c r="AA3" s="2" t="s">
        <v>128</v>
      </c>
      <c r="AB3" s="2" t="s">
        <v>129</v>
      </c>
      <c r="AC3" s="2" t="s">
        <v>130</v>
      </c>
      <c r="AD3" s="2" t="s">
        <v>131</v>
      </c>
      <c r="AE3" s="2" t="s">
        <v>132</v>
      </c>
      <c r="AF3" s="2" t="s">
        <v>133</v>
      </c>
      <c r="AG3" s="2" t="s">
        <v>134</v>
      </c>
      <c r="AH3" s="2" t="s">
        <v>135</v>
      </c>
      <c r="AI3" s="2" t="s">
        <v>136</v>
      </c>
      <c r="AJ3" s="2" t="s">
        <v>137</v>
      </c>
      <c r="AK3" s="2" t="s">
        <v>138</v>
      </c>
      <c r="AL3" s="2" t="s">
        <v>139</v>
      </c>
      <c r="AM3" s="2" t="s">
        <v>140</v>
      </c>
      <c r="AN3" s="2" t="s">
        <v>141</v>
      </c>
      <c r="AO3" s="2" t="s">
        <v>142</v>
      </c>
      <c r="AP3" s="2" t="s">
        <v>143</v>
      </c>
      <c r="AQ3" s="2" t="s">
        <v>144</v>
      </c>
      <c r="AR3" s="2" t="s">
        <v>145</v>
      </c>
      <c r="AS3" s="2" t="s">
        <v>146</v>
      </c>
    </row>
    <row r="4" spans="1:45">
      <c r="A4" s="2">
        <v>7407</v>
      </c>
      <c r="B4" s="2" t="s">
        <v>147</v>
      </c>
      <c r="C4" s="2">
        <v>11</v>
      </c>
      <c r="D4" s="2" t="s">
        <v>7</v>
      </c>
      <c r="E4" s="2" t="s">
        <v>148</v>
      </c>
      <c r="F4" s="2">
        <v>33891</v>
      </c>
      <c r="G4" s="2">
        <v>33879</v>
      </c>
      <c r="H4" s="2">
        <v>2</v>
      </c>
      <c r="I4" s="2">
        <v>0.39878000000000002</v>
      </c>
      <c r="J4" s="2">
        <v>3</v>
      </c>
      <c r="K4" s="2">
        <v>4</v>
      </c>
      <c r="L4" s="2">
        <v>100800</v>
      </c>
      <c r="M4" s="2">
        <v>64.8</v>
      </c>
      <c r="N4" s="2">
        <v>0.36924000000000001</v>
      </c>
      <c r="O4" s="2">
        <v>65</v>
      </c>
      <c r="P4" s="2">
        <v>17364.664059999999</v>
      </c>
      <c r="Q4" s="2">
        <v>0.73251999999999995</v>
      </c>
      <c r="R4" s="2">
        <v>1.0336099999999999</v>
      </c>
      <c r="S4" s="2">
        <v>17364.664059999999</v>
      </c>
      <c r="T4" s="11">
        <v>49.14</v>
      </c>
      <c r="U4" s="2">
        <v>0.48691000000000001</v>
      </c>
      <c r="V4" s="2">
        <v>17225.664059999999</v>
      </c>
      <c r="W4" s="2">
        <v>0.46744000000000002</v>
      </c>
      <c r="X4" s="2">
        <v>0.68355999999999995</v>
      </c>
      <c r="Y4" s="2">
        <v>17225.664059999999</v>
      </c>
      <c r="Z4" s="11">
        <v>59.1</v>
      </c>
      <c r="AA4" s="2">
        <v>0.40484999999999999</v>
      </c>
      <c r="AB4" s="2">
        <v>9613.8906299999999</v>
      </c>
      <c r="AC4" s="2">
        <v>0.50570999999999999</v>
      </c>
      <c r="AD4" s="2">
        <v>0.76300999999999997</v>
      </c>
      <c r="AE4" s="2">
        <v>9613.8906299999999</v>
      </c>
      <c r="AF4" s="11">
        <v>57</v>
      </c>
      <c r="AG4" s="2">
        <v>0.41976999999999998</v>
      </c>
      <c r="AH4" s="2">
        <v>55625.882810000003</v>
      </c>
      <c r="AI4" s="2">
        <v>22182.490229999999</v>
      </c>
      <c r="AJ4" s="2">
        <v>228.75237000000001</v>
      </c>
      <c r="AK4" s="2">
        <v>67.260130000000004</v>
      </c>
      <c r="AL4" s="2">
        <v>116.23096</v>
      </c>
      <c r="AM4" s="2">
        <v>140.91739000000001</v>
      </c>
      <c r="AN4" s="2">
        <v>70.289060000000006</v>
      </c>
      <c r="AO4" s="2">
        <v>394.69754</v>
      </c>
      <c r="AP4" s="2">
        <v>4.0325699999999998</v>
      </c>
      <c r="AQ4" s="2">
        <v>55625.882810000003</v>
      </c>
      <c r="AR4" s="2">
        <v>5.0102799999999998</v>
      </c>
      <c r="AS4" s="2">
        <v>2105.5377480000002</v>
      </c>
    </row>
    <row r="5" spans="1:45">
      <c r="A5" s="2">
        <v>7408</v>
      </c>
      <c r="B5" s="2" t="s">
        <v>147</v>
      </c>
      <c r="C5" s="2">
        <v>11</v>
      </c>
      <c r="D5" s="2" t="s">
        <v>7</v>
      </c>
      <c r="E5" s="2" t="s">
        <v>149</v>
      </c>
      <c r="F5" s="2">
        <v>33893</v>
      </c>
      <c r="G5" s="2">
        <v>33891</v>
      </c>
      <c r="H5" s="2">
        <v>2</v>
      </c>
      <c r="I5" s="2">
        <v>0.44830999999999999</v>
      </c>
      <c r="J5" s="2">
        <v>3</v>
      </c>
      <c r="K5" s="2">
        <v>4</v>
      </c>
      <c r="L5" s="2">
        <v>100800</v>
      </c>
      <c r="M5" s="2">
        <v>64.8</v>
      </c>
      <c r="N5" s="2">
        <v>0.41510000000000002</v>
      </c>
      <c r="O5" s="2">
        <v>65</v>
      </c>
      <c r="P5" s="2">
        <v>17364.664059999999</v>
      </c>
      <c r="Q5" s="2">
        <v>0.82350000000000001</v>
      </c>
      <c r="R5" s="2">
        <v>1.0336099999999999</v>
      </c>
      <c r="S5" s="2">
        <v>17364.664059999999</v>
      </c>
      <c r="T5" s="11">
        <v>49.14</v>
      </c>
      <c r="U5" s="2">
        <v>0.54739000000000004</v>
      </c>
      <c r="V5" s="2">
        <v>17225.664059999999</v>
      </c>
      <c r="W5" s="2">
        <v>0.52549999999999997</v>
      </c>
      <c r="X5" s="2">
        <v>0.68355999999999995</v>
      </c>
      <c r="Y5" s="2">
        <v>17225.664059999999</v>
      </c>
      <c r="Z5" s="11">
        <v>59.1</v>
      </c>
      <c r="AA5" s="2">
        <v>0.45513999999999999</v>
      </c>
      <c r="AB5" s="2">
        <v>9613.8906299999999</v>
      </c>
      <c r="AC5" s="2">
        <v>0.56852000000000003</v>
      </c>
      <c r="AD5" s="2">
        <v>0.76300999999999997</v>
      </c>
      <c r="AE5" s="2">
        <v>9613.8906299999999</v>
      </c>
      <c r="AF5" s="11">
        <v>57</v>
      </c>
      <c r="AG5" s="2">
        <v>0.47191</v>
      </c>
      <c r="AH5" s="2">
        <v>55625.882810000003</v>
      </c>
      <c r="AI5" s="2">
        <v>24937.63867</v>
      </c>
      <c r="AJ5" s="2">
        <v>257.16428000000002</v>
      </c>
      <c r="AK5" s="2">
        <v>75.614090000000004</v>
      </c>
      <c r="AL5" s="2">
        <v>130.66730000000001</v>
      </c>
      <c r="AM5" s="2">
        <v>158.41988000000001</v>
      </c>
      <c r="AN5" s="2">
        <v>79.019229999999993</v>
      </c>
      <c r="AO5" s="2">
        <v>443.72048999999998</v>
      </c>
      <c r="AP5" s="2">
        <v>4.5334300000000001</v>
      </c>
      <c r="AQ5" s="2">
        <v>55625.882810000003</v>
      </c>
      <c r="AR5" s="2">
        <v>5.6325799999999999</v>
      </c>
      <c r="AS5" s="2">
        <v>2367.058297</v>
      </c>
    </row>
    <row r="7" spans="1:45">
      <c r="A7" s="6" t="s">
        <v>98</v>
      </c>
      <c r="B7" s="7" t="s">
        <v>7</v>
      </c>
      <c r="C7" s="8" t="s">
        <v>99</v>
      </c>
      <c r="D7" s="8"/>
      <c r="E7" s="9" t="s">
        <v>100</v>
      </c>
      <c r="F7" s="9"/>
      <c r="G7" s="9"/>
      <c r="H7" s="9"/>
    </row>
    <row r="9" spans="1:45">
      <c r="A9" s="2" t="s">
        <v>150</v>
      </c>
      <c r="B9" s="2" t="s">
        <v>151</v>
      </c>
      <c r="C9" s="2" t="s">
        <v>106</v>
      </c>
      <c r="D9" s="2" t="s">
        <v>152</v>
      </c>
      <c r="E9" s="2" t="s">
        <v>153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6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118</v>
      </c>
      <c r="S9" s="2" t="s">
        <v>119</v>
      </c>
      <c r="T9" s="2" t="s">
        <v>120</v>
      </c>
      <c r="U9" s="2" t="s">
        <v>121</v>
      </c>
      <c r="V9" s="2" t="s">
        <v>122</v>
      </c>
      <c r="W9" s="2" t="s">
        <v>123</v>
      </c>
      <c r="X9" s="2" t="s">
        <v>124</v>
      </c>
      <c r="Y9" s="2" t="s">
        <v>125</v>
      </c>
      <c r="Z9" s="2" t="s">
        <v>126</v>
      </c>
      <c r="AA9" s="2" t="s">
        <v>127</v>
      </c>
      <c r="AB9" s="2" t="s">
        <v>128</v>
      </c>
      <c r="AC9" s="2" t="s">
        <v>129</v>
      </c>
      <c r="AD9" s="2" t="s">
        <v>130</v>
      </c>
      <c r="AE9" s="2" t="s">
        <v>131</v>
      </c>
      <c r="AF9" s="2" t="s">
        <v>132</v>
      </c>
      <c r="AG9" s="2" t="s">
        <v>133</v>
      </c>
      <c r="AH9" s="2" t="s">
        <v>134</v>
      </c>
      <c r="AI9" s="2" t="s">
        <v>135</v>
      </c>
      <c r="AJ9" s="2" t="s">
        <v>136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144</v>
      </c>
      <c r="AQ9" s="39"/>
      <c r="AR9" s="2"/>
      <c r="AS9" s="2"/>
    </row>
    <row r="10" spans="1:45">
      <c r="A10" s="2">
        <v>7559</v>
      </c>
      <c r="B10" s="2" t="s">
        <v>147</v>
      </c>
      <c r="C10" s="2" t="s">
        <v>7</v>
      </c>
      <c r="D10" s="2">
        <v>18022</v>
      </c>
      <c r="E10" s="2">
        <v>0</v>
      </c>
      <c r="F10" s="2" t="s">
        <v>148</v>
      </c>
      <c r="G10" s="2">
        <v>33891</v>
      </c>
      <c r="H10" s="2">
        <v>33879</v>
      </c>
      <c r="I10" s="2">
        <v>3</v>
      </c>
      <c r="J10" s="2">
        <v>0.39878000000000002</v>
      </c>
      <c r="K10" s="2">
        <v>3</v>
      </c>
      <c r="L10" s="2">
        <v>4</v>
      </c>
      <c r="M10" s="2">
        <v>151200</v>
      </c>
      <c r="N10" s="2">
        <v>64.67</v>
      </c>
      <c r="O10" s="2">
        <v>0.36997999999999998</v>
      </c>
      <c r="P10" s="2">
        <v>65</v>
      </c>
      <c r="Q10" s="2">
        <v>27569.54492</v>
      </c>
      <c r="R10" s="2">
        <v>0.80876000000000003</v>
      </c>
      <c r="S10" s="2">
        <v>1.0940300000000001</v>
      </c>
      <c r="T10" s="11">
        <v>27569.54492</v>
      </c>
      <c r="U10" s="2">
        <v>47.46</v>
      </c>
      <c r="V10" s="2">
        <v>0.50414999999999999</v>
      </c>
      <c r="W10" s="2">
        <v>26348.646479999999</v>
      </c>
      <c r="X10" s="2">
        <v>0.47321999999999997</v>
      </c>
      <c r="Y10" s="2">
        <v>0.69704999999999995</v>
      </c>
      <c r="Z10" s="11">
        <v>26348.646479999999</v>
      </c>
      <c r="AA10" s="2">
        <v>58.77</v>
      </c>
      <c r="AB10" s="2">
        <v>0.40712999999999999</v>
      </c>
      <c r="AC10" s="2">
        <v>14069.811519999999</v>
      </c>
      <c r="AD10" s="2">
        <v>0.49580999999999997</v>
      </c>
      <c r="AE10" s="2">
        <v>0.74443000000000004</v>
      </c>
      <c r="AF10" s="11">
        <v>14069.811519999999</v>
      </c>
      <c r="AG10" s="2">
        <v>57.51</v>
      </c>
      <c r="AH10" s="2">
        <v>0.41604999999999998</v>
      </c>
      <c r="AI10" s="2">
        <v>87573.960940000004</v>
      </c>
      <c r="AJ10" s="2">
        <v>34922.742189999997</v>
      </c>
      <c r="AK10" s="2">
        <v>97.561449999999994</v>
      </c>
      <c r="AL10" s="2">
        <v>178.78702000000001</v>
      </c>
      <c r="AM10" s="2">
        <v>231.65154999999999</v>
      </c>
      <c r="AN10" s="2">
        <v>120.77451000000001</v>
      </c>
      <c r="AO10" s="2">
        <v>628.77454</v>
      </c>
      <c r="AP10" s="2">
        <v>87573.960940000004</v>
      </c>
      <c r="AQ10" s="39"/>
      <c r="AR10" s="2"/>
      <c r="AS10" s="2"/>
    </row>
    <row r="11" spans="1:45">
      <c r="A11" s="2">
        <v>7560</v>
      </c>
      <c r="B11" s="2" t="s">
        <v>147</v>
      </c>
      <c r="C11" s="2" t="s">
        <v>7</v>
      </c>
      <c r="D11" s="2">
        <v>18022</v>
      </c>
      <c r="E11" s="2">
        <v>0</v>
      </c>
      <c r="F11" s="2" t="s">
        <v>149</v>
      </c>
      <c r="G11" s="2">
        <v>33893</v>
      </c>
      <c r="H11" s="2">
        <v>33891</v>
      </c>
      <c r="I11" s="2">
        <v>3</v>
      </c>
      <c r="J11" s="2">
        <v>0.44830999999999999</v>
      </c>
      <c r="K11" s="2">
        <v>3</v>
      </c>
      <c r="L11" s="2">
        <v>4</v>
      </c>
      <c r="M11" s="2">
        <v>151200</v>
      </c>
      <c r="N11" s="2">
        <v>64.67</v>
      </c>
      <c r="O11" s="2">
        <v>0.41593999999999998</v>
      </c>
      <c r="P11" s="2">
        <v>65</v>
      </c>
      <c r="Q11" s="2">
        <v>27569.54492</v>
      </c>
      <c r="R11" s="2">
        <v>0.90922000000000003</v>
      </c>
      <c r="S11" s="2">
        <v>1.0940300000000001</v>
      </c>
      <c r="T11" s="11">
        <v>27569.54492</v>
      </c>
      <c r="U11" s="2">
        <v>47.46</v>
      </c>
      <c r="V11" s="2">
        <v>0.56676000000000004</v>
      </c>
      <c r="W11" s="2">
        <v>26348.646479999999</v>
      </c>
      <c r="X11" s="2">
        <v>0.53198999999999996</v>
      </c>
      <c r="Y11" s="2">
        <v>0.69704999999999995</v>
      </c>
      <c r="Z11" s="11">
        <v>26348.646479999999</v>
      </c>
      <c r="AA11" s="2">
        <v>58.77</v>
      </c>
      <c r="AB11" s="2">
        <v>0.45768999999999999</v>
      </c>
      <c r="AC11" s="2">
        <v>14069.811519999999</v>
      </c>
      <c r="AD11" s="2">
        <v>0.55739000000000005</v>
      </c>
      <c r="AE11" s="2">
        <v>0.74443000000000004</v>
      </c>
      <c r="AF11" s="11">
        <v>14069.811519999999</v>
      </c>
      <c r="AG11" s="2">
        <v>57.51</v>
      </c>
      <c r="AH11" s="2">
        <v>0.46772000000000002</v>
      </c>
      <c r="AI11" s="2">
        <v>87573.960940000004</v>
      </c>
      <c r="AJ11" s="2">
        <v>39260.28125</v>
      </c>
      <c r="AK11" s="2">
        <v>109.67896</v>
      </c>
      <c r="AL11" s="2">
        <v>200.99304000000001</v>
      </c>
      <c r="AM11" s="2">
        <v>260.42354999999998</v>
      </c>
      <c r="AN11" s="2">
        <v>135.77516</v>
      </c>
      <c r="AO11" s="2">
        <v>706.87072999999998</v>
      </c>
      <c r="AP11" s="2">
        <v>87573.960940000004</v>
      </c>
    </row>
    <row r="13" spans="1:45">
      <c r="A13" s="6" t="s">
        <v>101</v>
      </c>
      <c r="B13" s="7" t="s">
        <v>7</v>
      </c>
      <c r="C13" s="8" t="s">
        <v>99</v>
      </c>
      <c r="D13" s="8"/>
      <c r="E13" s="9" t="s">
        <v>100</v>
      </c>
      <c r="F13" s="9"/>
      <c r="G13" s="9"/>
      <c r="H13" s="9"/>
    </row>
    <row r="15" spans="1:45">
      <c r="A15" s="2" t="s">
        <v>150</v>
      </c>
      <c r="B15" s="2" t="s">
        <v>151</v>
      </c>
      <c r="C15" s="2" t="s">
        <v>106</v>
      </c>
      <c r="D15" s="2" t="s">
        <v>152</v>
      </c>
      <c r="E15" s="2" t="s">
        <v>153</v>
      </c>
      <c r="F15" s="2" t="s">
        <v>107</v>
      </c>
      <c r="G15" s="2" t="s">
        <v>108</v>
      </c>
      <c r="H15" s="2" t="s">
        <v>109</v>
      </c>
      <c r="I15" s="2" t="s">
        <v>110</v>
      </c>
      <c r="J15" s="2" t="s">
        <v>111</v>
      </c>
      <c r="K15" s="2" t="s">
        <v>112</v>
      </c>
      <c r="L15" s="2" t="s">
        <v>113</v>
      </c>
      <c r="M15" s="2" t="s">
        <v>6</v>
      </c>
      <c r="N15" s="2" t="s">
        <v>114</v>
      </c>
      <c r="O15" s="2" t="s">
        <v>115</v>
      </c>
      <c r="P15" s="2" t="s">
        <v>116</v>
      </c>
      <c r="Q15" s="2" t="s">
        <v>117</v>
      </c>
      <c r="R15" s="2" t="s">
        <v>118</v>
      </c>
      <c r="S15" s="2" t="s">
        <v>119</v>
      </c>
      <c r="T15" s="2" t="s">
        <v>120</v>
      </c>
      <c r="U15" s="2" t="s">
        <v>121</v>
      </c>
      <c r="V15" s="2" t="s">
        <v>122</v>
      </c>
      <c r="W15" s="2" t="s">
        <v>123</v>
      </c>
      <c r="X15" s="2" t="s">
        <v>124</v>
      </c>
      <c r="Y15" s="2" t="s">
        <v>125</v>
      </c>
      <c r="Z15" s="2" t="s">
        <v>126</v>
      </c>
      <c r="AA15" s="2" t="s">
        <v>127</v>
      </c>
      <c r="AB15" s="2" t="s">
        <v>128</v>
      </c>
      <c r="AC15" s="2" t="s">
        <v>129</v>
      </c>
      <c r="AD15" s="2" t="s">
        <v>130</v>
      </c>
      <c r="AE15" s="2" t="s">
        <v>131</v>
      </c>
      <c r="AF15" s="2" t="s">
        <v>132</v>
      </c>
      <c r="AG15" s="2" t="s">
        <v>133</v>
      </c>
      <c r="AH15" s="2" t="s">
        <v>134</v>
      </c>
      <c r="AI15" s="2" t="s">
        <v>135</v>
      </c>
      <c r="AJ15" s="2" t="s">
        <v>136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144</v>
      </c>
      <c r="AQ15" s="2"/>
      <c r="AR15" s="2"/>
      <c r="AS15" s="2"/>
    </row>
    <row r="16" spans="1:45">
      <c r="A16" s="2">
        <v>7564</v>
      </c>
      <c r="B16" s="2" t="s">
        <v>147</v>
      </c>
      <c r="C16" s="2" t="s">
        <v>7</v>
      </c>
      <c r="D16" s="2">
        <v>18022</v>
      </c>
      <c r="E16" s="2">
        <v>0</v>
      </c>
      <c r="F16" s="2" t="s">
        <v>148</v>
      </c>
      <c r="G16" s="2">
        <v>33891</v>
      </c>
      <c r="H16" s="2">
        <v>33879</v>
      </c>
      <c r="I16" s="2">
        <v>3</v>
      </c>
      <c r="J16" s="2">
        <v>0.39878000000000002</v>
      </c>
      <c r="K16" s="2">
        <v>3</v>
      </c>
      <c r="L16" s="2">
        <v>4</v>
      </c>
      <c r="M16" s="2">
        <v>151200</v>
      </c>
      <c r="N16" s="2">
        <v>64.69</v>
      </c>
      <c r="O16" s="2">
        <v>0.36986999999999998</v>
      </c>
      <c r="P16" s="2">
        <v>65</v>
      </c>
      <c r="Q16" s="2">
        <v>25480.597659999999</v>
      </c>
      <c r="R16" s="2">
        <v>0.70684999999999998</v>
      </c>
      <c r="S16" s="2">
        <v>1.0111300000000001</v>
      </c>
      <c r="T16" s="2">
        <v>25480.597659999999</v>
      </c>
      <c r="U16" s="2">
        <v>49.72</v>
      </c>
      <c r="V16" s="2">
        <v>0.48122999999999999</v>
      </c>
      <c r="W16" s="2">
        <v>24633.064450000002</v>
      </c>
      <c r="X16" s="2">
        <v>0.45489000000000002</v>
      </c>
      <c r="Y16" s="2">
        <v>0.65166999999999997</v>
      </c>
      <c r="Z16" s="2">
        <v>24633.064450000002</v>
      </c>
      <c r="AA16" s="2">
        <v>59.88</v>
      </c>
      <c r="AB16" s="2">
        <v>0.39957999999999999</v>
      </c>
      <c r="AC16" s="2">
        <v>13633.492190000001</v>
      </c>
      <c r="AD16" s="2">
        <v>0.48433999999999999</v>
      </c>
      <c r="AE16" s="2">
        <v>0.72135000000000005</v>
      </c>
      <c r="AF16" s="2">
        <v>13633.492190000001</v>
      </c>
      <c r="AG16" s="2">
        <v>58.13</v>
      </c>
      <c r="AH16" s="2">
        <v>0.41160999999999998</v>
      </c>
      <c r="AI16" s="2">
        <v>82948.5625</v>
      </c>
      <c r="AJ16" s="2">
        <v>33078.226560000003</v>
      </c>
      <c r="AK16" s="2">
        <v>93.527680000000004</v>
      </c>
      <c r="AL16" s="2">
        <v>164.04764</v>
      </c>
      <c r="AM16" s="2">
        <v>204.36751000000001</v>
      </c>
      <c r="AN16" s="2">
        <v>118.36660999999999</v>
      </c>
      <c r="AO16" s="2">
        <v>580.30944999999997</v>
      </c>
      <c r="AP16" s="2">
        <v>82948.5625</v>
      </c>
      <c r="AQ16" s="2"/>
      <c r="AR16" s="2"/>
      <c r="AS16" s="2"/>
    </row>
    <row r="17" spans="1:45">
      <c r="A17" s="2">
        <v>7565</v>
      </c>
      <c r="B17" s="2" t="s">
        <v>147</v>
      </c>
      <c r="C17" s="2" t="s">
        <v>7</v>
      </c>
      <c r="D17" s="2">
        <v>18022</v>
      </c>
      <c r="E17" s="2">
        <v>0</v>
      </c>
      <c r="F17" s="2" t="s">
        <v>149</v>
      </c>
      <c r="G17" s="2">
        <v>33893</v>
      </c>
      <c r="H17" s="2">
        <v>33891</v>
      </c>
      <c r="I17" s="2">
        <v>3</v>
      </c>
      <c r="J17" s="2">
        <v>0.44830999999999999</v>
      </c>
      <c r="K17" s="2">
        <v>3</v>
      </c>
      <c r="L17" s="2">
        <v>4</v>
      </c>
      <c r="M17" s="2">
        <v>151200</v>
      </c>
      <c r="N17" s="2">
        <v>64.69</v>
      </c>
      <c r="O17" s="2">
        <v>0.41581000000000001</v>
      </c>
      <c r="P17" s="2">
        <v>65</v>
      </c>
      <c r="Q17" s="2">
        <v>25480.597659999999</v>
      </c>
      <c r="R17" s="2">
        <v>0.79464000000000001</v>
      </c>
      <c r="S17" s="2">
        <v>1.0111300000000001</v>
      </c>
      <c r="T17" s="2">
        <v>25480.597659999999</v>
      </c>
      <c r="U17" s="2">
        <v>49.72</v>
      </c>
      <c r="V17" s="2">
        <v>0.54100000000000004</v>
      </c>
      <c r="W17" s="2">
        <v>24633.064450000002</v>
      </c>
      <c r="X17" s="2">
        <v>0.51139000000000001</v>
      </c>
      <c r="Y17" s="2">
        <v>0.65166999999999997</v>
      </c>
      <c r="Z17" s="2">
        <v>24633.064450000002</v>
      </c>
      <c r="AA17" s="2">
        <v>59.88</v>
      </c>
      <c r="AB17" s="2">
        <v>0.44921</v>
      </c>
      <c r="AC17" s="2">
        <v>13633.492190000001</v>
      </c>
      <c r="AD17" s="2">
        <v>0.54449000000000003</v>
      </c>
      <c r="AE17" s="2">
        <v>0.72135000000000005</v>
      </c>
      <c r="AF17" s="2">
        <v>13633.492190000001</v>
      </c>
      <c r="AG17" s="2">
        <v>58.13</v>
      </c>
      <c r="AH17" s="2">
        <v>0.46272999999999997</v>
      </c>
      <c r="AI17" s="2">
        <v>82948.5625</v>
      </c>
      <c r="AJ17" s="2">
        <v>37186.667970000002</v>
      </c>
      <c r="AK17" s="2">
        <v>105.14417</v>
      </c>
      <c r="AL17" s="2">
        <v>184.42299</v>
      </c>
      <c r="AM17" s="2">
        <v>229.75075000000001</v>
      </c>
      <c r="AN17" s="2">
        <v>133.06818999999999</v>
      </c>
      <c r="AO17" s="2">
        <v>652.38611000000003</v>
      </c>
      <c r="AP17" s="2">
        <v>82948.5625</v>
      </c>
      <c r="AQ17" s="2"/>
      <c r="AR17" s="2"/>
      <c r="AS17" s="2"/>
    </row>
    <row r="21" spans="1:45">
      <c r="A21" s="6">
        <v>2023</v>
      </c>
      <c r="B21" s="7" t="s">
        <v>7</v>
      </c>
      <c r="C21" s="8" t="s">
        <v>102</v>
      </c>
      <c r="D21" s="8"/>
      <c r="E21" s="9" t="s">
        <v>100</v>
      </c>
      <c r="F21" s="9"/>
      <c r="G21" s="9"/>
      <c r="H21" s="9"/>
    </row>
    <row r="22" spans="1:45">
      <c r="A22" s="5"/>
    </row>
    <row r="23" spans="1: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6" spans="1:45">
      <c r="A26" s="6">
        <v>2045</v>
      </c>
      <c r="B26" s="7" t="s">
        <v>7</v>
      </c>
      <c r="C26" s="8" t="s">
        <v>102</v>
      </c>
      <c r="D26" s="8"/>
      <c r="E26" s="9" t="s">
        <v>100</v>
      </c>
      <c r="F26" s="9"/>
      <c r="G26" s="9"/>
      <c r="H26" s="9"/>
    </row>
    <row r="28" spans="1:45">
      <c r="A28" s="2" t="s">
        <v>150</v>
      </c>
      <c r="B28" s="2" t="s">
        <v>151</v>
      </c>
      <c r="C28" s="2" t="s">
        <v>106</v>
      </c>
      <c r="D28" s="2" t="s">
        <v>152</v>
      </c>
      <c r="E28" s="2" t="s">
        <v>153</v>
      </c>
      <c r="F28" s="2" t="s">
        <v>107</v>
      </c>
      <c r="G28" s="2" t="s">
        <v>108</v>
      </c>
      <c r="H28" s="2" t="s">
        <v>109</v>
      </c>
      <c r="I28" s="2" t="s">
        <v>110</v>
      </c>
      <c r="J28" s="2" t="s">
        <v>111</v>
      </c>
      <c r="K28" s="2" t="s">
        <v>112</v>
      </c>
      <c r="L28" s="2" t="s">
        <v>113</v>
      </c>
      <c r="M28" s="2" t="s">
        <v>6</v>
      </c>
      <c r="N28" s="2" t="s">
        <v>114</v>
      </c>
      <c r="O28" s="2" t="s">
        <v>115</v>
      </c>
      <c r="P28" s="2" t="s">
        <v>116</v>
      </c>
      <c r="Q28" s="2" t="s">
        <v>117</v>
      </c>
      <c r="R28" s="2" t="s">
        <v>118</v>
      </c>
      <c r="S28" s="2" t="s">
        <v>119</v>
      </c>
      <c r="T28" s="2" t="s">
        <v>120</v>
      </c>
      <c r="U28" s="2" t="s">
        <v>121</v>
      </c>
      <c r="V28" s="2" t="s">
        <v>122</v>
      </c>
      <c r="W28" s="2" t="s">
        <v>123</v>
      </c>
      <c r="X28" s="2" t="s">
        <v>124</v>
      </c>
      <c r="Y28" s="2" t="s">
        <v>125</v>
      </c>
      <c r="Z28" s="2" t="s">
        <v>126</v>
      </c>
      <c r="AA28" s="2" t="s">
        <v>127</v>
      </c>
      <c r="AB28" s="2" t="s">
        <v>128</v>
      </c>
      <c r="AC28" s="2" t="s">
        <v>129</v>
      </c>
      <c r="AD28" s="2" t="s">
        <v>130</v>
      </c>
      <c r="AE28" s="2" t="s">
        <v>131</v>
      </c>
      <c r="AF28" s="2" t="s">
        <v>132</v>
      </c>
      <c r="AG28" s="2" t="s">
        <v>133</v>
      </c>
      <c r="AH28" s="2" t="s">
        <v>134</v>
      </c>
      <c r="AI28" s="2" t="s">
        <v>135</v>
      </c>
      <c r="AJ28" s="2" t="s">
        <v>136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144</v>
      </c>
      <c r="AQ28" s="39"/>
      <c r="AR28" s="2"/>
      <c r="AS28" s="2"/>
    </row>
    <row r="29" spans="1:45">
      <c r="A29" s="2">
        <v>45903</v>
      </c>
      <c r="B29" s="2" t="s">
        <v>147</v>
      </c>
      <c r="C29" s="2" t="s">
        <v>154</v>
      </c>
      <c r="D29" s="2">
        <v>0</v>
      </c>
      <c r="E29" s="2">
        <v>0</v>
      </c>
      <c r="F29" s="2" t="s">
        <v>155</v>
      </c>
      <c r="G29" s="2">
        <v>33874</v>
      </c>
      <c r="H29" s="2">
        <v>41833</v>
      </c>
      <c r="I29" s="2">
        <v>2</v>
      </c>
      <c r="J29" s="2">
        <v>0.47663</v>
      </c>
      <c r="K29" s="2">
        <v>50</v>
      </c>
      <c r="L29" s="2">
        <v>3</v>
      </c>
      <c r="M29" s="2">
        <v>37752</v>
      </c>
      <c r="N29" s="2">
        <v>35.119999999999997</v>
      </c>
      <c r="O29" s="2">
        <v>0.81428999999999996</v>
      </c>
      <c r="P29" s="2">
        <v>38.25</v>
      </c>
      <c r="Q29" s="2">
        <v>4061.2866199999999</v>
      </c>
      <c r="R29" s="2">
        <v>0.85397000000000001</v>
      </c>
      <c r="S29" s="2">
        <v>0.64546999999999999</v>
      </c>
      <c r="T29" s="2">
        <v>4061.2866199999999</v>
      </c>
      <c r="U29" s="2">
        <v>33.33</v>
      </c>
      <c r="V29" s="2">
        <v>0.85802</v>
      </c>
      <c r="W29" s="2">
        <v>2640.5737300000001</v>
      </c>
      <c r="X29" s="2">
        <v>0.72240000000000004</v>
      </c>
      <c r="Y29" s="2">
        <v>0.27977999999999997</v>
      </c>
      <c r="Z29" s="2">
        <v>2640.5737300000001</v>
      </c>
      <c r="AA29" s="2">
        <v>34.68</v>
      </c>
      <c r="AB29" s="2">
        <v>0.82462000000000002</v>
      </c>
      <c r="AC29" s="2">
        <v>1020.67188</v>
      </c>
      <c r="AD29" s="2">
        <v>0.71797999999999995</v>
      </c>
      <c r="AE29" s="2">
        <v>0.21629000000000001</v>
      </c>
      <c r="AF29" s="2">
        <v>1020.67188</v>
      </c>
      <c r="AG29" s="2">
        <v>34.81</v>
      </c>
      <c r="AH29" s="2">
        <v>0.82154000000000005</v>
      </c>
      <c r="AI29" s="2">
        <v>8180.1884799999998</v>
      </c>
      <c r="AJ29" s="2">
        <v>3898.9445799999999</v>
      </c>
      <c r="AK29" s="2">
        <v>13.97545</v>
      </c>
      <c r="AL29" s="2">
        <v>36.291339999999998</v>
      </c>
      <c r="AM29" s="2">
        <v>58.078060000000001</v>
      </c>
      <c r="AN29" s="2">
        <v>6.2111000000000001</v>
      </c>
      <c r="AO29" s="2">
        <v>114.55595</v>
      </c>
      <c r="AP29" s="2">
        <v>8180.1884799999998</v>
      </c>
      <c r="AQ29" s="39"/>
      <c r="AR29" s="2"/>
      <c r="AS29" s="2"/>
    </row>
    <row r="30" spans="1:45">
      <c r="A30" s="2">
        <v>45910</v>
      </c>
      <c r="B30" s="2" t="s">
        <v>147</v>
      </c>
      <c r="C30" s="2" t="s">
        <v>154</v>
      </c>
      <c r="D30" s="2">
        <v>0</v>
      </c>
      <c r="E30" s="2">
        <v>0</v>
      </c>
      <c r="F30" s="2" t="s">
        <v>156</v>
      </c>
      <c r="G30" s="2">
        <v>41831</v>
      </c>
      <c r="H30" s="2">
        <v>33880</v>
      </c>
      <c r="I30" s="2">
        <v>2</v>
      </c>
      <c r="J30" s="2">
        <v>0.20286000000000001</v>
      </c>
      <c r="K30" s="2">
        <v>50</v>
      </c>
      <c r="L30" s="2">
        <v>3</v>
      </c>
      <c r="M30" s="2">
        <v>37752</v>
      </c>
      <c r="N30" s="2">
        <v>32.14</v>
      </c>
      <c r="O30" s="2">
        <v>0.37870999999999999</v>
      </c>
      <c r="P30" s="2">
        <v>38.25</v>
      </c>
      <c r="Q30" s="2">
        <v>4269.4257799999996</v>
      </c>
      <c r="R30" s="2">
        <v>0.37476999999999999</v>
      </c>
      <c r="S30" s="2">
        <v>0.67854999999999999</v>
      </c>
      <c r="T30" s="2">
        <v>4269.4257799999996</v>
      </c>
      <c r="U30" s="2">
        <v>29.01</v>
      </c>
      <c r="V30" s="2">
        <v>0.41957</v>
      </c>
      <c r="W30" s="2">
        <v>2824.3752399999998</v>
      </c>
      <c r="X30" s="2">
        <v>0.30830000000000002</v>
      </c>
      <c r="Y30" s="2">
        <v>0.29926000000000003</v>
      </c>
      <c r="Z30" s="2">
        <v>2824.3752399999998</v>
      </c>
      <c r="AA30" s="2">
        <v>31.38</v>
      </c>
      <c r="AB30" s="2">
        <v>0.38788</v>
      </c>
      <c r="AC30" s="2">
        <v>1101.9462900000001</v>
      </c>
      <c r="AD30" s="2">
        <v>0.30597000000000002</v>
      </c>
      <c r="AE30" s="2">
        <v>0.23351</v>
      </c>
      <c r="AF30" s="2">
        <v>1101.9462900000001</v>
      </c>
      <c r="AG30" s="2">
        <v>31.6</v>
      </c>
      <c r="AH30" s="2">
        <v>0.38518000000000002</v>
      </c>
      <c r="AI30" s="2">
        <v>8721.4706999999999</v>
      </c>
      <c r="AJ30" s="2">
        <v>1769.2360799999999</v>
      </c>
      <c r="AK30" s="2">
        <v>7.0740699999999999</v>
      </c>
      <c r="AL30" s="2">
        <v>18.258520000000001</v>
      </c>
      <c r="AM30" s="2">
        <v>29.855049999999999</v>
      </c>
      <c r="AN30" s="2">
        <v>3.3182399999999999</v>
      </c>
      <c r="AO30" s="2">
        <v>58.505879999999998</v>
      </c>
      <c r="AP30" s="2">
        <v>8721.4706999999999</v>
      </c>
    </row>
    <row r="31" spans="1:45">
      <c r="A31" s="2">
        <v>45912</v>
      </c>
      <c r="B31" s="2" t="s">
        <v>147</v>
      </c>
      <c r="C31" s="2" t="s">
        <v>154</v>
      </c>
      <c r="D31" s="2">
        <v>0</v>
      </c>
      <c r="E31" s="2">
        <v>0</v>
      </c>
      <c r="F31" s="2" t="s">
        <v>157</v>
      </c>
      <c r="G31" s="2">
        <v>41833</v>
      </c>
      <c r="H31" s="2">
        <v>41831</v>
      </c>
      <c r="I31" s="2">
        <v>2</v>
      </c>
      <c r="J31" s="2">
        <v>0.64215999999999995</v>
      </c>
      <c r="K31" s="2">
        <v>50</v>
      </c>
      <c r="L31" s="2">
        <v>3</v>
      </c>
      <c r="M31" s="2">
        <v>37752</v>
      </c>
      <c r="N31" s="2">
        <v>35.89</v>
      </c>
      <c r="O31" s="2">
        <v>1.0735399999999999</v>
      </c>
      <c r="P31" s="2">
        <v>38.25</v>
      </c>
      <c r="Q31" s="2">
        <v>4269.4257799999996</v>
      </c>
      <c r="R31" s="2">
        <v>1.18634</v>
      </c>
      <c r="S31" s="2">
        <v>0.67854999999999999</v>
      </c>
      <c r="T31" s="2">
        <v>4269.4257799999996</v>
      </c>
      <c r="U31" s="2">
        <v>34.270000000000003</v>
      </c>
      <c r="V31" s="2">
        <v>1.12429</v>
      </c>
      <c r="W31" s="2">
        <v>2824.3752399999998</v>
      </c>
      <c r="X31" s="2">
        <v>0.97594000000000003</v>
      </c>
      <c r="Y31" s="2">
        <v>0.29926000000000003</v>
      </c>
      <c r="Z31" s="2">
        <v>2824.3752399999998</v>
      </c>
      <c r="AA31" s="2">
        <v>35.520000000000003</v>
      </c>
      <c r="AB31" s="2">
        <v>1.0847199999999999</v>
      </c>
      <c r="AC31" s="2">
        <v>1101.9462900000001</v>
      </c>
      <c r="AD31" s="2">
        <v>0.96857000000000004</v>
      </c>
      <c r="AE31" s="2">
        <v>0.23351</v>
      </c>
      <c r="AF31" s="2">
        <v>1101.9462900000001</v>
      </c>
      <c r="AG31" s="2">
        <v>35.619999999999997</v>
      </c>
      <c r="AH31" s="2">
        <v>1.08168</v>
      </c>
      <c r="AI31" s="2">
        <v>8721.4706999999999</v>
      </c>
      <c r="AJ31" s="2">
        <v>5600.5502900000001</v>
      </c>
      <c r="AK31" s="2">
        <v>19.865860000000001</v>
      </c>
      <c r="AL31" s="2">
        <v>51.061120000000003</v>
      </c>
      <c r="AM31" s="2">
        <v>80.001170000000002</v>
      </c>
      <c r="AN31" s="2">
        <v>9.4064300000000003</v>
      </c>
      <c r="AO31" s="2">
        <v>160.33458999999999</v>
      </c>
      <c r="AP31" s="2">
        <v>8721.4706999999999</v>
      </c>
    </row>
    <row r="32" spans="1:45">
      <c r="S32">
        <f t="shared" ref="S32:T32" si="0">AVERAGE(S29:S31)</f>
        <v>0.66752333333333336</v>
      </c>
      <c r="T32">
        <f t="shared" si="0"/>
        <v>4200.0460599999997</v>
      </c>
      <c r="U32">
        <f>AVERAGE(U29:U31)</f>
        <v>32.20333333333334</v>
      </c>
      <c r="AA32">
        <f>AVERAGE(AA29:AA31)</f>
        <v>33.860000000000007</v>
      </c>
      <c r="AG32">
        <f>AVERAGE(AG29:AG31)</f>
        <v>34.01</v>
      </c>
      <c r="AP32">
        <f>AVERAGE(AP29:AP31)</f>
        <v>8541.0432933333341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49"/>
  <sheetViews>
    <sheetView topLeftCell="A9" workbookViewId="0">
      <selection activeCell="E52" sqref="E52"/>
    </sheetView>
  </sheetViews>
  <sheetFormatPr defaultRowHeight="15"/>
  <cols>
    <col min="1" max="1" width="27.5703125" customWidth="1"/>
    <col min="2" max="3" width="9.28515625" bestFit="1" customWidth="1"/>
    <col min="4" max="4" width="9.5703125" bestFit="1" customWidth="1"/>
  </cols>
  <sheetData>
    <row r="1" spans="1:4">
      <c r="A1" s="119" t="s">
        <v>92</v>
      </c>
      <c r="B1" s="120"/>
      <c r="C1" s="120"/>
      <c r="D1" s="121"/>
    </row>
    <row r="2" spans="1:4">
      <c r="A2" s="31" t="s">
        <v>28</v>
      </c>
      <c r="B2" s="23" t="s">
        <v>27</v>
      </c>
      <c r="C2" s="23" t="s">
        <v>30</v>
      </c>
      <c r="D2" s="32" t="s">
        <v>26</v>
      </c>
    </row>
    <row r="3" spans="1:4">
      <c r="A3" s="18"/>
      <c r="B3" s="24"/>
      <c r="C3" s="21">
        <v>80917</v>
      </c>
      <c r="D3" s="33"/>
    </row>
    <row r="4" spans="1:4">
      <c r="A4" s="18"/>
      <c r="B4" s="21">
        <v>7001</v>
      </c>
      <c r="C4" s="21"/>
      <c r="D4" s="34">
        <v>5317</v>
      </c>
    </row>
    <row r="5" spans="1:4">
      <c r="A5" s="35" t="s">
        <v>90</v>
      </c>
      <c r="B5" s="22"/>
      <c r="C5" s="22">
        <f>C3-B4-D4</f>
        <v>68599</v>
      </c>
      <c r="D5" s="36"/>
    </row>
    <row r="6" spans="1:4">
      <c r="A6" s="18"/>
      <c r="B6" s="21">
        <v>5112</v>
      </c>
      <c r="C6" s="21"/>
      <c r="D6" s="34">
        <v>6485</v>
      </c>
    </row>
    <row r="7" spans="1:4">
      <c r="A7" s="18"/>
      <c r="B7" s="21"/>
      <c r="C7" s="37">
        <f>C5+B6+D6</f>
        <v>80196</v>
      </c>
      <c r="D7" s="34"/>
    </row>
    <row r="8" spans="1:4">
      <c r="A8" s="18"/>
      <c r="B8" s="21"/>
      <c r="C8" s="21"/>
      <c r="D8" s="34"/>
    </row>
    <row r="9" spans="1:4" ht="15.75" thickBot="1">
      <c r="A9" s="66" t="s">
        <v>91</v>
      </c>
      <c r="B9" s="67"/>
      <c r="C9" s="67"/>
      <c r="D9" s="68"/>
    </row>
    <row r="10" spans="1:4" ht="15.75" thickBot="1">
      <c r="B10" s="38"/>
      <c r="C10" s="38"/>
      <c r="D10" s="38"/>
    </row>
    <row r="11" spans="1:4">
      <c r="A11" s="119" t="s">
        <v>93</v>
      </c>
      <c r="B11" s="120"/>
      <c r="C11" s="120"/>
      <c r="D11" s="121"/>
    </row>
    <row r="12" spans="1:4">
      <c r="A12" s="31" t="s">
        <v>28</v>
      </c>
      <c r="B12" s="23" t="s">
        <v>27</v>
      </c>
      <c r="C12" s="23" t="s">
        <v>30</v>
      </c>
      <c r="D12" s="32" t="s">
        <v>26</v>
      </c>
    </row>
    <row r="13" spans="1:4">
      <c r="A13" s="18"/>
      <c r="B13" s="24"/>
      <c r="C13" s="21">
        <v>94887</v>
      </c>
      <c r="D13" s="33"/>
    </row>
    <row r="14" spans="1:4">
      <c r="A14" s="18"/>
      <c r="B14" s="21">
        <v>6906</v>
      </c>
      <c r="C14" s="21"/>
      <c r="D14" s="34">
        <v>5962</v>
      </c>
    </row>
    <row r="15" spans="1:4">
      <c r="A15" s="35" t="s">
        <v>90</v>
      </c>
      <c r="B15" s="22"/>
      <c r="C15" s="22">
        <f>C13-B14-D14</f>
        <v>82019</v>
      </c>
      <c r="D15" s="36"/>
    </row>
    <row r="16" spans="1:4">
      <c r="A16" s="18"/>
      <c r="B16" s="21">
        <v>5332</v>
      </c>
      <c r="C16" s="21"/>
      <c r="D16" s="34">
        <v>6467</v>
      </c>
    </row>
    <row r="17" spans="1:4">
      <c r="A17" s="18"/>
      <c r="B17" s="21"/>
      <c r="C17" s="37">
        <f>C15+B16+D16</f>
        <v>93818</v>
      </c>
      <c r="D17" s="34"/>
    </row>
    <row r="18" spans="1:4">
      <c r="A18" s="18"/>
      <c r="B18" s="21"/>
      <c r="C18" s="21"/>
      <c r="D18" s="34"/>
    </row>
    <row r="19" spans="1:4" ht="15.75" thickBot="1">
      <c r="A19" s="66" t="s">
        <v>91</v>
      </c>
      <c r="B19" s="67"/>
      <c r="C19" s="67"/>
      <c r="D19" s="68"/>
    </row>
    <row r="20" spans="1:4" ht="15.75" thickBot="1">
      <c r="B20" s="38"/>
      <c r="C20" s="38"/>
      <c r="D20" s="38"/>
    </row>
    <row r="21" spans="1:4">
      <c r="A21" s="119" t="s">
        <v>94</v>
      </c>
      <c r="B21" s="120"/>
      <c r="C21" s="120"/>
      <c r="D21" s="121"/>
    </row>
    <row r="22" spans="1:4">
      <c r="A22" s="31" t="s">
        <v>28</v>
      </c>
      <c r="B22" s="23" t="s">
        <v>27</v>
      </c>
      <c r="C22" s="23" t="s">
        <v>30</v>
      </c>
      <c r="D22" s="32" t="s">
        <v>26</v>
      </c>
    </row>
    <row r="23" spans="1:4">
      <c r="A23" s="18"/>
      <c r="B23" s="24"/>
      <c r="C23" s="21">
        <v>91238</v>
      </c>
      <c r="D23" s="33"/>
    </row>
    <row r="24" spans="1:4">
      <c r="A24" s="18"/>
      <c r="B24" s="21">
        <v>6864</v>
      </c>
      <c r="C24" s="21"/>
      <c r="D24" s="34">
        <v>5213</v>
      </c>
    </row>
    <row r="25" spans="1:4">
      <c r="A25" s="35" t="s">
        <v>90</v>
      </c>
      <c r="B25" s="22"/>
      <c r="C25" s="22">
        <f>C23-B24-D24</f>
        <v>79161</v>
      </c>
      <c r="D25" s="36"/>
    </row>
    <row r="26" spans="1:4">
      <c r="A26" s="18"/>
      <c r="B26" s="21">
        <v>5012</v>
      </c>
      <c r="C26" s="21"/>
      <c r="D26" s="34">
        <v>6358</v>
      </c>
    </row>
    <row r="27" spans="1:4">
      <c r="A27" s="18"/>
      <c r="B27" s="21"/>
      <c r="C27" s="37">
        <f>C25+B26+D26</f>
        <v>90531</v>
      </c>
      <c r="D27" s="34"/>
    </row>
    <row r="28" spans="1:4">
      <c r="A28" s="18"/>
      <c r="B28" s="21"/>
      <c r="C28" s="21"/>
      <c r="D28" s="34"/>
    </row>
    <row r="29" spans="1:4" ht="15.75" thickBot="1">
      <c r="A29" s="66" t="s">
        <v>91</v>
      </c>
      <c r="B29" s="67"/>
      <c r="C29" s="67"/>
      <c r="D29" s="68"/>
    </row>
    <row r="30" spans="1:4" ht="15.75" thickBot="1">
      <c r="B30" s="38"/>
      <c r="C30" s="38"/>
      <c r="D30" s="38"/>
    </row>
    <row r="31" spans="1:4">
      <c r="A31" s="119" t="s">
        <v>95</v>
      </c>
      <c r="B31" s="120"/>
      <c r="C31" s="120"/>
      <c r="D31" s="121"/>
    </row>
    <row r="32" spans="1:4">
      <c r="A32" s="31" t="s">
        <v>28</v>
      </c>
      <c r="B32" s="23" t="s">
        <v>27</v>
      </c>
      <c r="C32" s="23" t="s">
        <v>30</v>
      </c>
      <c r="D32" s="32" t="s">
        <v>26</v>
      </c>
    </row>
    <row r="33" spans="1:4">
      <c r="A33" s="18"/>
      <c r="B33" s="24"/>
      <c r="C33" s="21">
        <v>89516</v>
      </c>
      <c r="D33" s="33"/>
    </row>
    <row r="34" spans="1:4">
      <c r="A34" s="18"/>
      <c r="B34" s="21">
        <v>8151</v>
      </c>
      <c r="C34" s="21"/>
      <c r="D34" s="34">
        <v>7527</v>
      </c>
    </row>
    <row r="35" spans="1:4">
      <c r="A35" s="35" t="s">
        <v>90</v>
      </c>
      <c r="B35" s="22"/>
      <c r="C35" s="22">
        <f>C33-B34-D34</f>
        <v>73838</v>
      </c>
      <c r="D35" s="36"/>
    </row>
    <row r="36" spans="1:4">
      <c r="A36" s="18"/>
      <c r="B36" s="21">
        <v>7264</v>
      </c>
      <c r="C36" s="21"/>
      <c r="D36" s="34">
        <v>6789</v>
      </c>
    </row>
    <row r="37" spans="1:4">
      <c r="A37" s="18"/>
      <c r="B37" s="21"/>
      <c r="C37" s="37">
        <f>C35+B36+D36</f>
        <v>87891</v>
      </c>
      <c r="D37" s="34"/>
    </row>
    <row r="38" spans="1:4">
      <c r="A38" s="18"/>
      <c r="B38" s="21"/>
      <c r="C38" s="21"/>
      <c r="D38" s="34"/>
    </row>
    <row r="39" spans="1:4" ht="15.75" thickBot="1">
      <c r="A39" s="66" t="s">
        <v>91</v>
      </c>
      <c r="B39" s="67"/>
      <c r="C39" s="67"/>
      <c r="D39" s="68"/>
    </row>
    <row r="40" spans="1:4" ht="15.75" thickBot="1">
      <c r="A40" s="49"/>
      <c r="B40" s="49"/>
      <c r="C40" s="49"/>
      <c r="D40" s="49"/>
    </row>
    <row r="41" spans="1:4">
      <c r="A41" s="119" t="s">
        <v>96</v>
      </c>
      <c r="B41" s="120"/>
      <c r="C41" s="120"/>
      <c r="D41" s="121"/>
    </row>
    <row r="42" spans="1:4">
      <c r="A42" s="31" t="s">
        <v>28</v>
      </c>
      <c r="B42" s="23" t="s">
        <v>27</v>
      </c>
      <c r="C42" s="23" t="s">
        <v>30</v>
      </c>
      <c r="D42" s="32" t="s">
        <v>26</v>
      </c>
    </row>
    <row r="43" spans="1:4">
      <c r="A43" s="18"/>
      <c r="B43" s="24"/>
      <c r="C43" s="21">
        <v>87858</v>
      </c>
      <c r="D43" s="33"/>
    </row>
    <row r="44" spans="1:4">
      <c r="A44" s="18"/>
      <c r="B44" s="21">
        <v>8151</v>
      </c>
      <c r="C44" s="21"/>
      <c r="D44" s="34">
        <v>7527</v>
      </c>
    </row>
    <row r="45" spans="1:4">
      <c r="A45" s="35" t="s">
        <v>90</v>
      </c>
      <c r="B45" s="22"/>
      <c r="C45" s="22">
        <f>C43-B44-D44</f>
        <v>72180</v>
      </c>
      <c r="D45" s="36"/>
    </row>
    <row r="46" spans="1:4">
      <c r="A46" s="18"/>
      <c r="B46" s="21">
        <v>7264</v>
      </c>
      <c r="C46" s="21"/>
      <c r="D46" s="34">
        <v>6789</v>
      </c>
    </row>
    <row r="47" spans="1:4">
      <c r="A47" s="18"/>
      <c r="B47" s="21"/>
      <c r="C47" s="37">
        <f>C45+B46+D46</f>
        <v>86233</v>
      </c>
      <c r="D47" s="34"/>
    </row>
    <row r="48" spans="1:4">
      <c r="A48" s="18"/>
      <c r="B48" s="21"/>
      <c r="C48" s="21"/>
      <c r="D48" s="34"/>
    </row>
    <row r="49" spans="1:4" ht="15.75" thickBot="1">
      <c r="A49" s="66" t="s">
        <v>91</v>
      </c>
      <c r="B49" s="67"/>
      <c r="C49" s="67"/>
      <c r="D49" s="68"/>
    </row>
  </sheetData>
  <mergeCells count="5">
    <mergeCell ref="A41:D41"/>
    <mergeCell ref="A1:D1"/>
    <mergeCell ref="A11:D11"/>
    <mergeCell ref="A21:D21"/>
    <mergeCell ref="A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topLeftCell="A31" zoomScale="70" zoomScaleNormal="70" workbookViewId="0">
      <selection activeCell="L56" sqref="L56"/>
    </sheetView>
  </sheetViews>
  <sheetFormatPr defaultRowHeight="15"/>
  <cols>
    <col min="1" max="1" width="27.5703125" customWidth="1"/>
    <col min="2" max="2" width="14.5703125" bestFit="1" customWidth="1"/>
    <col min="4" max="4" width="9.5703125" bestFit="1" customWidth="1"/>
    <col min="5" max="5" width="11.5703125" bestFit="1" customWidth="1"/>
    <col min="6" max="6" width="16.5703125" customWidth="1"/>
    <col min="7" max="7" width="15.4257812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>
      <c r="A1" s="122" t="s">
        <v>15</v>
      </c>
      <c r="B1" s="122"/>
      <c r="C1" s="122" t="s">
        <v>16</v>
      </c>
      <c r="D1" s="122"/>
      <c r="E1" s="122"/>
      <c r="F1" s="122"/>
      <c r="K1" s="1" t="s">
        <v>1</v>
      </c>
      <c r="L1" s="1" t="s">
        <v>2</v>
      </c>
      <c r="N1" s="5"/>
      <c r="O1" s="5"/>
      <c r="P1" s="5"/>
      <c r="Q1" s="5"/>
      <c r="R1" s="30"/>
      <c r="S1" s="5"/>
      <c r="T1" s="5"/>
      <c r="U1" s="5"/>
      <c r="V1" s="5"/>
      <c r="W1" s="5"/>
      <c r="X1" s="5"/>
    </row>
    <row r="2" spans="1:24">
      <c r="A2" s="2" t="s">
        <v>17</v>
      </c>
      <c r="B2" s="2"/>
      <c r="C2" s="125"/>
      <c r="D2" s="125"/>
      <c r="E2" s="125"/>
      <c r="F2" s="125"/>
      <c r="K2" s="2" t="s">
        <v>3</v>
      </c>
      <c r="L2" s="3">
        <f>TDM!AQ4</f>
        <v>55625.882810000003</v>
      </c>
      <c r="N2" s="5"/>
      <c r="O2" s="5"/>
      <c r="P2" s="5"/>
      <c r="Q2" s="5"/>
      <c r="R2" s="30"/>
      <c r="U2" s="5"/>
      <c r="V2" s="5"/>
    </row>
    <row r="3" spans="1:24">
      <c r="A3" s="2" t="s">
        <v>7</v>
      </c>
      <c r="B3" s="2" t="s">
        <v>23</v>
      </c>
      <c r="C3" s="125" t="s">
        <v>18</v>
      </c>
      <c r="D3" s="125"/>
      <c r="E3" s="125"/>
      <c r="F3" s="125"/>
      <c r="K3" s="2" t="s">
        <v>4</v>
      </c>
      <c r="L3" s="3">
        <f>TDM!AP16</f>
        <v>82948.5625</v>
      </c>
      <c r="O3" s="94"/>
      <c r="Q3" s="94"/>
      <c r="R3" s="94"/>
      <c r="T3" s="94"/>
    </row>
    <row r="4" spans="1:24" ht="30">
      <c r="A4" s="20" t="s">
        <v>24</v>
      </c>
      <c r="B4" s="2">
        <v>150119</v>
      </c>
      <c r="C4" s="125" t="s">
        <v>18</v>
      </c>
      <c r="D4" s="125"/>
      <c r="E4" s="125"/>
      <c r="F4" s="125"/>
      <c r="K4" s="2" t="s">
        <v>5</v>
      </c>
      <c r="L4" s="4">
        <f>(L3-L2)/L2</f>
        <v>0.49118644612482681</v>
      </c>
      <c r="O4" s="108"/>
      <c r="Q4" s="108"/>
      <c r="R4" s="108"/>
      <c r="T4" s="108"/>
    </row>
    <row r="5" spans="1:24">
      <c r="A5" s="2" t="s">
        <v>25</v>
      </c>
      <c r="B5" s="2">
        <v>89342</v>
      </c>
      <c r="C5" s="125" t="s">
        <v>19</v>
      </c>
      <c r="D5" s="125"/>
      <c r="E5" s="125"/>
      <c r="F5" s="125"/>
      <c r="O5" s="109"/>
      <c r="Q5" s="109"/>
      <c r="R5" s="109"/>
      <c r="T5" s="109"/>
      <c r="V5" s="109"/>
      <c r="X5" s="109"/>
    </row>
    <row r="6" spans="1:24">
      <c r="A6" s="2" t="s">
        <v>31</v>
      </c>
      <c r="B6" s="17">
        <v>4.4999999999999998E-2</v>
      </c>
      <c r="C6" s="125" t="s">
        <v>19</v>
      </c>
      <c r="D6" s="125"/>
      <c r="E6" s="125"/>
      <c r="F6" s="125"/>
      <c r="O6" s="94"/>
      <c r="Q6" s="94"/>
      <c r="R6" s="94"/>
      <c r="T6" s="94"/>
    </row>
    <row r="7" spans="1:24">
      <c r="A7" s="2" t="s">
        <v>20</v>
      </c>
      <c r="B7" s="2">
        <v>0.08</v>
      </c>
      <c r="C7" s="125" t="s">
        <v>19</v>
      </c>
      <c r="D7" s="125"/>
      <c r="E7" s="125"/>
      <c r="F7" s="125"/>
      <c r="O7" s="109"/>
      <c r="Q7" s="109"/>
      <c r="R7" s="109"/>
      <c r="T7" s="109"/>
      <c r="V7" s="109"/>
      <c r="X7" s="109"/>
    </row>
    <row r="8" spans="1:24">
      <c r="O8" s="110"/>
      <c r="Q8" s="110"/>
      <c r="R8" s="110"/>
      <c r="T8" s="110"/>
      <c r="V8" s="110"/>
      <c r="X8" s="110"/>
    </row>
    <row r="9" spans="1:24">
      <c r="A9" s="123" t="s">
        <v>29</v>
      </c>
      <c r="B9" s="123"/>
      <c r="C9" s="5"/>
      <c r="D9" s="5"/>
      <c r="O9" s="16"/>
      <c r="Q9" s="16"/>
      <c r="R9" s="16"/>
      <c r="T9" s="16"/>
      <c r="V9" s="16"/>
      <c r="X9" s="16"/>
    </row>
    <row r="10" spans="1:24">
      <c r="A10" s="10" t="s">
        <v>22</v>
      </c>
      <c r="B10" s="10" t="s">
        <v>0</v>
      </c>
      <c r="C10" s="49"/>
      <c r="D10" s="49"/>
      <c r="F10" s="30"/>
      <c r="G10" s="30"/>
      <c r="H10" s="30"/>
      <c r="I10" s="30"/>
      <c r="J10" s="30"/>
      <c r="K10" s="30"/>
      <c r="Q10" s="16"/>
      <c r="R10" s="16"/>
      <c r="X10" s="16"/>
    </row>
    <row r="11" spans="1:24">
      <c r="A11" s="54">
        <v>2022</v>
      </c>
      <c r="B11" s="116">
        <f>Volumes!C7</f>
        <v>80196</v>
      </c>
      <c r="C11" s="38"/>
      <c r="D11" s="62"/>
      <c r="G11" s="94"/>
      <c r="I11" s="16"/>
      <c r="K11" s="16"/>
      <c r="Q11" s="16"/>
      <c r="R11" s="16"/>
      <c r="T11" s="16"/>
      <c r="X11" s="16"/>
    </row>
    <row r="12" spans="1:24">
      <c r="A12" s="54">
        <v>2021</v>
      </c>
      <c r="B12" s="116">
        <f>Volumes!C17</f>
        <v>93818</v>
      </c>
      <c r="C12" s="38"/>
      <c r="D12" s="38"/>
      <c r="G12" s="16"/>
      <c r="I12" s="29"/>
      <c r="K12" s="29"/>
      <c r="Q12" s="107"/>
      <c r="R12" s="107"/>
      <c r="T12" s="16"/>
      <c r="V12" s="16"/>
      <c r="X12" s="16"/>
    </row>
    <row r="13" spans="1:24">
      <c r="A13" s="54">
        <v>2020</v>
      </c>
      <c r="B13" s="116">
        <f>Volumes!C27</f>
        <v>90531</v>
      </c>
      <c r="C13" s="38"/>
      <c r="D13" s="38"/>
      <c r="I13" s="16"/>
      <c r="K13" s="29"/>
      <c r="Q13" s="16"/>
      <c r="R13" s="16"/>
      <c r="T13" s="16"/>
      <c r="V13" s="16"/>
      <c r="X13" s="16"/>
    </row>
    <row r="14" spans="1:24">
      <c r="A14" s="54">
        <v>2019</v>
      </c>
      <c r="B14" s="116">
        <f>Volumes!C37</f>
        <v>87891</v>
      </c>
      <c r="C14" s="38"/>
      <c r="D14" s="38"/>
      <c r="I14" s="16"/>
      <c r="K14" s="29"/>
      <c r="Q14" s="16"/>
      <c r="T14" s="16"/>
      <c r="V14" s="16"/>
      <c r="X14" s="16"/>
    </row>
    <row r="15" spans="1:24">
      <c r="A15" s="54">
        <v>2018</v>
      </c>
      <c r="B15" s="116">
        <f>Volumes!C47</f>
        <v>86233</v>
      </c>
      <c r="C15" s="63"/>
      <c r="D15" s="38"/>
      <c r="G15" s="29"/>
      <c r="I15" s="16"/>
      <c r="K15" s="29"/>
      <c r="Q15" s="16"/>
      <c r="R15" s="16"/>
      <c r="V15" s="16"/>
    </row>
    <row r="16" spans="1:24">
      <c r="A16" s="2" t="s">
        <v>86</v>
      </c>
      <c r="B16" s="3">
        <f>SUM(B11:B15)</f>
        <v>438669</v>
      </c>
      <c r="C16" s="38"/>
      <c r="D16" s="38"/>
      <c r="G16" s="25"/>
      <c r="I16" s="26"/>
      <c r="L16" s="38"/>
    </row>
    <row r="17" spans="1:14">
      <c r="B17" s="38"/>
      <c r="C17" s="38"/>
      <c r="D17" s="38"/>
      <c r="H17" s="27"/>
      <c r="I17" s="28"/>
      <c r="L17" s="38"/>
      <c r="M17" s="16"/>
      <c r="N17" s="16"/>
    </row>
    <row r="18" spans="1:14">
      <c r="B18" s="38"/>
      <c r="C18" s="38"/>
      <c r="D18" s="38"/>
      <c r="G18" s="25"/>
      <c r="I18" s="26"/>
      <c r="L18" s="38"/>
      <c r="M18" s="16"/>
      <c r="N18" s="16"/>
    </row>
    <row r="19" spans="1:14">
      <c r="F19" s="29"/>
    </row>
    <row r="20" spans="1:14">
      <c r="A20" s="124" t="s">
        <v>79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4" ht="45">
      <c r="A21" s="64" t="s">
        <v>83</v>
      </c>
      <c r="B21" s="64" t="s">
        <v>80</v>
      </c>
      <c r="C21" s="64" t="s">
        <v>82</v>
      </c>
      <c r="D21" s="65" t="s">
        <v>202</v>
      </c>
      <c r="E21" s="65" t="s">
        <v>203</v>
      </c>
      <c r="F21" s="65" t="s">
        <v>84</v>
      </c>
      <c r="G21" s="65" t="s">
        <v>85</v>
      </c>
      <c r="H21" s="65" t="s">
        <v>87</v>
      </c>
      <c r="I21" s="65" t="s">
        <v>88</v>
      </c>
      <c r="J21" s="65" t="s">
        <v>204</v>
      </c>
      <c r="K21" s="65" t="s">
        <v>205</v>
      </c>
    </row>
    <row r="22" spans="1:14" ht="14.45" customHeight="1">
      <c r="A22" s="57" t="s">
        <v>89</v>
      </c>
      <c r="B22" s="2" t="s">
        <v>81</v>
      </c>
      <c r="C22" s="2" t="s">
        <v>97</v>
      </c>
      <c r="D22" s="3">
        <v>0</v>
      </c>
      <c r="E22" s="3">
        <f>TDM!AP32</f>
        <v>8541.0432933333341</v>
      </c>
      <c r="F22" s="3">
        <v>0</v>
      </c>
      <c r="G22" s="3">
        <f>TDM!P29</f>
        <v>38.25</v>
      </c>
      <c r="H22" s="3">
        <f>E22*2</f>
        <v>17082.086586666668</v>
      </c>
      <c r="I22" s="3" t="s">
        <v>206</v>
      </c>
      <c r="J22" s="106">
        <f>(H22*0.1/4)/1900</f>
        <v>0.22476429719298249</v>
      </c>
      <c r="K22" s="106">
        <f>TDM!S32</f>
        <v>0.66752333333333336</v>
      </c>
    </row>
    <row r="23" spans="1:14">
      <c r="A23" s="125" t="s">
        <v>214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4">
      <c r="A24" s="115"/>
    </row>
    <row r="25" spans="1:14">
      <c r="A25" s="96"/>
      <c r="E25" s="95"/>
      <c r="I25" s="16"/>
      <c r="J25" s="97"/>
      <c r="K25" s="60"/>
    </row>
    <row r="26" spans="1:14" ht="14.45" customHeight="1">
      <c r="A26" s="96"/>
      <c r="B26" s="60"/>
      <c r="C26" s="60"/>
      <c r="D26" s="60"/>
      <c r="E26" s="97"/>
      <c r="F26" s="60"/>
      <c r="G26" s="60"/>
      <c r="H26" s="60"/>
      <c r="I26" s="60"/>
      <c r="J26" s="97"/>
      <c r="K26" s="98"/>
    </row>
    <row r="27" spans="1:14" ht="28.9" customHeight="1">
      <c r="A27" s="99"/>
      <c r="B27" s="100"/>
      <c r="C27" s="100"/>
      <c r="D27" s="101"/>
      <c r="E27" s="101"/>
      <c r="F27" s="100"/>
      <c r="G27" s="100"/>
      <c r="H27" s="100"/>
      <c r="I27" s="102"/>
      <c r="J27" s="102"/>
      <c r="K27" s="102"/>
    </row>
    <row r="28" spans="1:14">
      <c r="A28" s="99"/>
      <c r="B28" s="103"/>
      <c r="C28" s="103"/>
      <c r="D28" s="104"/>
      <c r="E28" s="104"/>
      <c r="F28" s="103"/>
      <c r="G28" s="103"/>
      <c r="H28" s="105"/>
      <c r="I28" s="102"/>
      <c r="J28" s="102"/>
      <c r="K28" s="102"/>
    </row>
    <row r="32" spans="1:14">
      <c r="A32" s="126" t="s">
        <v>14</v>
      </c>
      <c r="B32" s="127"/>
      <c r="C32" s="127"/>
      <c r="D32" s="127"/>
      <c r="E32" s="127"/>
      <c r="F32" s="127"/>
      <c r="G32" s="127"/>
      <c r="H32" s="127"/>
    </row>
    <row r="33" spans="1:8">
      <c r="A33" s="124" t="s">
        <v>158</v>
      </c>
      <c r="B33" s="124"/>
      <c r="C33" s="124" t="s">
        <v>159</v>
      </c>
      <c r="D33" s="128"/>
      <c r="E33" s="129" t="s">
        <v>160</v>
      </c>
      <c r="F33" s="129"/>
      <c r="G33" s="130" t="s">
        <v>161</v>
      </c>
      <c r="H33" s="131"/>
    </row>
    <row r="34" spans="1:8" ht="18">
      <c r="A34" s="2" t="s">
        <v>12</v>
      </c>
      <c r="B34" s="12">
        <f>MIN(TDM!T4:T5,TDM!Z4:Z5,TDM!AF4:AF5)</f>
        <v>49.14</v>
      </c>
      <c r="C34" s="2" t="s">
        <v>12</v>
      </c>
      <c r="D34" s="15">
        <f>MIN(TDM!U10:U11,TDM!AA10:AA11,TDM!AG10:AG11)</f>
        <v>47.46</v>
      </c>
      <c r="E34" s="2" t="s">
        <v>12</v>
      </c>
      <c r="F34" s="15">
        <f>MIN(TDM!U16:U17,TDM!AA16:AA17,TDM!AG16:AG17)</f>
        <v>49.72</v>
      </c>
      <c r="G34" s="2" t="s">
        <v>12</v>
      </c>
      <c r="H34" s="13">
        <f>MIN(TDM!U32,TDM!AA32,TDM!AG32)</f>
        <v>32.20333333333334</v>
      </c>
    </row>
    <row r="35" spans="1:8">
      <c r="A35" s="2" t="s">
        <v>11</v>
      </c>
      <c r="B35" s="13">
        <f>TDM!I4+TDM!I5</f>
        <v>0.84709000000000001</v>
      </c>
      <c r="C35" s="2" t="s">
        <v>11</v>
      </c>
      <c r="D35" s="45">
        <f>TDM!J10+TDM!J11</f>
        <v>0.84709000000000001</v>
      </c>
      <c r="E35" s="2" t="s">
        <v>11</v>
      </c>
      <c r="F35" s="45">
        <f>TDM!J16+TDM!J17</f>
        <v>0.84709000000000001</v>
      </c>
      <c r="G35" s="2" t="s">
        <v>11</v>
      </c>
      <c r="H35" s="13">
        <f>TDM!J29+TDM!J30+TDM!J31</f>
        <v>1.32165</v>
      </c>
    </row>
    <row r="36" spans="1:8" ht="18">
      <c r="A36" s="2" t="s">
        <v>8</v>
      </c>
      <c r="B36" s="14">
        <f>B35/B34</f>
        <v>1.7238298738298737E-2</v>
      </c>
      <c r="C36" s="2" t="s">
        <v>8</v>
      </c>
      <c r="D36" s="46">
        <f>D35/D34</f>
        <v>1.7848504003371259E-2</v>
      </c>
      <c r="E36" s="2" t="s">
        <v>8</v>
      </c>
      <c r="F36" s="46">
        <f>F35/F34</f>
        <v>1.7037208366854385E-2</v>
      </c>
      <c r="G36" s="2" t="s">
        <v>8</v>
      </c>
      <c r="H36" s="14">
        <f>H35/H34</f>
        <v>4.1040782527688634E-2</v>
      </c>
    </row>
    <row r="37" spans="1:8" ht="18">
      <c r="A37" s="2" t="s">
        <v>13</v>
      </c>
      <c r="B37" s="12">
        <f>TDM!O4</f>
        <v>65</v>
      </c>
      <c r="C37" s="2" t="s">
        <v>13</v>
      </c>
      <c r="D37" s="15">
        <f>TDM!P10</f>
        <v>65</v>
      </c>
      <c r="E37" s="2" t="s">
        <v>13</v>
      </c>
      <c r="F37" s="15">
        <f>TDM!P16</f>
        <v>65</v>
      </c>
      <c r="G37" s="2" t="s">
        <v>13</v>
      </c>
      <c r="H37" s="12">
        <f>TDM!P29</f>
        <v>38.25</v>
      </c>
    </row>
    <row r="38" spans="1:8" ht="18">
      <c r="A38" s="2" t="s">
        <v>9</v>
      </c>
      <c r="B38" s="14">
        <f>B35/B37</f>
        <v>1.3032153846153846E-2</v>
      </c>
      <c r="C38" s="2" t="s">
        <v>9</v>
      </c>
      <c r="D38" s="46">
        <f>D35/D37</f>
        <v>1.3032153846153846E-2</v>
      </c>
      <c r="E38" s="2" t="s">
        <v>9</v>
      </c>
      <c r="F38" s="46">
        <f>F35/F37</f>
        <v>1.3032153846153846E-2</v>
      </c>
      <c r="G38" s="2" t="s">
        <v>9</v>
      </c>
      <c r="H38" s="14">
        <f>H35/H37</f>
        <v>3.4552941176470585E-2</v>
      </c>
    </row>
    <row r="39" spans="1:8" ht="15.75" thickBot="1">
      <c r="A39" s="44" t="s">
        <v>10</v>
      </c>
      <c r="B39" s="47">
        <f>B36/B38</f>
        <v>1.3227513227513226</v>
      </c>
      <c r="C39" s="44" t="s">
        <v>10</v>
      </c>
      <c r="D39" s="47">
        <f>D36/D38</f>
        <v>1.3695743784239358</v>
      </c>
      <c r="E39" s="44" t="s">
        <v>10</v>
      </c>
      <c r="F39" s="69">
        <f>F36/F38</f>
        <v>1.3073209975864843</v>
      </c>
      <c r="G39" s="44" t="s">
        <v>10</v>
      </c>
      <c r="H39" s="117">
        <f>H36/H38</f>
        <v>1.1877652416934064</v>
      </c>
    </row>
    <row r="41" spans="1:8">
      <c r="A41" s="5"/>
    </row>
    <row r="42" spans="1:8">
      <c r="A42" s="5"/>
      <c r="B42" s="5"/>
      <c r="C42" s="5"/>
      <c r="D42" s="5"/>
      <c r="E42" s="5"/>
    </row>
    <row r="43" spans="1:8">
      <c r="A43" s="92"/>
      <c r="B43" s="92"/>
      <c r="C43" s="93"/>
      <c r="D43" s="38"/>
    </row>
    <row r="44" spans="1:8">
      <c r="A44" s="94"/>
      <c r="B44" s="27"/>
      <c r="C44" s="94"/>
    </row>
    <row r="45" spans="1:8">
      <c r="A45" s="94"/>
      <c r="B45" s="27"/>
      <c r="C45" s="94"/>
    </row>
    <row r="46" spans="1:8">
      <c r="A46" s="94"/>
      <c r="B46" s="94"/>
      <c r="C46" s="60"/>
      <c r="D46" s="60"/>
      <c r="E46" s="60"/>
    </row>
    <row r="47" spans="1:8">
      <c r="A47" s="94"/>
      <c r="B47" s="94"/>
      <c r="C47" s="60"/>
      <c r="D47" s="60"/>
      <c r="E47" s="60"/>
    </row>
  </sheetData>
  <mergeCells count="16">
    <mergeCell ref="A32:H32"/>
    <mergeCell ref="A33:B33"/>
    <mergeCell ref="C33:D33"/>
    <mergeCell ref="E33:F33"/>
    <mergeCell ref="G33:H33"/>
    <mergeCell ref="A1:B1"/>
    <mergeCell ref="A9:B9"/>
    <mergeCell ref="A20:K20"/>
    <mergeCell ref="A23:K23"/>
    <mergeCell ref="C1:F1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6A94-47E4-427F-B0C3-5647DB9E4A07}">
  <dimension ref="A1:R38"/>
  <sheetViews>
    <sheetView workbookViewId="0">
      <selection activeCell="E17" sqref="E17"/>
    </sheetView>
  </sheetViews>
  <sheetFormatPr defaultRowHeight="1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>
      <c r="A1" s="60"/>
      <c r="B1" s="60"/>
      <c r="C1" s="70"/>
      <c r="D1" s="60"/>
      <c r="E1" s="60"/>
      <c r="F1" s="60"/>
      <c r="G1" s="60"/>
    </row>
    <row r="2" spans="1:18" ht="18.75">
      <c r="A2" s="60"/>
      <c r="B2" s="71" t="s">
        <v>162</v>
      </c>
      <c r="C2" s="72"/>
      <c r="D2" s="73"/>
      <c r="E2" s="60"/>
      <c r="F2" s="60"/>
      <c r="G2" s="60"/>
      <c r="K2" s="132" t="s">
        <v>194</v>
      </c>
      <c r="L2" s="132"/>
      <c r="M2" s="132"/>
      <c r="N2" s="132"/>
      <c r="O2" s="132"/>
      <c r="P2" s="132"/>
      <c r="Q2" s="132"/>
      <c r="R2" s="132"/>
    </row>
    <row r="3" spans="1:18">
      <c r="A3" s="60"/>
      <c r="B3" s="60"/>
      <c r="C3" s="70"/>
      <c r="D3" s="60"/>
      <c r="E3" s="60"/>
      <c r="F3" s="60"/>
      <c r="G3" s="60"/>
      <c r="K3" s="125"/>
      <c r="L3" s="125"/>
      <c r="M3" s="125"/>
      <c r="N3" s="125"/>
      <c r="O3" s="54" t="s">
        <v>195</v>
      </c>
      <c r="P3" s="54" t="s">
        <v>196</v>
      </c>
      <c r="Q3" s="54" t="s">
        <v>197</v>
      </c>
      <c r="R3" s="54" t="s">
        <v>198</v>
      </c>
    </row>
    <row r="4" spans="1:18">
      <c r="A4" s="60"/>
      <c r="B4" s="74" t="s">
        <v>163</v>
      </c>
      <c r="C4" s="70"/>
      <c r="D4" s="60"/>
      <c r="E4" s="60"/>
      <c r="F4" s="60"/>
      <c r="G4" s="60"/>
      <c r="K4" s="125" t="s">
        <v>199</v>
      </c>
      <c r="L4" s="125"/>
      <c r="M4" s="125"/>
      <c r="N4" s="125"/>
      <c r="O4" s="2">
        <v>0</v>
      </c>
      <c r="P4" s="2">
        <v>0</v>
      </c>
      <c r="Q4" s="2">
        <v>0</v>
      </c>
      <c r="R4" s="19">
        <f>AVERAGE(O4:Q4)</f>
        <v>0</v>
      </c>
    </row>
    <row r="5" spans="1:18">
      <c r="A5" s="60"/>
      <c r="B5" s="75" t="s">
        <v>164</v>
      </c>
      <c r="C5" s="76" t="s">
        <v>165</v>
      </c>
      <c r="D5" s="60"/>
      <c r="E5" s="75"/>
      <c r="F5" s="60" t="s">
        <v>166</v>
      </c>
      <c r="G5" s="60"/>
      <c r="K5" s="125" t="s">
        <v>200</v>
      </c>
      <c r="L5" s="125"/>
      <c r="M5" s="125"/>
      <c r="N5" s="125"/>
      <c r="O5" s="2">
        <f>TDM!U16</f>
        <v>49.72</v>
      </c>
      <c r="P5" s="2">
        <f>TDM!AA16</f>
        <v>59.88</v>
      </c>
      <c r="Q5" s="2">
        <f>TDM!AG16</f>
        <v>58.13</v>
      </c>
      <c r="R5" s="19">
        <f>AVERAGE(O5:Q5)</f>
        <v>55.91</v>
      </c>
    </row>
    <row r="6" spans="1:18">
      <c r="A6" s="60"/>
      <c r="B6" s="75" t="s">
        <v>167</v>
      </c>
      <c r="C6" s="77">
        <v>783</v>
      </c>
      <c r="D6" s="60"/>
      <c r="E6" s="78"/>
      <c r="F6" s="60" t="s">
        <v>168</v>
      </c>
      <c r="G6" s="60"/>
    </row>
    <row r="7" spans="1:18">
      <c r="A7" s="60"/>
      <c r="B7" s="75" t="s">
        <v>169</v>
      </c>
      <c r="C7" s="77"/>
      <c r="D7" s="60"/>
      <c r="E7" s="79"/>
      <c r="F7" s="60" t="s">
        <v>170</v>
      </c>
      <c r="G7" s="60"/>
    </row>
    <row r="8" spans="1:18">
      <c r="A8" s="60"/>
      <c r="B8" s="75" t="s">
        <v>171</v>
      </c>
      <c r="C8" s="77" t="s">
        <v>172</v>
      </c>
      <c r="D8" s="60"/>
      <c r="E8" s="60"/>
      <c r="F8" s="60"/>
      <c r="G8" s="60"/>
    </row>
    <row r="9" spans="1:18">
      <c r="A9" s="60"/>
      <c r="B9" s="60"/>
      <c r="C9" s="70"/>
      <c r="D9" s="60"/>
      <c r="E9" s="60"/>
      <c r="F9" s="60"/>
      <c r="G9" s="60"/>
    </row>
    <row r="10" spans="1:18">
      <c r="A10" s="60"/>
      <c r="B10" s="60"/>
      <c r="C10" s="70"/>
      <c r="D10" s="60"/>
      <c r="E10" s="60"/>
      <c r="F10" s="60"/>
      <c r="G10" s="60"/>
    </row>
    <row r="11" spans="1:18">
      <c r="A11" s="60"/>
      <c r="B11" s="74" t="s">
        <v>173</v>
      </c>
      <c r="C11" s="70"/>
      <c r="D11" s="60"/>
      <c r="E11" s="60"/>
      <c r="F11" s="60"/>
      <c r="G11" s="60"/>
    </row>
    <row r="12" spans="1:18">
      <c r="A12" s="60"/>
      <c r="B12" s="75" t="s">
        <v>174</v>
      </c>
      <c r="C12" s="77">
        <v>2025</v>
      </c>
      <c r="D12" s="60"/>
      <c r="E12" s="60"/>
      <c r="F12" s="60"/>
      <c r="G12" s="60"/>
    </row>
    <row r="13" spans="1:18">
      <c r="A13" s="60"/>
      <c r="B13" s="75" t="s">
        <v>175</v>
      </c>
      <c r="C13" s="77" t="s">
        <v>176</v>
      </c>
      <c r="D13" s="60"/>
      <c r="E13" s="60"/>
      <c r="F13" s="60"/>
      <c r="G13" s="60"/>
    </row>
    <row r="14" spans="1:18">
      <c r="A14" s="60"/>
      <c r="B14" s="80" t="s">
        <v>177</v>
      </c>
      <c r="C14" s="81" t="s">
        <v>201</v>
      </c>
      <c r="D14" s="60"/>
      <c r="E14" s="60"/>
      <c r="F14" s="60"/>
      <c r="G14" s="60"/>
    </row>
    <row r="15" spans="1:18">
      <c r="A15" s="60"/>
      <c r="B15" s="80" t="s">
        <v>178</v>
      </c>
      <c r="C15" s="82">
        <v>1.3</v>
      </c>
      <c r="D15" s="60"/>
      <c r="E15" s="60"/>
      <c r="F15" s="60"/>
      <c r="G15" s="60"/>
    </row>
    <row r="16" spans="1:18">
      <c r="A16" s="60"/>
      <c r="B16" s="80" t="s">
        <v>179</v>
      </c>
      <c r="C16" s="81">
        <v>0</v>
      </c>
      <c r="D16" s="60"/>
      <c r="E16" s="60"/>
      <c r="F16" s="60"/>
      <c r="G16" s="60"/>
    </row>
    <row r="17" spans="1:7">
      <c r="A17" s="60"/>
      <c r="B17" s="83" t="s">
        <v>180</v>
      </c>
      <c r="C17" s="81">
        <v>55.91</v>
      </c>
      <c r="D17" s="60"/>
      <c r="E17" s="60"/>
      <c r="F17" s="60"/>
      <c r="G17" s="60"/>
    </row>
    <row r="18" spans="1:7">
      <c r="A18" s="60"/>
      <c r="B18" s="84" t="s">
        <v>181</v>
      </c>
      <c r="C18" s="85">
        <f>VLOOKUP(C13,'[1]Service Life'!C6:D12,2,FALSE)</f>
        <v>20</v>
      </c>
      <c r="D18" s="60"/>
      <c r="E18" s="60"/>
      <c r="F18" s="60"/>
      <c r="G18" s="60"/>
    </row>
    <row r="19" spans="1:7">
      <c r="A19" s="60"/>
      <c r="B19" s="60"/>
      <c r="C19" s="70"/>
      <c r="D19" s="60"/>
      <c r="E19" s="60"/>
      <c r="F19" s="60"/>
      <c r="G19" s="60"/>
    </row>
    <row r="20" spans="1:7">
      <c r="A20" s="60"/>
      <c r="B20" s="74" t="s">
        <v>182</v>
      </c>
      <c r="C20" s="70"/>
      <c r="D20" s="60"/>
      <c r="E20" s="60"/>
      <c r="F20" s="60"/>
      <c r="G20" s="60"/>
    </row>
    <row r="21" spans="1:7" ht="30">
      <c r="A21" s="60"/>
      <c r="B21" s="83" t="s">
        <v>183</v>
      </c>
      <c r="C21" s="81">
        <v>8541</v>
      </c>
      <c r="D21" s="60"/>
      <c r="E21" s="60"/>
      <c r="F21" s="60"/>
      <c r="G21" s="60"/>
    </row>
    <row r="22" spans="1:7">
      <c r="A22" s="60"/>
      <c r="B22" s="86"/>
      <c r="C22" s="87"/>
      <c r="D22" s="60"/>
      <c r="E22" s="60"/>
      <c r="F22" s="60"/>
      <c r="G22" s="60"/>
    </row>
    <row r="23" spans="1:7">
      <c r="A23" s="60"/>
      <c r="B23" s="60"/>
      <c r="C23" s="70"/>
      <c r="D23" s="60"/>
      <c r="E23" s="60"/>
      <c r="F23" s="60"/>
      <c r="G23" s="60"/>
    </row>
    <row r="24" spans="1:7">
      <c r="A24" s="60"/>
      <c r="B24" s="60"/>
      <c r="C24" s="70"/>
      <c r="D24" s="60"/>
      <c r="E24" s="60"/>
      <c r="F24" s="60"/>
      <c r="G24" s="60"/>
    </row>
    <row r="25" spans="1:7" ht="18.75">
      <c r="A25" s="60"/>
      <c r="B25" s="71" t="s">
        <v>184</v>
      </c>
      <c r="C25" s="72"/>
      <c r="D25" s="60"/>
      <c r="E25" s="60"/>
      <c r="F25" s="60"/>
      <c r="G25" s="60"/>
    </row>
    <row r="26" spans="1:7">
      <c r="A26" s="60"/>
      <c r="B26" s="60"/>
      <c r="C26" s="70"/>
      <c r="D26" s="60"/>
      <c r="E26" s="60"/>
      <c r="F26" s="60"/>
      <c r="G26" s="60"/>
    </row>
    <row r="27" spans="1:7">
      <c r="A27" s="60"/>
      <c r="B27" s="88" t="s">
        <v>185</v>
      </c>
      <c r="C27" s="70"/>
      <c r="D27" s="60"/>
      <c r="E27" s="60"/>
      <c r="F27" s="60"/>
      <c r="G27" s="60"/>
    </row>
    <row r="28" spans="1:7">
      <c r="A28" s="60"/>
      <c r="B28" s="79" t="s">
        <v>186</v>
      </c>
      <c r="C28" s="89">
        <f>'[1]Benefit Calculations'!M35</f>
        <v>913.91455373444137</v>
      </c>
      <c r="D28" s="60"/>
      <c r="E28" s="60"/>
      <c r="F28" s="60"/>
      <c r="G28" s="60"/>
    </row>
    <row r="29" spans="1:7">
      <c r="A29" s="60"/>
      <c r="B29" s="79" t="s">
        <v>187</v>
      </c>
      <c r="C29" s="89">
        <f>'[1]Benefit Calculations'!Q35</f>
        <v>156772.62679864088</v>
      </c>
      <c r="D29" s="60"/>
      <c r="E29" s="60"/>
      <c r="F29" s="60"/>
      <c r="G29" s="60"/>
    </row>
    <row r="30" spans="1:7">
      <c r="A30" s="60"/>
      <c r="B30" s="60"/>
      <c r="C30" s="90"/>
      <c r="D30" s="60"/>
      <c r="E30" s="60"/>
      <c r="F30" s="60"/>
      <c r="G30" s="60"/>
    </row>
    <row r="31" spans="1:7">
      <c r="A31" s="60"/>
      <c r="B31" s="88" t="s">
        <v>188</v>
      </c>
      <c r="C31" s="90"/>
      <c r="D31" s="60"/>
      <c r="E31" s="60"/>
      <c r="F31" s="60"/>
      <c r="G31" s="60"/>
    </row>
    <row r="32" spans="1:7">
      <c r="A32" s="60"/>
      <c r="B32" s="79" t="s">
        <v>189</v>
      </c>
      <c r="C32" s="89">
        <f>$C$28+$C$29</f>
        <v>157686.54135237532</v>
      </c>
      <c r="D32" s="60"/>
      <c r="E32" s="60"/>
      <c r="F32" s="60"/>
      <c r="G32" s="60"/>
    </row>
    <row r="33" spans="1:7">
      <c r="A33" s="60"/>
      <c r="B33" s="60"/>
      <c r="C33" s="70"/>
      <c r="D33" s="60"/>
      <c r="E33" s="60"/>
      <c r="F33" s="60"/>
      <c r="G33" s="60"/>
    </row>
    <row r="34" spans="1:7">
      <c r="A34" s="60"/>
      <c r="B34" s="88" t="s">
        <v>190</v>
      </c>
      <c r="C34" s="70"/>
      <c r="D34" s="60"/>
      <c r="E34" s="60"/>
      <c r="F34" s="60"/>
      <c r="G34" s="60"/>
    </row>
    <row r="35" spans="1:7">
      <c r="A35" s="60"/>
      <c r="B35" s="79" t="s">
        <v>191</v>
      </c>
      <c r="C35" s="91">
        <f>'[1]Benefit Calculations'!K35</f>
        <v>0.12857436324939236</v>
      </c>
      <c r="D35" s="60"/>
      <c r="E35" s="60"/>
      <c r="F35" s="60"/>
      <c r="G35" s="60"/>
    </row>
    <row r="36" spans="1:7">
      <c r="A36" s="60"/>
      <c r="B36" s="79" t="s">
        <v>192</v>
      </c>
      <c r="C36" s="91">
        <f>'[1]Benefit Calculations'!O35</f>
        <v>0.46539341039911619</v>
      </c>
      <c r="D36" s="60"/>
      <c r="E36" s="60"/>
      <c r="F36" s="60"/>
      <c r="G36" s="60"/>
    </row>
    <row r="37" spans="1:7">
      <c r="A37" s="60"/>
      <c r="B37" s="60"/>
      <c r="C37" s="70"/>
      <c r="D37" s="60"/>
      <c r="E37" s="60"/>
      <c r="F37" s="60"/>
      <c r="G37" s="60"/>
    </row>
    <row r="38" spans="1:7">
      <c r="A38" s="60"/>
      <c r="B38" s="60"/>
      <c r="C38" s="70"/>
      <c r="D38" s="60"/>
      <c r="E38" s="60"/>
      <c r="F38" s="60"/>
      <c r="G38" s="60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A5F88014-8BC8-4379-B0F9-B3EA50E03FA2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47"/>
  <sheetViews>
    <sheetView topLeftCell="A18" workbookViewId="0">
      <selection activeCell="G46" sqref="G46"/>
    </sheetView>
  </sheetViews>
  <sheetFormatPr defaultRowHeight="15"/>
  <cols>
    <col min="1" max="1" width="33.7109375" bestFit="1" customWidth="1"/>
    <col min="2" max="2" width="12.42578125" bestFit="1" customWidth="1"/>
    <col min="5" max="5" width="2.140625" bestFit="1" customWidth="1"/>
    <col min="6" max="6" width="33.42578125" customWidth="1"/>
    <col min="7" max="7" width="22.7109375" bestFit="1" customWidth="1"/>
    <col min="8" max="8" width="22.140625" bestFit="1" customWidth="1"/>
  </cols>
  <sheetData>
    <row r="1" spans="1:8" ht="15.75" thickBot="1">
      <c r="A1" s="40"/>
      <c r="B1" s="41"/>
      <c r="E1" s="124" t="s">
        <v>215</v>
      </c>
      <c r="F1" s="124"/>
      <c r="G1" s="124"/>
      <c r="H1" s="124"/>
    </row>
    <row r="2" spans="1:8">
      <c r="A2" s="43"/>
      <c r="B2" s="43"/>
      <c r="E2" s="12" t="s">
        <v>61</v>
      </c>
      <c r="F2" s="112" t="s">
        <v>216</v>
      </c>
      <c r="G2" s="112" t="s">
        <v>217</v>
      </c>
      <c r="H2" s="112" t="s">
        <v>218</v>
      </c>
    </row>
    <row r="3" spans="1:8" ht="60">
      <c r="E3" s="114">
        <v>1</v>
      </c>
      <c r="F3" s="113" t="s">
        <v>219</v>
      </c>
      <c r="G3" s="113"/>
      <c r="H3" s="113" t="s">
        <v>220</v>
      </c>
    </row>
    <row r="4" spans="1:8" ht="15.75" thickBot="1"/>
    <row r="5" spans="1:8" ht="15.75" thickBot="1">
      <c r="A5" s="40" t="s">
        <v>60</v>
      </c>
      <c r="B5" s="41" t="s">
        <v>32</v>
      </c>
    </row>
    <row r="6" spans="1:8">
      <c r="A6" s="133" t="s">
        <v>33</v>
      </c>
      <c r="B6" s="133"/>
    </row>
    <row r="7" spans="1:8">
      <c r="A7" s="43" t="s">
        <v>34</v>
      </c>
      <c r="B7" s="43" t="s">
        <v>21</v>
      </c>
    </row>
    <row r="8" spans="1:8">
      <c r="A8" s="2" t="s">
        <v>35</v>
      </c>
      <c r="B8" s="136">
        <f>2256+506</f>
        <v>2762</v>
      </c>
    </row>
    <row r="9" spans="1:8">
      <c r="A9" s="2" t="s">
        <v>36</v>
      </c>
      <c r="B9" s="136">
        <f>3686+4569</f>
        <v>8255</v>
      </c>
    </row>
    <row r="10" spans="1:8">
      <c r="A10" s="2" t="s">
        <v>37</v>
      </c>
      <c r="B10" s="118">
        <v>430</v>
      </c>
    </row>
    <row r="11" spans="1:8">
      <c r="A11" s="2" t="s">
        <v>38</v>
      </c>
      <c r="B11" s="118">
        <v>489</v>
      </c>
    </row>
    <row r="12" spans="1:8">
      <c r="A12" s="2" t="s">
        <v>39</v>
      </c>
      <c r="B12" s="118">
        <v>469</v>
      </c>
    </row>
    <row r="13" spans="1:8">
      <c r="A13" s="2" t="s">
        <v>40</v>
      </c>
      <c r="B13" s="118">
        <v>706</v>
      </c>
    </row>
    <row r="14" spans="1:8">
      <c r="A14" s="2" t="s">
        <v>41</v>
      </c>
      <c r="B14" s="118">
        <v>15473</v>
      </c>
    </row>
    <row r="15" spans="1:8">
      <c r="A15" s="2" t="s">
        <v>42</v>
      </c>
      <c r="B15" s="17">
        <f>B8/B14</f>
        <v>0.17850449169521102</v>
      </c>
    </row>
    <row r="16" spans="1:8">
      <c r="A16" s="2" t="s">
        <v>43</v>
      </c>
      <c r="B16" s="17">
        <f>B9/B14</f>
        <v>0.53350998513539716</v>
      </c>
    </row>
    <row r="17" spans="1:4" ht="15.75" thickBot="1"/>
    <row r="18" spans="1:4" ht="15.75" thickBot="1">
      <c r="A18" s="40" t="s">
        <v>207</v>
      </c>
      <c r="B18" s="134" t="s">
        <v>54</v>
      </c>
      <c r="C18" s="135"/>
    </row>
    <row r="19" spans="1:4">
      <c r="A19" s="129" t="s">
        <v>44</v>
      </c>
      <c r="B19" s="129"/>
    </row>
    <row r="20" spans="1:4">
      <c r="A20" s="43" t="s">
        <v>34</v>
      </c>
      <c r="B20" s="43" t="s">
        <v>21</v>
      </c>
      <c r="C20" s="42" t="s">
        <v>53</v>
      </c>
    </row>
    <row r="21" spans="1:4">
      <c r="A21" s="2" t="s">
        <v>45</v>
      </c>
      <c r="B21" s="2">
        <v>97500</v>
      </c>
      <c r="C21" s="2"/>
    </row>
    <row r="22" spans="1:4">
      <c r="A22" s="2" t="s">
        <v>46</v>
      </c>
      <c r="B22" s="2">
        <v>11.1</v>
      </c>
      <c r="C22" s="2"/>
    </row>
    <row r="23" spans="1:4">
      <c r="A23" s="2" t="s">
        <v>48</v>
      </c>
      <c r="B23" s="2">
        <v>95599</v>
      </c>
      <c r="C23" s="2"/>
    </row>
    <row r="24" spans="1:4">
      <c r="A24" s="2" t="s">
        <v>47</v>
      </c>
      <c r="B24" s="2">
        <v>110840</v>
      </c>
      <c r="C24" s="4">
        <f>(B24-B23)/B23</f>
        <v>0.15942635383215306</v>
      </c>
    </row>
    <row r="25" spans="1:4">
      <c r="A25" s="2" t="s">
        <v>49</v>
      </c>
      <c r="B25" s="2">
        <v>18455</v>
      </c>
      <c r="C25" s="2"/>
    </row>
    <row r="26" spans="1:4">
      <c r="A26" s="2" t="s">
        <v>50</v>
      </c>
      <c r="B26" s="2">
        <v>20739</v>
      </c>
      <c r="C26" s="4">
        <f>(B26-B25)/B25</f>
        <v>0.12376049850988892</v>
      </c>
    </row>
    <row r="27" spans="1:4">
      <c r="A27" s="2" t="s">
        <v>51</v>
      </c>
      <c r="B27" s="2">
        <v>31421</v>
      </c>
      <c r="C27" s="2"/>
    </row>
    <row r="28" spans="1:4">
      <c r="A28" s="2" t="s">
        <v>52</v>
      </c>
      <c r="B28" s="2">
        <v>38944</v>
      </c>
      <c r="C28" s="4">
        <f>(B28-B27)/B27</f>
        <v>0.23942586168486044</v>
      </c>
    </row>
    <row r="30" spans="1:4">
      <c r="A30" s="124" t="s">
        <v>208</v>
      </c>
      <c r="B30" s="124"/>
      <c r="C30" s="124"/>
      <c r="D30" s="124"/>
    </row>
    <row r="31" spans="1:4">
      <c r="A31" s="2" t="s">
        <v>34</v>
      </c>
      <c r="B31" s="2" t="s">
        <v>209</v>
      </c>
      <c r="C31" s="2">
        <v>2045</v>
      </c>
      <c r="D31" s="2" t="s">
        <v>54</v>
      </c>
    </row>
    <row r="32" spans="1:4">
      <c r="A32" s="2" t="s">
        <v>210</v>
      </c>
      <c r="B32" s="2">
        <v>3774.88</v>
      </c>
      <c r="C32" s="2">
        <v>3856.15</v>
      </c>
      <c r="D32" s="111">
        <f>(C32-B32)/B32</f>
        <v>2.1529161191878941E-2</v>
      </c>
    </row>
    <row r="33" spans="1:4">
      <c r="A33" s="2" t="s">
        <v>211</v>
      </c>
      <c r="B33" s="2">
        <v>552.47</v>
      </c>
      <c r="C33" s="2">
        <v>559.13</v>
      </c>
      <c r="D33" s="111">
        <f t="shared" ref="D33:D35" si="0">(C33-B33)/B33</f>
        <v>1.2054953210128998E-2</v>
      </c>
    </row>
    <row r="34" spans="1:4">
      <c r="A34" s="2" t="s">
        <v>212</v>
      </c>
      <c r="B34" s="2">
        <v>18.45</v>
      </c>
      <c r="C34" s="2">
        <v>18.45</v>
      </c>
      <c r="D34" s="111">
        <f t="shared" si="0"/>
        <v>0</v>
      </c>
    </row>
    <row r="35" spans="1:4">
      <c r="A35" s="2" t="s">
        <v>213</v>
      </c>
      <c r="B35" s="2">
        <v>738.55</v>
      </c>
      <c r="C35" s="2">
        <v>750.11</v>
      </c>
      <c r="D35" s="111">
        <f t="shared" si="0"/>
        <v>1.5652291652562534E-2</v>
      </c>
    </row>
    <row r="42" spans="1:4" ht="30">
      <c r="A42" s="112" t="s">
        <v>55</v>
      </c>
      <c r="B42" s="48" t="s">
        <v>45</v>
      </c>
    </row>
    <row r="43" spans="1:4">
      <c r="A43" s="2" t="s">
        <v>56</v>
      </c>
      <c r="B43" s="2">
        <v>21926</v>
      </c>
    </row>
    <row r="44" spans="1:4">
      <c r="A44" s="2" t="s">
        <v>57</v>
      </c>
      <c r="B44" s="2">
        <v>17259</v>
      </c>
    </row>
    <row r="45" spans="1:4">
      <c r="A45" s="2" t="s">
        <v>58</v>
      </c>
      <c r="B45" s="2">
        <v>221450</v>
      </c>
    </row>
    <row r="46" spans="1:4">
      <c r="A46" s="2" t="s">
        <v>59</v>
      </c>
      <c r="B46" s="2">
        <v>195258</v>
      </c>
    </row>
    <row r="47" spans="1:4">
      <c r="A47" s="137" t="s">
        <v>86</v>
      </c>
      <c r="B47" s="2">
        <f>SUM(B43:B46)</f>
        <v>455893</v>
      </c>
    </row>
  </sheetData>
  <mergeCells count="5">
    <mergeCell ref="A6:B6"/>
    <mergeCell ref="A19:B19"/>
    <mergeCell ref="B18:C18"/>
    <mergeCell ref="A30:D30"/>
    <mergeCell ref="E1:H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9"/>
  <sheetViews>
    <sheetView workbookViewId="0">
      <selection activeCell="D8" sqref="D8"/>
    </sheetView>
  </sheetViews>
  <sheetFormatPr defaultRowHeight="1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>
      <c r="A1" t="s">
        <v>61</v>
      </c>
      <c r="B1" s="50" t="s">
        <v>62</v>
      </c>
      <c r="C1" s="50" t="s">
        <v>63</v>
      </c>
      <c r="D1" s="50" t="s">
        <v>64</v>
      </c>
      <c r="E1" s="50" t="s">
        <v>65</v>
      </c>
      <c r="F1" s="51" t="s">
        <v>66</v>
      </c>
      <c r="G1" s="52" t="s">
        <v>67</v>
      </c>
    </row>
    <row r="2" spans="1:7" ht="30">
      <c r="A2">
        <v>1</v>
      </c>
      <c r="B2" s="53" t="s">
        <v>68</v>
      </c>
      <c r="C2" s="54">
        <v>401</v>
      </c>
      <c r="D2" s="55">
        <v>0.2</v>
      </c>
      <c r="E2" s="54">
        <v>2</v>
      </c>
      <c r="F2" s="56" t="s">
        <v>69</v>
      </c>
      <c r="G2" s="57" t="s">
        <v>70</v>
      </c>
    </row>
    <row r="3" spans="1:7">
      <c r="A3">
        <v>2</v>
      </c>
      <c r="B3" s="53" t="s">
        <v>71</v>
      </c>
      <c r="C3" s="54">
        <v>407</v>
      </c>
      <c r="D3" s="58">
        <v>0.65</v>
      </c>
      <c r="E3" s="54">
        <v>10</v>
      </c>
      <c r="F3" s="59" t="s">
        <v>72</v>
      </c>
      <c r="G3" s="57" t="s">
        <v>72</v>
      </c>
    </row>
    <row r="4" spans="1:7">
      <c r="A4">
        <v>3</v>
      </c>
      <c r="B4" s="53" t="s">
        <v>73</v>
      </c>
      <c r="C4" s="54">
        <v>517</v>
      </c>
      <c r="D4" s="58">
        <v>0.28000000000000003</v>
      </c>
      <c r="E4" s="54">
        <v>20</v>
      </c>
      <c r="F4" s="56" t="s">
        <v>69</v>
      </c>
      <c r="G4" s="57" t="s">
        <v>74</v>
      </c>
    </row>
    <row r="5" spans="1:7" ht="30">
      <c r="A5">
        <v>4</v>
      </c>
      <c r="B5" s="53" t="s">
        <v>75</v>
      </c>
      <c r="C5" s="54">
        <v>521</v>
      </c>
      <c r="D5" s="55">
        <v>0.25</v>
      </c>
      <c r="E5" s="54">
        <v>10</v>
      </c>
      <c r="F5" s="59" t="s">
        <v>76</v>
      </c>
      <c r="G5" s="57" t="s">
        <v>77</v>
      </c>
    </row>
    <row r="8" spans="1:7">
      <c r="B8" s="60" t="s">
        <v>78</v>
      </c>
      <c r="D8" s="61">
        <f>1-((1-D2)*(1-D3)*(1-D4)*(1-D5))</f>
        <v>0.8488</v>
      </c>
    </row>
    <row r="9" spans="1:7">
      <c r="D9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2024-02-12T19:36:15Z</dcterms:modified>
</cp:coreProperties>
</file>