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etorgft4168179-my.sharepoint.com/personal/ashish_loney_aigtechnical_com/Documents/AIG2/Projects2/2319_HGAC_CFP_FBC/04_Technical/41_Data Collection/Project related data/18_E Dallas St/"/>
    </mc:Choice>
  </mc:AlternateContent>
  <xr:revisionPtr revIDLastSave="1455" documentId="11_F25DC773A252ABDACC10480171DC540E5BDE58ED" xr6:coauthVersionLast="47" xr6:coauthVersionMax="47" xr10:uidLastSave="{A0321190-1D9C-49F8-992F-FFF41B5EA19E}"/>
  <bookViews>
    <workbookView xWindow="-120" yWindow="-120" windowWidth="29040" windowHeight="15720" activeTab="1" xr2:uid="{00000000-000D-0000-FFFF-FFFF00000000}"/>
  </bookViews>
  <sheets>
    <sheet name="TDM" sheetId="2" r:id="rId1"/>
    <sheet name="Traffic" sheetId="1" r:id="rId2"/>
    <sheet name="Emissions" sheetId="6" r:id="rId3"/>
    <sheet name="Demographics" sheetId="4" r:id="rId4"/>
    <sheet name="CRF" sheetId="5" r:id="rId5"/>
  </sheets>
  <externalReferences>
    <externalReference r:id="rId6"/>
    <externalReference r:id="rId7"/>
  </externalReferences>
  <definedNames>
    <definedName name="_2022_2045_Demand_Growth">#REF!</definedName>
    <definedName name="_2022_2045_V_C_Growth">#REF!</definedName>
    <definedName name="_2022_Volume_ADT">#REF!</definedName>
    <definedName name="_2030_2030_Demand_Growth">#REF!</definedName>
    <definedName name="_2030_2045_Demand_Growth">#REF!</definedName>
    <definedName name="_2030_2045_V_C_Growth">#REF!</definedName>
    <definedName name="_2030_V_C_Ratio">#REF!</definedName>
    <definedName name="_2045_V_C_Ratio">#REF!</definedName>
    <definedName name="_Avg_Crash_Rate_per_100m_VMT">#REF!</definedName>
    <definedName name="Application_ID_Number">#REF!</definedName>
    <definedName name="Base_Year">#REF!</definedName>
    <definedName name="CRIS_Titles">#REF!</definedName>
    <definedName name="Freeway">[1]VMT!$B$45:$D$52</definedName>
    <definedName name="Other">[1]VMT!$B$56:$D$63</definedName>
    <definedName name="Project_Title">#REF!</definedName>
    <definedName name="Real_Discount_Rate">#REF!</definedName>
    <definedName name="Sponsor_ID_Number__CSJ__etc.">#REF!</definedName>
    <definedName name="Value_of_Statistical_Life_2018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6" l="1"/>
  <c r="P5" i="6"/>
  <c r="O5" i="6"/>
  <c r="C36" i="6"/>
  <c r="C35" i="6"/>
  <c r="C29" i="6"/>
  <c r="C28" i="6"/>
  <c r="C32" i="6" s="1"/>
  <c r="C18" i="6"/>
  <c r="B17" i="2"/>
  <c r="M3" i="1" l="1"/>
  <c r="I8" i="1"/>
  <c r="E9" i="1"/>
  <c r="AP18" i="2"/>
  <c r="AP17" i="2"/>
  <c r="AP15" i="2" s="1"/>
  <c r="F8" i="1" s="1"/>
  <c r="AI18" i="2"/>
  <c r="AI17" i="2"/>
  <c r="AI15" i="2" s="1"/>
  <c r="E8" i="1" s="1"/>
  <c r="AG18" i="2"/>
  <c r="AG17" i="2"/>
  <c r="AG15" i="2" s="1"/>
  <c r="AA18" i="2"/>
  <c r="AA17" i="2"/>
  <c r="AA15" i="2" s="1"/>
  <c r="U18" i="2"/>
  <c r="U17" i="2"/>
  <c r="U15" i="2" s="1"/>
  <c r="S18" i="2"/>
  <c r="S17" i="2"/>
  <c r="S15" i="2" s="1"/>
  <c r="N18" i="2"/>
  <c r="N17" i="2"/>
  <c r="D17" i="1"/>
  <c r="J15" i="2"/>
  <c r="D14" i="1" l="1"/>
  <c r="N15" i="2"/>
  <c r="B7" i="2" l="1"/>
  <c r="M9" i="2"/>
  <c r="M8" i="2"/>
  <c r="M6" i="2" s="1"/>
  <c r="AF9" i="2"/>
  <c r="AF8" i="2"/>
  <c r="AF6" i="2" s="1"/>
  <c r="Z9" i="2"/>
  <c r="Z8" i="2"/>
  <c r="Z6" i="2" s="1"/>
  <c r="T6" i="2"/>
  <c r="T9" i="2"/>
  <c r="T8" i="2"/>
  <c r="D13" i="5" l="1"/>
  <c r="B8" i="4"/>
  <c r="B9" i="4"/>
  <c r="I35" i="4"/>
  <c r="I34" i="4"/>
  <c r="I33" i="4"/>
  <c r="I32" i="4"/>
  <c r="H28" i="4"/>
  <c r="H26" i="4"/>
  <c r="H24" i="4"/>
  <c r="AQ6" i="2" l="1"/>
  <c r="M2" i="1" s="1"/>
  <c r="AQ9" i="2"/>
  <c r="AQ8" i="2"/>
  <c r="R6" i="2"/>
  <c r="R9" i="2"/>
  <c r="R8" i="2"/>
  <c r="I6" i="2"/>
  <c r="E4" i="1"/>
  <c r="E3" i="1"/>
  <c r="R4" i="6"/>
  <c r="AI6" i="2"/>
  <c r="R5" i="6" l="1"/>
  <c r="D15" i="1"/>
  <c r="D33" i="4"/>
  <c r="D34" i="4"/>
  <c r="D35" i="4"/>
  <c r="D32" i="4"/>
  <c r="H8" i="1"/>
  <c r="M4" i="1"/>
  <c r="B16" i="1" l="1"/>
  <c r="B18" i="1"/>
  <c r="D18" i="1"/>
  <c r="D16" i="1"/>
  <c r="B19" i="1" l="1"/>
  <c r="D19" i="1"/>
  <c r="C24" i="4" l="1"/>
  <c r="C28" i="4"/>
  <c r="C26" i="4"/>
  <c r="B15" i="4"/>
  <c r="B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Manthan Gajera</author>
  </authors>
  <commentList>
    <comment ref="Y3" authorId="0" shapeId="0" xr:uid="{A11115DA-5467-4ABD-AD92-0BF83362F952}">
      <text>
        <r>
          <rPr>
            <b/>
            <sz val="9"/>
            <color indexed="81"/>
            <rFont val="Tahoma"/>
            <family val="2"/>
          </rPr>
          <t>Manthan Gajera:</t>
        </r>
        <r>
          <rPr>
            <sz val="9"/>
            <color indexed="81"/>
            <rFont val="Tahoma"/>
            <family val="2"/>
          </rPr>
          <t xml:space="preserve">
From Spped-Flow curve</t>
        </r>
      </text>
    </comment>
  </commentList>
</comments>
</file>

<file path=xl/sharedStrings.xml><?xml version="1.0" encoding="utf-8"?>
<sst xmlns="http://schemas.openxmlformats.org/spreadsheetml/2006/main" count="291" uniqueCount="196">
  <si>
    <t>Volume Growth</t>
  </si>
  <si>
    <t>Total Volume</t>
  </si>
  <si>
    <t>HGAC TDM 2023</t>
  </si>
  <si>
    <t>HGAC TDM 2045</t>
  </si>
  <si>
    <t>% growth</t>
  </si>
  <si>
    <t>FACILITY_N</t>
  </si>
  <si>
    <t>ABNODE</t>
  </si>
  <si>
    <t>A</t>
  </si>
  <si>
    <t>B</t>
  </si>
  <si>
    <t>LANES</t>
  </si>
  <si>
    <t>DISTANCE</t>
  </si>
  <si>
    <t>RTYPE</t>
  </si>
  <si>
    <t>AREA_TYP</t>
  </si>
  <si>
    <t>C</t>
  </si>
  <si>
    <t>OV11HRSPD</t>
  </si>
  <si>
    <t>OV11HRTIME</t>
  </si>
  <si>
    <t>FFSPD</t>
  </si>
  <si>
    <t>PMVOL</t>
  </si>
  <si>
    <t>PMTIME</t>
  </si>
  <si>
    <t>PM_VC</t>
  </si>
  <si>
    <t>PMVOL_T</t>
  </si>
  <si>
    <t>PM4HRSPD</t>
  </si>
  <si>
    <t>PM4HRTIME</t>
  </si>
  <si>
    <t>MDVOL</t>
  </si>
  <si>
    <t>MDTIME</t>
  </si>
  <si>
    <t>MD_VC</t>
  </si>
  <si>
    <t>MDVOL_T</t>
  </si>
  <si>
    <t>MD6HRSPD</t>
  </si>
  <si>
    <t>MD6HRTIME</t>
  </si>
  <si>
    <t>AMVOL</t>
  </si>
  <si>
    <t>AMTIME</t>
  </si>
  <si>
    <t>AM_VC</t>
  </si>
  <si>
    <t>AMVOL_T</t>
  </si>
  <si>
    <t>AM3HRSPD</t>
  </si>
  <si>
    <t>AM3HRTIME</t>
  </si>
  <si>
    <t>TOTVOL</t>
  </si>
  <si>
    <t>VMT</t>
  </si>
  <si>
    <t>AM3HRVHT</t>
  </si>
  <si>
    <t>MD6HRVHT</t>
  </si>
  <si>
    <t>PM4HRVHT</t>
  </si>
  <si>
    <t>OV11HRVHT</t>
  </si>
  <si>
    <t>HR24VHT</t>
  </si>
  <si>
    <t>TOTVOL_T</t>
  </si>
  <si>
    <t>Polyline</t>
  </si>
  <si>
    <r>
      <t xml:space="preserve">TT </t>
    </r>
    <r>
      <rPr>
        <vertAlign val="subscript"/>
        <sz val="11"/>
        <color theme="1"/>
        <rFont val="Calibri"/>
        <family val="2"/>
        <scheme val="minor"/>
      </rPr>
      <t>peak</t>
    </r>
  </si>
  <si>
    <r>
      <t>TT</t>
    </r>
    <r>
      <rPr>
        <vertAlign val="subscript"/>
        <sz val="11"/>
        <color theme="1"/>
        <rFont val="Calibri"/>
        <family val="2"/>
        <scheme val="minor"/>
      </rPr>
      <t>free flow</t>
    </r>
  </si>
  <si>
    <t>TTI</t>
  </si>
  <si>
    <t>Distance (miles)</t>
  </si>
  <si>
    <r>
      <t>SPD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 xml:space="preserve"> (MPH)</t>
    </r>
  </si>
  <si>
    <r>
      <t>SPD</t>
    </r>
    <r>
      <rPr>
        <vertAlign val="subscript"/>
        <sz val="11"/>
        <color theme="1"/>
        <rFont val="Calibri"/>
        <family val="2"/>
        <scheme val="minor"/>
      </rPr>
      <t xml:space="preserve">FF </t>
    </r>
    <r>
      <rPr>
        <sz val="11"/>
        <color theme="1"/>
        <rFont val="Calibri"/>
        <family val="2"/>
        <scheme val="minor"/>
      </rPr>
      <t>(MPH)</t>
    </r>
  </si>
  <si>
    <t>Value</t>
  </si>
  <si>
    <t>Data:</t>
  </si>
  <si>
    <t>Population</t>
  </si>
  <si>
    <t>Area</t>
  </si>
  <si>
    <t>block groups within 5 miles radius</t>
  </si>
  <si>
    <t>EJ population</t>
  </si>
  <si>
    <t>Demographic Data Explorer</t>
  </si>
  <si>
    <t>Attributes</t>
  </si>
  <si>
    <t>Low-income Population</t>
  </si>
  <si>
    <t>Minority Population</t>
  </si>
  <si>
    <t>Household Population Under Poverty</t>
  </si>
  <si>
    <t>Disabled Persons</t>
  </si>
  <si>
    <t>Elderly Persons</t>
  </si>
  <si>
    <t>Limited English Proficiency</t>
  </si>
  <si>
    <t>Total population</t>
  </si>
  <si>
    <t>% low-income population</t>
  </si>
  <si>
    <t>% minority population</t>
  </si>
  <si>
    <t>Activity Connectivity Explorer</t>
  </si>
  <si>
    <t>Population (2021)</t>
  </si>
  <si>
    <t>Liveable center need index</t>
  </si>
  <si>
    <t>Forecast: population 2045</t>
  </si>
  <si>
    <t>Forecast: population 2018</t>
  </si>
  <si>
    <t>Forecast: Jobs 2018</t>
  </si>
  <si>
    <t>Forecast: Jobs 2045</t>
  </si>
  <si>
    <t>Forecast: Households 2018</t>
  </si>
  <si>
    <t>Forecast: Households 2045</t>
  </si>
  <si>
    <t>% change</t>
  </si>
  <si>
    <t>Growth</t>
  </si>
  <si>
    <t>Data: 1/4th mile buffer</t>
  </si>
  <si>
    <t>#</t>
  </si>
  <si>
    <t>Work Type (TxDOT HSIP)</t>
  </si>
  <si>
    <t>Work Code</t>
  </si>
  <si>
    <t>Crash Reduction Factor</t>
  </si>
  <si>
    <t>Service life</t>
  </si>
  <si>
    <t>Preventable Crash types</t>
  </si>
  <si>
    <t>Preventable Crash types (HSIP guidelines)</t>
  </si>
  <si>
    <t>Consolidated CRF</t>
  </si>
  <si>
    <t>Limits</t>
  </si>
  <si>
    <t>Road</t>
  </si>
  <si>
    <t>Direction</t>
  </si>
  <si>
    <t>Volume (2023)</t>
  </si>
  <si>
    <t>Volume (2045)</t>
  </si>
  <si>
    <t>2-way Volume</t>
  </si>
  <si>
    <t>LOS</t>
  </si>
  <si>
    <t>Type</t>
  </si>
  <si>
    <t>Area (Current)</t>
  </si>
  <si>
    <t>Area (2045)</t>
  </si>
  <si>
    <t>Residential</t>
  </si>
  <si>
    <t>Commercial</t>
  </si>
  <si>
    <t>Multiple</t>
  </si>
  <si>
    <t>Industry</t>
  </si>
  <si>
    <t>Data: 3 miles buffer</t>
  </si>
  <si>
    <t>Travel Time Index (TTI)</t>
  </si>
  <si>
    <t>2045 Build</t>
  </si>
  <si>
    <t>2045 No Build</t>
  </si>
  <si>
    <t xml:space="preserve">FM 762 overpass  LOS (TDM Volumes) </t>
  </si>
  <si>
    <t>FM 762 (10th St)</t>
  </si>
  <si>
    <t>Morton St to Preston St</t>
  </si>
  <si>
    <t>V/C Ratio</t>
  </si>
  <si>
    <t>Base capacity</t>
  </si>
  <si>
    <t>Volume*K-factor/# of lane</t>
  </si>
  <si>
    <t>Assumed K factor</t>
  </si>
  <si>
    <t>Assumed D factor</t>
  </si>
  <si>
    <t>TDM PM Peak 
V/C Ratio</t>
  </si>
  <si>
    <t>INPUTS</t>
  </si>
  <si>
    <t>Project Information</t>
  </si>
  <si>
    <t>Project Title:</t>
  </si>
  <si>
    <t>Data entered by the sponsors</t>
  </si>
  <si>
    <t>Application ID Number:</t>
  </si>
  <si>
    <t>Data populated/calculated based on inputs</t>
  </si>
  <si>
    <t>MPOID/CSJ #</t>
  </si>
  <si>
    <t>Benefits calculated by the template</t>
  </si>
  <si>
    <t>Project County</t>
  </si>
  <si>
    <t>Fort Bend</t>
  </si>
  <si>
    <t>Proposed Improvements Information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</si>
  <si>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&gt;=2025)</t>
    </r>
  </si>
  <si>
    <t>Type of Improvement</t>
  </si>
  <si>
    <t>Roadway improvements (Added Capacity, Grade Separations)  including HOV</t>
  </si>
  <si>
    <t>Type of Facility</t>
  </si>
  <si>
    <t>Non-Freeway</t>
  </si>
  <si>
    <t>Total Length of Corridors Affected by Project (miles)</t>
  </si>
  <si>
    <t>Average Roadway Speed Before Improvement (mph)</t>
  </si>
  <si>
    <t>Average Roadway Speed After Improvement (mph)</t>
  </si>
  <si>
    <t>Service Life of Project (from MoSERS)</t>
  </si>
  <si>
    <t>Daily Travel Demand</t>
  </si>
  <si>
    <t>2021 Average Daily Traffic Volume of Corridors Affected by project</t>
  </si>
  <si>
    <t>OUTPUTS</t>
  </si>
  <si>
    <t>Benefit Results</t>
  </si>
  <si>
    <t>Discounted NOx Benefits @ 7% (2021 $)</t>
  </si>
  <si>
    <t>Discounted VOC Benefits @ 7% (2021 $)</t>
  </si>
  <si>
    <t>Total Emissions Benefit Results</t>
  </si>
  <si>
    <t>Discounted Emissions Benefits @ 7% (2021 $)</t>
  </si>
  <si>
    <t>Total Emissions Reductions</t>
  </si>
  <si>
    <t>NOx Emission Reductions (tons)</t>
  </si>
  <si>
    <t>VOC Emission Reductions (tons)</t>
  </si>
  <si>
    <t>Speed</t>
  </si>
  <si>
    <t>PM 4 Hr</t>
  </si>
  <si>
    <t>MD 6 Hr</t>
  </si>
  <si>
    <t>AM 3 Hr</t>
  </si>
  <si>
    <t>Avg. Spd</t>
  </si>
  <si>
    <t>Avg. Speed before improvements (2045 NB)</t>
  </si>
  <si>
    <t>Avg. Speed after improvements (2045 B)</t>
  </si>
  <si>
    <t>Land Us: 3 miles buffer</t>
  </si>
  <si>
    <t>Assumed K factor= 0.12, D factor= 0.5, HCM 7 Exhibit 12-42</t>
  </si>
  <si>
    <t>Widening</t>
  </si>
  <si>
    <t>EB</t>
  </si>
  <si>
    <t>WB</t>
  </si>
  <si>
    <t>Year</t>
  </si>
  <si>
    <t>AADT</t>
  </si>
  <si>
    <t>OBJECTID *</t>
  </si>
  <si>
    <t>Shape *</t>
  </si>
  <si>
    <t>FUNCL</t>
  </si>
  <si>
    <t>TRUCK_VMT</t>
  </si>
  <si>
    <t>TRUCKHRVHT</t>
  </si>
  <si>
    <t>TRUCKVHT</t>
  </si>
  <si>
    <t>Shape_Length</t>
  </si>
  <si>
    <t>DALLAS RD/CR 59</t>
  </si>
  <si>
    <t>25556-26541</t>
  </si>
  <si>
    <t>DALLAS/CR59/SOUTHFORK</t>
  </si>
  <si>
    <t>25556-25557</t>
  </si>
  <si>
    <t>E Dallas St</t>
  </si>
  <si>
    <t>Data: 2 miles buffer</t>
  </si>
  <si>
    <t>Land Us: 2 miles buffer</t>
  </si>
  <si>
    <t>Install Warning/Guide Signs</t>
  </si>
  <si>
    <t>Non-Intersection related (Roadway Related)</t>
  </si>
  <si>
    <t>Vehicle Movements/Manner of Collision, Roadway
Related</t>
  </si>
  <si>
    <t>Install Advance Warning Signals and Signs</t>
  </si>
  <si>
    <t>Pedestrian, Cyclist</t>
  </si>
  <si>
    <t>Install Raised Median</t>
  </si>
  <si>
    <t>Part of Roadway No. 1 Involved, (Vehicle Movements/Manner
of Collision</t>
  </si>
  <si>
    <t>Install Pavement Markings</t>
  </si>
  <si>
    <t>Roadway Related, Vehicle Movements/Manner of Collision</t>
  </si>
  <si>
    <t>Install Edge Marking</t>
  </si>
  <si>
    <t>Roadway Related/Off road</t>
  </si>
  <si>
    <t>Install Pedestrian Crosswalk</t>
  </si>
  <si>
    <t>Install Sidewalks</t>
  </si>
  <si>
    <t>Add Left Turn Lane</t>
  </si>
  <si>
    <t>Intersection Related</t>
  </si>
  <si>
    <t>Vehicle Movements/Manner of Collision, Intersection Related</t>
  </si>
  <si>
    <t>Convert 2-Lane Facility to 4-Lane Divided</t>
  </si>
  <si>
    <t>Avg. Speed</t>
  </si>
  <si>
    <t>PROJ_ID</t>
  </si>
  <si>
    <t>PROJ_IDA</t>
  </si>
  <si>
    <t>2045 B</t>
  </si>
  <si>
    <t>LOS B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</si>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</sst>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#,##0.0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/>
    <xf numFmtId="0" fontId="2" fillId="0" borderId="0" xfId="0" applyFont="1"/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0" fillId="8" borderId="1" xfId="0" applyFill="1" applyBorder="1"/>
    <xf numFmtId="0" fontId="0" fillId="0" borderId="2" xfId="0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0" fontId="0" fillId="0" borderId="12" xfId="0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0" fontId="0" fillId="0" borderId="0" xfId="1" applyNumberFormat="1" applyFont="1" applyBorder="1"/>
    <xf numFmtId="0" fontId="2" fillId="0" borderId="0" xfId="0" applyFont="1" applyAlignment="1">
      <alignment horizontal="center" vertical="center" wrapText="1"/>
    </xf>
    <xf numFmtId="1" fontId="0" fillId="0" borderId="12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7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/>
    <xf numFmtId="2" fontId="2" fillId="0" borderId="19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11" borderId="1" xfId="0" applyFill="1" applyBorder="1" applyAlignment="1" applyProtection="1">
      <alignment horizontal="left" vertical="center" wrapText="1"/>
      <protection locked="0"/>
    </xf>
    <xf numFmtId="0" fontId="0" fillId="11" borderId="1" xfId="0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11" borderId="1" xfId="0" applyFill="1" applyBorder="1" applyAlignment="1">
      <alignment horizontal="left" vertical="center"/>
    </xf>
    <xf numFmtId="3" fontId="0" fillId="11" borderId="1" xfId="0" applyNumberFormat="1" applyFill="1" applyBorder="1" applyAlignment="1" applyProtection="1">
      <alignment horizontal="left" vertical="center"/>
      <protection locked="0"/>
    </xf>
    <xf numFmtId="165" fontId="0" fillId="11" borderId="1" xfId="0" applyNumberFormat="1" applyFill="1" applyBorder="1" applyAlignment="1" applyProtection="1">
      <alignment horizontal="left" vertical="center"/>
      <protection locked="0"/>
    </xf>
    <xf numFmtId="0" fontId="0" fillId="11" borderId="1" xfId="0" applyFill="1" applyBorder="1" applyAlignment="1">
      <alignment horizontal="left" vertical="center" wrapText="1"/>
    </xf>
    <xf numFmtId="0" fontId="0" fillId="12" borderId="17" xfId="0" applyFill="1" applyBorder="1" applyAlignment="1">
      <alignment vertical="center"/>
    </xf>
    <xf numFmtId="0" fontId="0" fillId="12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9" fillId="13" borderId="1" xfId="0" applyFont="1" applyFill="1" applyBorder="1" applyAlignment="1">
      <alignment vertical="center"/>
    </xf>
    <xf numFmtId="166" fontId="0" fillId="6" borderId="1" xfId="0" applyNumberFormat="1" applyFill="1" applyBorder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43" fontId="0" fillId="6" borderId="1" xfId="2" applyFont="1" applyFill="1" applyBorder="1" applyAlignment="1" applyProtection="1">
      <alignment horizontal="left" vertical="center"/>
    </xf>
    <xf numFmtId="2" fontId="0" fillId="0" borderId="1" xfId="0" applyNumberFormat="1" applyBorder="1"/>
    <xf numFmtId="9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" fontId="0" fillId="0" borderId="1" xfId="0" applyNumberFormat="1" applyBorder="1" applyAlignment="1">
      <alignment horizontal="center"/>
    </xf>
    <xf numFmtId="0" fontId="8" fillId="0" borderId="0" xfId="0" applyFont="1" applyAlignment="1">
      <alignment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2" fontId="0" fillId="0" borderId="1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0" fontId="0" fillId="0" borderId="1" xfId="0" applyNumberForma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vertical="center"/>
    </xf>
    <xf numFmtId="9" fontId="2" fillId="0" borderId="0" xfId="0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17145</xdr:colOff>
      <xdr:row>6</xdr:row>
      <xdr:rowOff>9525</xdr:rowOff>
    </xdr:from>
    <xdr:to>
      <xdr:col>19</xdr:col>
      <xdr:colOff>874912</xdr:colOff>
      <xdr:row>29</xdr:row>
      <xdr:rowOff>57569</xdr:rowOff>
    </xdr:to>
    <xdr:pic>
      <xdr:nvPicPr>
        <xdr:cNvPr id="2" name="Picture 1" descr="A white sheet with black text&#10;&#10;Description automatically generated">
          <a:extLst>
            <a:ext uri="{FF2B5EF4-FFF2-40B4-BE49-F238E27FC236}">
              <a16:creationId xmlns:a16="http://schemas.microsoft.com/office/drawing/2014/main" id="{C7A22B70-1244-AB93-7C4C-C02FA41CD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0870" y="1104900"/>
          <a:ext cx="5972692" cy="4848644"/>
        </a:xfrm>
        <a:prstGeom prst="rect">
          <a:avLst/>
        </a:prstGeom>
      </xdr:spPr>
    </xdr:pic>
    <xdr:clientData/>
  </xdr:twoCellAnchor>
  <xdr:twoCellAnchor>
    <xdr:from>
      <xdr:col>12</xdr:col>
      <xdr:colOff>95250</xdr:colOff>
      <xdr:row>24</xdr:row>
      <xdr:rowOff>104775</xdr:rowOff>
    </xdr:from>
    <xdr:to>
      <xdr:col>18</xdr:col>
      <xdr:colOff>219075</xdr:colOff>
      <xdr:row>25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8D04CE0-B14B-933E-0B3F-AD6213E7D8EB}"/>
            </a:ext>
          </a:extLst>
        </xdr:cNvPr>
        <xdr:cNvSpPr/>
      </xdr:nvSpPr>
      <xdr:spPr>
        <a:xfrm>
          <a:off x="10848975" y="5105400"/>
          <a:ext cx="5010150" cy="1714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1028700</xdr:colOff>
      <xdr:row>20</xdr:row>
      <xdr:rowOff>57150</xdr:rowOff>
    </xdr:from>
    <xdr:to>
      <xdr:col>7</xdr:col>
      <xdr:colOff>372306</xdr:colOff>
      <xdr:row>58</xdr:row>
      <xdr:rowOff>77213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1FDA5F-0467-00E5-7C21-B0DB05A0C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8700" y="4629150"/>
          <a:ext cx="5953956" cy="7259063"/>
        </a:xfrm>
        <a:prstGeom prst="rect">
          <a:avLst/>
        </a:prstGeom>
      </xdr:spPr>
    </xdr:pic>
    <xdr:clientData/>
  </xdr:twoCellAnchor>
  <xdr:twoCellAnchor>
    <xdr:from>
      <xdr:col>0</xdr:col>
      <xdr:colOff>1076326</xdr:colOff>
      <xdr:row>44</xdr:row>
      <xdr:rowOff>19050</xdr:rowOff>
    </xdr:from>
    <xdr:to>
      <xdr:col>2</xdr:col>
      <xdr:colOff>666751</xdr:colOff>
      <xdr:row>44</xdr:row>
      <xdr:rowOff>180975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15EB628-94DA-C308-E1CD-8DEEDC9182AD}"/>
            </a:ext>
          </a:extLst>
        </xdr:cNvPr>
        <xdr:cNvSpPr/>
      </xdr:nvSpPr>
      <xdr:spPr>
        <a:xfrm>
          <a:off x="1076326" y="9163050"/>
          <a:ext cx="2400300" cy="1619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gala\AppData\Local\Microsoft\Windows\Temporary%20Internet%20Files\Content.Outlook\YYKLTGMD\Crash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etorgft4168179-my.sharepoint.com/personal/ashish_loney_aigtechnical_com/Documents/AIG2/Projects2/2319_HGAC_CFP_FBC/04_Technical/41_Data%20Collection/00_H-GAC%20Resources/benefit%20Cost%20Analysis/Roadway-Emissions-Benefits-Template-August-1-2023.xlsx" TargetMode="External"/><Relationship Id="rId2" Type="http://schemas.microsoft.com/office/2019/04/relationships/externalLinkLongPath" Target="/personal/ashish_loney_aigtechnical_com/Documents/AIG2/Projects2/2319_HGAC_CFP_FBC/04_Technical/41_Data%20Collection/00_H-GAC%20Resources/benefit%20Cost%20Analysis/Roadway-Emissions-Benefits-Template-August-1-2023.xlsx?EE14C0C8" TargetMode="External"/><Relationship Id="rId1" Type="http://schemas.openxmlformats.org/officeDocument/2006/relationships/externalLinkPath" Target="file:///\\EE14C0C8\Roadway-Emissions-Benefits-Template-August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Crashes"/>
      <sheetName val="VMT"/>
    </sheetNames>
    <sheetDataSet>
      <sheetData sheetId="0"/>
      <sheetData sheetId="1"/>
      <sheetData sheetId="2">
        <row r="45">
          <cell r="B45" t="str">
            <v>Harris</v>
          </cell>
          <cell r="C45" t="str">
            <v>Freeway/Toll</v>
          </cell>
          <cell r="D45">
            <v>61905697.659999996</v>
          </cell>
        </row>
        <row r="46">
          <cell r="B46" t="str">
            <v>Brazoria</v>
          </cell>
          <cell r="C46" t="str">
            <v>Freeway/Toll</v>
          </cell>
          <cell r="D46">
            <v>2618324.17</v>
          </cell>
        </row>
        <row r="47">
          <cell r="B47" t="str">
            <v>Fort Bend</v>
          </cell>
          <cell r="C47" t="str">
            <v>Freeway/Toll</v>
          </cell>
          <cell r="D47">
            <v>3738995.92</v>
          </cell>
        </row>
        <row r="48">
          <cell r="B48" t="str">
            <v>Waller</v>
          </cell>
          <cell r="C48" t="str">
            <v>Freeway/Toll</v>
          </cell>
          <cell r="D48">
            <v>1086148.24</v>
          </cell>
        </row>
        <row r="49">
          <cell r="B49" t="str">
            <v>Montgomery</v>
          </cell>
          <cell r="C49" t="str">
            <v>Freeway/Toll</v>
          </cell>
          <cell r="D49">
            <v>6586746.6100000003</v>
          </cell>
        </row>
        <row r="50">
          <cell r="B50" t="str">
            <v>Liberty</v>
          </cell>
          <cell r="C50" t="str">
            <v>Freeway/Toll</v>
          </cell>
          <cell r="D50">
            <v>453352.42</v>
          </cell>
        </row>
        <row r="51">
          <cell r="B51" t="str">
            <v>Chambers</v>
          </cell>
          <cell r="C51" t="str">
            <v>Freeway/Toll</v>
          </cell>
          <cell r="D51">
            <v>2686327.44</v>
          </cell>
        </row>
        <row r="52">
          <cell r="B52" t="str">
            <v xml:space="preserve">Galveston </v>
          </cell>
          <cell r="C52" t="str">
            <v>Freeway/Toll</v>
          </cell>
          <cell r="D52">
            <v>2141923.42</v>
          </cell>
        </row>
        <row r="56">
          <cell r="B56" t="str">
            <v>Harris</v>
          </cell>
          <cell r="C56" t="str">
            <v>Other</v>
          </cell>
          <cell r="D56">
            <v>68304614.209999993</v>
          </cell>
        </row>
        <row r="57">
          <cell r="B57" t="str">
            <v>Brazoria</v>
          </cell>
          <cell r="C57" t="str">
            <v>Other</v>
          </cell>
          <cell r="D57">
            <v>6349097.3499999996</v>
          </cell>
        </row>
        <row r="58">
          <cell r="B58" t="str">
            <v>Fort Bend</v>
          </cell>
          <cell r="C58" t="str">
            <v>Other</v>
          </cell>
          <cell r="D58">
            <v>11227441.77</v>
          </cell>
        </row>
        <row r="59">
          <cell r="B59" t="str">
            <v>Waller</v>
          </cell>
          <cell r="C59" t="str">
            <v>Other</v>
          </cell>
          <cell r="D59">
            <v>1071767.3799999999</v>
          </cell>
        </row>
        <row r="60">
          <cell r="B60" t="str">
            <v>Montgomery</v>
          </cell>
          <cell r="C60" t="str">
            <v>Other</v>
          </cell>
          <cell r="D60">
            <v>10802724.890000001</v>
          </cell>
        </row>
        <row r="61">
          <cell r="B61" t="str">
            <v>Liberty</v>
          </cell>
          <cell r="C61" t="str">
            <v>Other</v>
          </cell>
          <cell r="D61">
            <v>2461276.84</v>
          </cell>
        </row>
        <row r="62">
          <cell r="B62" t="str">
            <v>Chambers</v>
          </cell>
          <cell r="C62" t="str">
            <v>Other</v>
          </cell>
          <cell r="D62">
            <v>933781.03</v>
          </cell>
        </row>
        <row r="63">
          <cell r="B63" t="str">
            <v xml:space="preserve">Galveston </v>
          </cell>
          <cell r="C63" t="str">
            <v>Other</v>
          </cell>
          <cell r="D63">
            <v>4518307.46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ITS Delay Worksheet"/>
      <sheetName val="Emissions Reduction Worksheet"/>
      <sheetName val="Inputs &amp; Outputs"/>
      <sheetName val="Benefit Calculations"/>
      <sheetName val="Value of Emissions"/>
      <sheetName val="Emission Factors - NOx"/>
      <sheetName val="Emission Factors - VOC"/>
      <sheetName val="Service Life"/>
      <sheetName val="Assumed Values"/>
      <sheetName val="Growth Rates"/>
    </sheetNames>
    <sheetDataSet>
      <sheetData sheetId="0"/>
      <sheetData sheetId="1"/>
      <sheetData sheetId="2"/>
      <sheetData sheetId="3"/>
      <sheetData sheetId="4">
        <row r="35">
          <cell r="K35">
            <v>0.12857436324939236</v>
          </cell>
          <cell r="M35">
            <v>913.91455373444137</v>
          </cell>
          <cell r="O35">
            <v>0.46539341039911619</v>
          </cell>
          <cell r="Q35">
            <v>156772.62679864088</v>
          </cell>
        </row>
      </sheetData>
      <sheetData sheetId="5"/>
      <sheetData sheetId="6"/>
      <sheetData sheetId="7"/>
      <sheetData sheetId="8">
        <row r="6">
          <cell r="C6" t="str">
            <v>Existing transit service improvements, TDM programs, ridesharing
and vanpool programs, and pricing and fare strategies</v>
          </cell>
          <cell r="D6">
            <v>2</v>
          </cell>
        </row>
        <row r="7">
          <cell r="C7" t="str">
            <v>Intersection improvements</v>
          </cell>
          <cell r="D7">
            <v>4</v>
          </cell>
        </row>
        <row r="8">
          <cell r="C8" t="str">
            <v>Signalization improvements</v>
          </cell>
          <cell r="D8">
            <v>3</v>
          </cell>
        </row>
        <row r="9">
          <cell r="C9" t="str">
            <v>Telecommunications/telework programs</v>
          </cell>
          <cell r="D9">
            <v>5</v>
          </cell>
        </row>
        <row r="10">
          <cell r="C10" t="str">
            <v>Intelligent transportation systems (ITS), new buses or alternative fuel buses, bicycle/pedestrian facilities, and park-and-ride lots</v>
          </cell>
          <cell r="D10">
            <v>12</v>
          </cell>
        </row>
        <row r="11">
          <cell r="C11" t="str">
            <v>Roadway improvements (Added Capacity, Grade Separations)  including HOV</v>
          </cell>
          <cell r="D11">
            <v>20</v>
          </cell>
        </row>
        <row r="12">
          <cell r="C12" t="str">
            <v>For rail transit systems, parking structures, and pavements</v>
          </cell>
          <cell r="D12">
            <v>35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F7F7-823B-4EF3-BA09-4A973E550880}">
  <dimension ref="A1:AS24"/>
  <sheetViews>
    <sheetView topLeftCell="H1" workbookViewId="0">
      <selection activeCell="F26" sqref="F26"/>
    </sheetView>
  </sheetViews>
  <sheetFormatPr defaultRowHeight="15" x14ac:dyDescent="0.25"/>
  <sheetData>
    <row r="1" spans="1:45" x14ac:dyDescent="0.25">
      <c r="A1" s="6">
        <v>2023</v>
      </c>
      <c r="B1" s="7" t="s">
        <v>170</v>
      </c>
      <c r="C1" s="8"/>
      <c r="D1" s="8"/>
      <c r="E1" s="9"/>
      <c r="F1" s="9"/>
      <c r="G1" s="9"/>
      <c r="H1" s="9"/>
    </row>
    <row r="2" spans="1:45" x14ac:dyDescent="0.25">
      <c r="A2" s="5"/>
    </row>
    <row r="3" spans="1:45" x14ac:dyDescent="0.25">
      <c r="A3" s="2" t="s">
        <v>159</v>
      </c>
      <c r="B3" s="2" t="s">
        <v>160</v>
      </c>
      <c r="C3" s="2" t="s">
        <v>161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2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162</v>
      </c>
      <c r="AK3" s="2" t="s">
        <v>37</v>
      </c>
      <c r="AL3" s="2" t="s">
        <v>38</v>
      </c>
      <c r="AM3" s="2" t="s">
        <v>39</v>
      </c>
      <c r="AN3" s="2" t="s">
        <v>40</v>
      </c>
      <c r="AO3" s="2" t="s">
        <v>41</v>
      </c>
      <c r="AP3" s="2" t="s">
        <v>163</v>
      </c>
      <c r="AQ3" s="2" t="s">
        <v>42</v>
      </c>
      <c r="AR3" s="2" t="s">
        <v>164</v>
      </c>
      <c r="AS3" s="2" t="s">
        <v>165</v>
      </c>
    </row>
    <row r="4" spans="1:45" x14ac:dyDescent="0.25">
      <c r="A4" s="2">
        <v>7774</v>
      </c>
      <c r="B4" s="2" t="s">
        <v>43</v>
      </c>
      <c r="C4" s="2">
        <v>13</v>
      </c>
      <c r="D4" s="2" t="s">
        <v>166</v>
      </c>
      <c r="E4" s="2" t="s">
        <v>167</v>
      </c>
      <c r="F4" s="2">
        <v>25556</v>
      </c>
      <c r="G4" s="2">
        <v>26541</v>
      </c>
      <c r="H4" s="2">
        <v>1</v>
      </c>
      <c r="I4" s="2">
        <v>0.32872000000000001</v>
      </c>
      <c r="J4" s="2">
        <v>13</v>
      </c>
      <c r="K4" s="2">
        <v>4</v>
      </c>
      <c r="L4" s="2">
        <v>18792</v>
      </c>
      <c r="M4" s="2">
        <v>32.840000000000003</v>
      </c>
      <c r="N4" s="2">
        <v>0.60058</v>
      </c>
      <c r="O4" s="2">
        <v>36</v>
      </c>
      <c r="P4" s="2">
        <v>1773.5399199999999</v>
      </c>
      <c r="Q4" s="2">
        <v>0.52734999999999999</v>
      </c>
      <c r="R4" s="2">
        <v>0.56625999999999999</v>
      </c>
      <c r="S4" s="2">
        <v>3265.68262</v>
      </c>
      <c r="T4" s="10">
        <v>31.59</v>
      </c>
      <c r="U4" s="2">
        <v>0.62434999999999996</v>
      </c>
      <c r="V4" s="2">
        <v>1600.95227</v>
      </c>
      <c r="W4" s="2">
        <v>0.47936000000000001</v>
      </c>
      <c r="X4" s="2">
        <v>0.34077000000000002</v>
      </c>
      <c r="Y4" s="2">
        <v>3186.0207500000001</v>
      </c>
      <c r="Z4" s="10">
        <v>32.31</v>
      </c>
      <c r="AA4" s="2">
        <v>0.61043999999999998</v>
      </c>
      <c r="AB4" s="2">
        <v>1012.07611</v>
      </c>
      <c r="AC4" s="2">
        <v>0.49179</v>
      </c>
      <c r="AD4" s="2">
        <v>0.43085000000000001</v>
      </c>
      <c r="AE4" s="2">
        <v>2002.5835</v>
      </c>
      <c r="AF4" s="10">
        <v>32.08</v>
      </c>
      <c r="AG4" s="2">
        <v>0.61480999999999997</v>
      </c>
      <c r="AH4" s="2">
        <v>4805.2016599999997</v>
      </c>
      <c r="AI4" s="2">
        <v>1579.56592</v>
      </c>
      <c r="AJ4" s="2">
        <v>5.7912999999999997</v>
      </c>
      <c r="AK4" s="2">
        <v>10.37063</v>
      </c>
      <c r="AL4" s="2">
        <v>16.287990000000001</v>
      </c>
      <c r="AM4" s="2">
        <v>18.45514</v>
      </c>
      <c r="AN4" s="2">
        <v>4.19041</v>
      </c>
      <c r="AO4" s="2">
        <v>49.304180000000002</v>
      </c>
      <c r="AP4" s="2">
        <v>0.18012</v>
      </c>
      <c r="AQ4" s="2">
        <v>9289.3203099999992</v>
      </c>
      <c r="AR4" s="2">
        <v>0.14366999999999999</v>
      </c>
      <c r="AS4" s="2">
        <v>1735.6597200000001</v>
      </c>
    </row>
    <row r="5" spans="1:45" x14ac:dyDescent="0.25">
      <c r="A5">
        <v>7775</v>
      </c>
      <c r="B5" t="s">
        <v>43</v>
      </c>
      <c r="C5">
        <v>15</v>
      </c>
      <c r="D5" t="s">
        <v>168</v>
      </c>
      <c r="E5" t="s">
        <v>169</v>
      </c>
      <c r="F5">
        <v>25556</v>
      </c>
      <c r="G5">
        <v>25557</v>
      </c>
      <c r="H5">
        <v>1</v>
      </c>
      <c r="I5">
        <v>0.55013000000000001</v>
      </c>
      <c r="J5">
        <v>17</v>
      </c>
      <c r="K5">
        <v>4</v>
      </c>
      <c r="L5">
        <v>14136</v>
      </c>
      <c r="M5">
        <v>32.03</v>
      </c>
      <c r="N5">
        <v>1.0305299999999999</v>
      </c>
      <c r="O5">
        <v>36</v>
      </c>
      <c r="P5">
        <v>1259.54321</v>
      </c>
      <c r="Q5">
        <v>1.0141899999999999</v>
      </c>
      <c r="R5">
        <v>0.53461000000000003</v>
      </c>
      <c r="S5">
        <v>2825.5849600000001</v>
      </c>
      <c r="T5">
        <v>31.1</v>
      </c>
      <c r="U5">
        <v>1.06134</v>
      </c>
      <c r="V5">
        <v>1382.0217299999999</v>
      </c>
      <c r="W5">
        <v>0.91735999999999995</v>
      </c>
      <c r="X5">
        <v>0.39106000000000002</v>
      </c>
      <c r="Y5">
        <v>2777.62817</v>
      </c>
      <c r="Z5">
        <v>31.48</v>
      </c>
      <c r="AA5">
        <v>1.04853</v>
      </c>
      <c r="AB5">
        <v>888.91583000000003</v>
      </c>
      <c r="AC5">
        <v>0.98628000000000005</v>
      </c>
      <c r="AD5">
        <v>0.50305999999999995</v>
      </c>
      <c r="AE5">
        <v>1661.5955799999999</v>
      </c>
      <c r="AF5">
        <v>31.2</v>
      </c>
      <c r="AG5">
        <v>1.0579400000000001</v>
      </c>
      <c r="AH5">
        <v>3974.0497999999998</v>
      </c>
      <c r="AI5">
        <v>2186.2438999999999</v>
      </c>
      <c r="AJ5">
        <v>8.2038700000000002</v>
      </c>
      <c r="AK5">
        <v>15.673690000000001</v>
      </c>
      <c r="AL5">
        <v>24.151579999999999</v>
      </c>
      <c r="AM5">
        <v>22.280139999999999</v>
      </c>
      <c r="AN5">
        <v>7.6185</v>
      </c>
      <c r="AO5">
        <v>69.723920000000007</v>
      </c>
      <c r="AP5">
        <v>0.26158999999999999</v>
      </c>
      <c r="AQ5">
        <v>8151.7372999999998</v>
      </c>
      <c r="AR5">
        <v>0.23551</v>
      </c>
      <c r="AS5">
        <v>2904.5956120000001</v>
      </c>
    </row>
    <row r="6" spans="1:45" x14ac:dyDescent="0.25">
      <c r="A6" s="39"/>
      <c r="B6" s="40"/>
      <c r="I6">
        <f>SUM(I4:I5)</f>
        <v>0.87885000000000002</v>
      </c>
      <c r="M6">
        <f>(M8+M9)/$I$6</f>
        <v>32.332967741935484</v>
      </c>
      <c r="R6" s="13">
        <f>(R8+R9)/I6</f>
        <v>0.54644818399044204</v>
      </c>
      <c r="T6">
        <f>(T8+T9)/$I$6</f>
        <v>31.283276782158502</v>
      </c>
      <c r="Z6">
        <f>(Z8+Z9)/$I$6</f>
        <v>31.79044842692155</v>
      </c>
      <c r="AF6">
        <f>(AF8+AF9)/$I$6</f>
        <v>31.529150139386697</v>
      </c>
      <c r="AI6">
        <f>AI4/M4</f>
        <v>48.098840438489638</v>
      </c>
      <c r="AQ6">
        <f>(AQ8+AQ9)/I6</f>
        <v>8577.2323071652718</v>
      </c>
    </row>
    <row r="7" spans="1:45" x14ac:dyDescent="0.25">
      <c r="A7" t="s">
        <v>190</v>
      </c>
      <c r="B7">
        <f>AVERAGE(M6,T6,Z6,AF6)</f>
        <v>31.733960772600561</v>
      </c>
    </row>
    <row r="8" spans="1:45" x14ac:dyDescent="0.25">
      <c r="M8">
        <f>M4*$I$4</f>
        <v>10.795164800000002</v>
      </c>
      <c r="R8">
        <f>I4*R4</f>
        <v>0.1861409872</v>
      </c>
      <c r="T8">
        <f>T4*$I$4</f>
        <v>10.3842648</v>
      </c>
      <c r="Z8">
        <f>Z4*$I$4</f>
        <v>10.620943200000001</v>
      </c>
      <c r="AF8">
        <f>AF4*$I$4</f>
        <v>10.5453376</v>
      </c>
      <c r="AQ8">
        <f>AQ4*I4</f>
        <v>3053.5853723031996</v>
      </c>
    </row>
    <row r="9" spans="1:45" x14ac:dyDescent="0.25">
      <c r="M9">
        <f>M5*$I$5</f>
        <v>17.6206639</v>
      </c>
      <c r="R9">
        <f>R5*I5</f>
        <v>0.2941049993</v>
      </c>
      <c r="T9">
        <f>T5*$I$5</f>
        <v>17.109043</v>
      </c>
      <c r="Z9">
        <f>Z5*$I$5</f>
        <v>17.318092400000001</v>
      </c>
      <c r="AF9">
        <f>AF5*$I$5</f>
        <v>17.164055999999999</v>
      </c>
      <c r="AQ9">
        <f>AQ5*I5</f>
        <v>4484.5152408490003</v>
      </c>
    </row>
    <row r="11" spans="1:45" x14ac:dyDescent="0.25">
      <c r="A11" s="6" t="s">
        <v>193</v>
      </c>
      <c r="B11" s="7" t="s">
        <v>170</v>
      </c>
    </row>
    <row r="12" spans="1:45" x14ac:dyDescent="0.25">
      <c r="A12" t="s">
        <v>159</v>
      </c>
      <c r="B12" t="s">
        <v>160</v>
      </c>
      <c r="C12" t="s">
        <v>5</v>
      </c>
      <c r="D12" t="s">
        <v>191</v>
      </c>
      <c r="E12" t="s">
        <v>192</v>
      </c>
      <c r="F12" t="s">
        <v>6</v>
      </c>
      <c r="G12" t="s">
        <v>7</v>
      </c>
      <c r="H12" t="s">
        <v>8</v>
      </c>
      <c r="I12" t="s">
        <v>9</v>
      </c>
      <c r="J12" t="s">
        <v>10</v>
      </c>
      <c r="K12" t="s">
        <v>11</v>
      </c>
      <c r="L12" t="s">
        <v>12</v>
      </c>
      <c r="M12" t="s">
        <v>13</v>
      </c>
      <c r="N12" t="s">
        <v>14</v>
      </c>
      <c r="O12" t="s">
        <v>15</v>
      </c>
      <c r="P12" t="s">
        <v>16</v>
      </c>
      <c r="Q12" t="s">
        <v>17</v>
      </c>
      <c r="R12" t="s">
        <v>18</v>
      </c>
      <c r="S12" t="s">
        <v>19</v>
      </c>
      <c r="T12" t="s">
        <v>20</v>
      </c>
      <c r="U12" t="s">
        <v>21</v>
      </c>
      <c r="V12" t="s">
        <v>22</v>
      </c>
      <c r="W12" t="s">
        <v>23</v>
      </c>
      <c r="X12" t="s">
        <v>24</v>
      </c>
      <c r="Y12" t="s">
        <v>25</v>
      </c>
      <c r="Z12" t="s">
        <v>26</v>
      </c>
      <c r="AA12" t="s">
        <v>27</v>
      </c>
      <c r="AB12" t="s">
        <v>28</v>
      </c>
      <c r="AC12" t="s">
        <v>29</v>
      </c>
      <c r="AD12" t="s">
        <v>30</v>
      </c>
      <c r="AE12" t="s">
        <v>31</v>
      </c>
      <c r="AF12" t="s">
        <v>32</v>
      </c>
      <c r="AG12" t="s">
        <v>33</v>
      </c>
      <c r="AH12" t="s">
        <v>34</v>
      </c>
      <c r="AI12" t="s">
        <v>35</v>
      </c>
      <c r="AJ12" t="s">
        <v>36</v>
      </c>
      <c r="AK12" t="s">
        <v>37</v>
      </c>
      <c r="AL12" t="s">
        <v>38</v>
      </c>
      <c r="AM12" t="s">
        <v>39</v>
      </c>
      <c r="AN12" t="s">
        <v>40</v>
      </c>
      <c r="AO12" t="s">
        <v>41</v>
      </c>
      <c r="AP12" t="s">
        <v>42</v>
      </c>
      <c r="AQ12" t="s">
        <v>165</v>
      </c>
    </row>
    <row r="13" spans="1:45" x14ac:dyDescent="0.25">
      <c r="A13">
        <v>7949</v>
      </c>
      <c r="B13" t="s">
        <v>43</v>
      </c>
      <c r="C13" t="s">
        <v>166</v>
      </c>
      <c r="D13">
        <v>0</v>
      </c>
      <c r="E13">
        <v>0</v>
      </c>
      <c r="F13" t="s">
        <v>167</v>
      </c>
      <c r="G13">
        <v>25556</v>
      </c>
      <c r="H13">
        <v>26541</v>
      </c>
      <c r="I13">
        <v>2</v>
      </c>
      <c r="J13">
        <v>0.32869999999999999</v>
      </c>
      <c r="K13">
        <v>16</v>
      </c>
      <c r="L13">
        <v>4</v>
      </c>
      <c r="M13">
        <v>32664</v>
      </c>
      <c r="N13">
        <v>37.85</v>
      </c>
      <c r="O13">
        <v>0.52105999999999997</v>
      </c>
      <c r="P13">
        <v>45</v>
      </c>
      <c r="Q13">
        <v>4728.7997999999998</v>
      </c>
      <c r="R13">
        <v>0.96901999999999999</v>
      </c>
      <c r="S13">
        <v>0.86863000000000001</v>
      </c>
      <c r="T13">
        <v>8205.4804700000004</v>
      </c>
      <c r="U13">
        <v>29.4</v>
      </c>
      <c r="V13">
        <v>0.67081999999999997</v>
      </c>
      <c r="W13">
        <v>3469.8776899999998</v>
      </c>
      <c r="X13">
        <v>0.54362999999999995</v>
      </c>
      <c r="Y13">
        <v>0.42492000000000002</v>
      </c>
      <c r="Z13">
        <v>7340.4633800000001</v>
      </c>
      <c r="AA13">
        <v>36.76</v>
      </c>
      <c r="AB13">
        <v>0.53651000000000004</v>
      </c>
      <c r="AC13">
        <v>1131.08716</v>
      </c>
      <c r="AD13">
        <v>0.51417999999999997</v>
      </c>
      <c r="AE13">
        <v>0.27701999999999999</v>
      </c>
      <c r="AF13">
        <v>4295.5805700000001</v>
      </c>
      <c r="AG13">
        <v>37.29</v>
      </c>
      <c r="AH13">
        <v>0.52888000000000002</v>
      </c>
      <c r="AI13">
        <v>10064.853520000001</v>
      </c>
      <c r="AJ13">
        <v>3308.31763</v>
      </c>
      <c r="AK13">
        <v>9.9701900000000006</v>
      </c>
      <c r="AL13">
        <v>31.026900000000001</v>
      </c>
      <c r="AM13">
        <v>52.86927</v>
      </c>
      <c r="AN13">
        <v>6.3837200000000003</v>
      </c>
      <c r="AO13">
        <v>100.25008</v>
      </c>
      <c r="AP13">
        <v>21239.849610000001</v>
      </c>
      <c r="AQ13">
        <v>1735.6597200000001</v>
      </c>
    </row>
    <row r="14" spans="1:45" x14ac:dyDescent="0.25">
      <c r="A14">
        <v>7950</v>
      </c>
      <c r="B14" t="s">
        <v>43</v>
      </c>
      <c r="C14" t="s">
        <v>168</v>
      </c>
      <c r="D14">
        <v>0</v>
      </c>
      <c r="E14">
        <v>0</v>
      </c>
      <c r="F14" t="s">
        <v>169</v>
      </c>
      <c r="G14">
        <v>25556</v>
      </c>
      <c r="H14">
        <v>25557</v>
      </c>
      <c r="I14">
        <v>2</v>
      </c>
      <c r="J14">
        <v>0.55010000000000003</v>
      </c>
      <c r="K14">
        <v>16</v>
      </c>
      <c r="L14">
        <v>4</v>
      </c>
      <c r="M14">
        <v>32664</v>
      </c>
      <c r="N14">
        <v>41.96</v>
      </c>
      <c r="O14">
        <v>0.78661000000000003</v>
      </c>
      <c r="P14">
        <v>45</v>
      </c>
      <c r="Q14">
        <v>3527.0881300000001</v>
      </c>
      <c r="R14">
        <v>1.12419</v>
      </c>
      <c r="S14">
        <v>0.64788999999999997</v>
      </c>
      <c r="T14">
        <v>8222.3261700000003</v>
      </c>
      <c r="U14">
        <v>39.770000000000003</v>
      </c>
      <c r="V14">
        <v>0.82991999999999999</v>
      </c>
      <c r="W14">
        <v>3786.1120599999999</v>
      </c>
      <c r="X14">
        <v>0.93245999999999996</v>
      </c>
      <c r="Y14">
        <v>0.46364</v>
      </c>
      <c r="Z14">
        <v>7127.2963900000004</v>
      </c>
      <c r="AA14">
        <v>41.02</v>
      </c>
      <c r="AB14">
        <v>0.80462999999999996</v>
      </c>
      <c r="AC14">
        <v>3101.0478499999999</v>
      </c>
      <c r="AD14">
        <v>1.33101</v>
      </c>
      <c r="AE14">
        <v>0.75949999999999995</v>
      </c>
      <c r="AF14">
        <v>4279.3520500000004</v>
      </c>
      <c r="AG14">
        <v>38.229999999999997</v>
      </c>
      <c r="AH14">
        <v>0.86334999999999995</v>
      </c>
      <c r="AI14">
        <v>11115.132809999999</v>
      </c>
      <c r="AJ14">
        <v>6114.4345700000003</v>
      </c>
      <c r="AK14">
        <v>44.621670000000002</v>
      </c>
      <c r="AL14">
        <v>50.773769999999999</v>
      </c>
      <c r="AM14">
        <v>48.786799999999999</v>
      </c>
      <c r="AN14">
        <v>9.1886799999999997</v>
      </c>
      <c r="AO14">
        <v>153.37092999999999</v>
      </c>
      <c r="AP14">
        <v>21109.33008</v>
      </c>
      <c r="AQ14">
        <v>2904.5956120000001</v>
      </c>
    </row>
    <row r="15" spans="1:45" x14ac:dyDescent="0.25">
      <c r="J15">
        <f>SUM(J13:J14)</f>
        <v>0.87880000000000003</v>
      </c>
      <c r="N15">
        <f>(N17+N18)/$I$6</f>
        <v>40.420425556124485</v>
      </c>
      <c r="S15">
        <f>(S17+S18)/$I$6</f>
        <v>0.73041243670706035</v>
      </c>
      <c r="U15">
        <f>(U17+U18)/$I$6</f>
        <v>35.889238209023155</v>
      </c>
      <c r="AA15">
        <f>(AA17+AA18)/$I$6</f>
        <v>39.424377311259029</v>
      </c>
      <c r="AG15">
        <f>(AG17+AG18)/$I$6</f>
        <v>37.876254195824089</v>
      </c>
      <c r="AI15">
        <f>(AI17+AI18)/$I$6</f>
        <v>10721.683917397735</v>
      </c>
      <c r="AP15">
        <f>(AP17+AP18)/$I$6</f>
        <v>21156.944920993345</v>
      </c>
    </row>
    <row r="17" spans="1:42" x14ac:dyDescent="0.25">
      <c r="A17" t="s">
        <v>190</v>
      </c>
      <c r="B17">
        <f>AVERAGE(N15,U15,AA15,AG15)</f>
        <v>38.402573818057689</v>
      </c>
      <c r="N17">
        <f>N13*$J$13</f>
        <v>12.441295</v>
      </c>
      <c r="S17">
        <f>S13*$J$13</f>
        <v>0.285518681</v>
      </c>
      <c r="U17">
        <f>U13*$J$13</f>
        <v>9.6637799999999991</v>
      </c>
      <c r="AA17">
        <f>AA13*$J$13</f>
        <v>12.083011999999998</v>
      </c>
      <c r="AG17">
        <f>AG13*$J$13</f>
        <v>12.257223</v>
      </c>
      <c r="AI17">
        <f>AI13*$J$13</f>
        <v>3308.3173520240002</v>
      </c>
      <c r="AP17">
        <f>AP13*$J$13</f>
        <v>6981.5385668070003</v>
      </c>
    </row>
    <row r="18" spans="1:42" x14ac:dyDescent="0.25">
      <c r="N18">
        <f>N14*$J$14</f>
        <v>23.082196000000003</v>
      </c>
      <c r="S18">
        <f>S14*$J$14</f>
        <v>0.35640428899999999</v>
      </c>
      <c r="U18">
        <f>U14*$J$14</f>
        <v>21.877477000000003</v>
      </c>
      <c r="AA18">
        <f>AA14*$J$14</f>
        <v>22.565102000000003</v>
      </c>
      <c r="AG18">
        <f>AG14*$J$14</f>
        <v>21.030322999999999</v>
      </c>
      <c r="AI18">
        <f>AI14*$J$14</f>
        <v>6114.4345587810003</v>
      </c>
      <c r="AP18">
        <f>AP14*$J$14</f>
        <v>11612.242477008</v>
      </c>
    </row>
    <row r="19" spans="1:42" x14ac:dyDescent="0.25">
      <c r="A19" s="39"/>
      <c r="B19" s="40"/>
    </row>
    <row r="20" spans="1:42" x14ac:dyDescent="0.25">
      <c r="A20" s="5"/>
    </row>
    <row r="24" spans="1:42" x14ac:dyDescent="0.25">
      <c r="A24" s="39"/>
      <c r="B24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tabSelected="1" workbookViewId="0">
      <selection activeCell="A22" sqref="A22"/>
    </sheetView>
  </sheetViews>
  <sheetFormatPr defaultRowHeight="15" x14ac:dyDescent="0.25"/>
  <cols>
    <col min="1" max="1" width="27.5703125" customWidth="1"/>
    <col min="2" max="2" width="14.5703125" bestFit="1" customWidth="1"/>
    <col min="3" max="3" width="15" bestFit="1" customWidth="1"/>
    <col min="4" max="4" width="9.5703125" bestFit="1" customWidth="1"/>
    <col min="5" max="5" width="12.5703125" bestFit="1" customWidth="1"/>
    <col min="6" max="6" width="10" bestFit="1" customWidth="1"/>
    <col min="7" max="7" width="9.85546875" bestFit="1" customWidth="1"/>
    <col min="11" max="11" width="24.140625" bestFit="1" customWidth="1"/>
    <col min="12" max="12" width="15.7109375" customWidth="1"/>
    <col min="13" max="13" width="11.85546875" bestFit="1" customWidth="1"/>
    <col min="15" max="15" width="15" bestFit="1" customWidth="1"/>
    <col min="16" max="16" width="11.5703125" customWidth="1"/>
    <col min="17" max="17" width="15" bestFit="1" customWidth="1"/>
    <col min="19" max="19" width="3.28515625" customWidth="1"/>
    <col min="20" max="20" width="15" bestFit="1" customWidth="1"/>
    <col min="21" max="21" width="11.140625" customWidth="1"/>
    <col min="22" max="22" width="17.140625" customWidth="1"/>
    <col min="23" max="23" width="11" bestFit="1" customWidth="1"/>
    <col min="24" max="24" width="21.7109375" bestFit="1" customWidth="1"/>
  </cols>
  <sheetData>
    <row r="1" spans="1:25" x14ac:dyDescent="0.25">
      <c r="A1" s="94" t="s">
        <v>154</v>
      </c>
      <c r="B1" s="94"/>
      <c r="D1" s="54" t="s">
        <v>157</v>
      </c>
      <c r="E1" s="54" t="s">
        <v>158</v>
      </c>
      <c r="G1" s="2" t="s">
        <v>157</v>
      </c>
      <c r="H1" s="2" t="s">
        <v>46</v>
      </c>
      <c r="L1" s="1" t="s">
        <v>0</v>
      </c>
      <c r="M1" s="1" t="s">
        <v>1</v>
      </c>
      <c r="O1" s="5"/>
      <c r="P1" s="5"/>
      <c r="Q1" s="5"/>
      <c r="R1" s="5"/>
      <c r="S1" s="39"/>
      <c r="T1" s="5"/>
      <c r="U1" s="5"/>
      <c r="V1" s="5"/>
      <c r="W1" s="5"/>
      <c r="X1" s="5"/>
      <c r="Y1" s="5"/>
    </row>
    <row r="2" spans="1:25" x14ac:dyDescent="0.25">
      <c r="A2" s="54" t="s">
        <v>111</v>
      </c>
      <c r="B2" s="2">
        <v>0.12</v>
      </c>
      <c r="D2" s="54">
        <v>2021</v>
      </c>
      <c r="E2" s="54">
        <v>6232</v>
      </c>
      <c r="G2" s="2">
        <v>2023</v>
      </c>
      <c r="H2" s="2">
        <v>1.0900000000000001</v>
      </c>
      <c r="L2" s="2" t="s">
        <v>2</v>
      </c>
      <c r="M2" s="3">
        <f>TDM!AQ6</f>
        <v>8577.2323071652718</v>
      </c>
      <c r="O2" s="5"/>
      <c r="P2" s="5"/>
      <c r="Q2" s="5"/>
      <c r="R2" s="5"/>
      <c r="S2" s="39"/>
      <c r="V2" s="5"/>
      <c r="W2" s="5"/>
    </row>
    <row r="3" spans="1:25" x14ac:dyDescent="0.25">
      <c r="A3" s="54" t="s">
        <v>112</v>
      </c>
      <c r="B3" s="2">
        <v>0.05</v>
      </c>
      <c r="D3" s="54">
        <v>2022</v>
      </c>
      <c r="E3" s="83">
        <f>E2*1.02</f>
        <v>6356.64</v>
      </c>
      <c r="G3" s="12"/>
      <c r="H3" s="12"/>
      <c r="L3" s="2" t="s">
        <v>3</v>
      </c>
      <c r="M3" s="3">
        <f>TDM!AP15</f>
        <v>21156.944920993345</v>
      </c>
      <c r="P3" s="40"/>
      <c r="R3" s="40"/>
      <c r="S3" s="40"/>
      <c r="U3" s="40"/>
    </row>
    <row r="4" spans="1:25" x14ac:dyDescent="0.25">
      <c r="D4" s="54">
        <v>2023</v>
      </c>
      <c r="E4" s="83">
        <f>E2*1.04</f>
        <v>6481.2800000000007</v>
      </c>
      <c r="G4" s="12"/>
      <c r="L4" s="2" t="s">
        <v>4</v>
      </c>
      <c r="M4" s="4">
        <f>(M3-M2)/M2</f>
        <v>1.4666400726163378</v>
      </c>
      <c r="P4" s="47"/>
      <c r="R4" s="47"/>
      <c r="S4" s="47"/>
      <c r="U4" s="47"/>
    </row>
    <row r="5" spans="1:25" ht="15.75" thickBot="1" x14ac:dyDescent="0.3"/>
    <row r="6" spans="1:25" x14ac:dyDescent="0.25">
      <c r="A6" s="97" t="s">
        <v>105</v>
      </c>
      <c r="B6" s="98"/>
      <c r="C6" s="98"/>
      <c r="D6" s="98"/>
      <c r="E6" s="98"/>
      <c r="F6" s="98"/>
      <c r="G6" s="98"/>
      <c r="H6" s="98"/>
      <c r="I6" s="99"/>
      <c r="J6" s="5"/>
      <c r="K6" s="5"/>
      <c r="L6" s="5"/>
    </row>
    <row r="7" spans="1:25" ht="60" x14ac:dyDescent="0.25">
      <c r="A7" s="45" t="s">
        <v>87</v>
      </c>
      <c r="B7" s="43" t="s">
        <v>88</v>
      </c>
      <c r="C7" s="43" t="s">
        <v>89</v>
      </c>
      <c r="D7" s="44" t="s">
        <v>90</v>
      </c>
      <c r="E7" s="44" t="s">
        <v>91</v>
      </c>
      <c r="F7" s="44" t="s">
        <v>92</v>
      </c>
      <c r="G7" s="44" t="s">
        <v>93</v>
      </c>
      <c r="H7" s="44" t="s">
        <v>108</v>
      </c>
      <c r="I7" s="46" t="s">
        <v>113</v>
      </c>
      <c r="J7" s="37"/>
      <c r="K7" s="43" t="s">
        <v>108</v>
      </c>
    </row>
    <row r="8" spans="1:25" x14ac:dyDescent="0.25">
      <c r="A8" s="104" t="s">
        <v>107</v>
      </c>
      <c r="B8" s="2" t="s">
        <v>106</v>
      </c>
      <c r="C8" s="2" t="s">
        <v>155</v>
      </c>
      <c r="D8" s="3">
        <v>0</v>
      </c>
      <c r="E8" s="3">
        <f>TDM!AI15</f>
        <v>10721.683917397735</v>
      </c>
      <c r="F8" s="102">
        <f>TDM!AP15</f>
        <v>21156.944920993345</v>
      </c>
      <c r="G8" s="95" t="s">
        <v>194</v>
      </c>
      <c r="H8" s="95">
        <f>(F8*0.1/4)/1900</f>
        <v>0.27838085422359665</v>
      </c>
      <c r="I8" s="100">
        <f>TDM!S15</f>
        <v>0.73041243670706035</v>
      </c>
      <c r="J8" s="13"/>
      <c r="K8" s="42" t="s">
        <v>110</v>
      </c>
    </row>
    <row r="9" spans="1:25" ht="15.75" thickBot="1" x14ac:dyDescent="0.3">
      <c r="A9" s="105"/>
      <c r="B9" s="19" t="s">
        <v>106</v>
      </c>
      <c r="C9" s="19" t="s">
        <v>156</v>
      </c>
      <c r="D9" s="38">
        <v>0</v>
      </c>
      <c r="E9" s="38">
        <f>F8-E8</f>
        <v>10435.26100359561</v>
      </c>
      <c r="F9" s="103"/>
      <c r="G9" s="96"/>
      <c r="H9" s="96"/>
      <c r="I9" s="101"/>
      <c r="J9" s="36"/>
      <c r="K9" s="41" t="s">
        <v>109</v>
      </c>
    </row>
    <row r="10" spans="1:25" x14ac:dyDescent="0.25">
      <c r="A10" s="106" t="s">
        <v>153</v>
      </c>
      <c r="B10" s="106"/>
      <c r="C10" s="106"/>
      <c r="D10" s="106"/>
      <c r="E10" s="106"/>
      <c r="F10" s="106"/>
      <c r="G10" s="106"/>
      <c r="H10" s="106"/>
      <c r="I10" s="106"/>
      <c r="J10" s="12"/>
    </row>
    <row r="11" spans="1:25" ht="15.75" thickBot="1" x14ac:dyDescent="0.3">
      <c r="A11" s="34"/>
      <c r="E11" s="12"/>
      <c r="K11" s="12"/>
      <c r="L11" s="35"/>
    </row>
    <row r="12" spans="1:25" x14ac:dyDescent="0.25">
      <c r="A12" s="91" t="s">
        <v>102</v>
      </c>
      <c r="B12" s="92"/>
      <c r="C12" s="92"/>
      <c r="D12" s="93"/>
    </row>
    <row r="13" spans="1:25" x14ac:dyDescent="0.25">
      <c r="A13" s="87" t="s">
        <v>104</v>
      </c>
      <c r="B13" s="88"/>
      <c r="C13" s="89" t="s">
        <v>103</v>
      </c>
      <c r="D13" s="90"/>
      <c r="E13" s="37"/>
    </row>
    <row r="14" spans="1:25" ht="18" x14ac:dyDescent="0.35">
      <c r="A14" s="49" t="s">
        <v>48</v>
      </c>
      <c r="B14" s="11"/>
      <c r="C14" s="2" t="s">
        <v>48</v>
      </c>
      <c r="D14" s="50">
        <f>MIN(TDM!U15,TDM!AA15,TDM!AG15)</f>
        <v>35.889238209023155</v>
      </c>
      <c r="E14" s="12"/>
    </row>
    <row r="15" spans="1:25" x14ac:dyDescent="0.25">
      <c r="A15" s="49" t="s">
        <v>47</v>
      </c>
      <c r="B15" s="20">
        <v>0</v>
      </c>
      <c r="C15" s="2" t="s">
        <v>47</v>
      </c>
      <c r="D15" s="48">
        <f>TDM!J4</f>
        <v>13</v>
      </c>
      <c r="E15" s="12"/>
    </row>
    <row r="16" spans="1:25" ht="18" x14ac:dyDescent="0.35">
      <c r="A16" s="49" t="s">
        <v>44</v>
      </c>
      <c r="B16" s="21" t="e">
        <f>B15/B14</f>
        <v>#DIV/0!</v>
      </c>
      <c r="C16" s="2" t="s">
        <v>44</v>
      </c>
      <c r="D16" s="51">
        <f>D15/D14</f>
        <v>0.36222557648859716</v>
      </c>
      <c r="E16" s="12"/>
    </row>
    <row r="17" spans="1:5" ht="18" x14ac:dyDescent="0.35">
      <c r="A17" s="49" t="s">
        <v>49</v>
      </c>
      <c r="B17" s="11">
        <v>0</v>
      </c>
      <c r="C17" s="2" t="s">
        <v>49</v>
      </c>
      <c r="D17" s="50">
        <f>TDM!P13</f>
        <v>45</v>
      </c>
      <c r="E17" s="12"/>
    </row>
    <row r="18" spans="1:5" ht="18" x14ac:dyDescent="0.35">
      <c r="A18" s="49" t="s">
        <v>45</v>
      </c>
      <c r="B18" s="21" t="e">
        <f>B15/B17</f>
        <v>#DIV/0!</v>
      </c>
      <c r="C18" s="2" t="s">
        <v>45</v>
      </c>
      <c r="D18" s="51">
        <f>D15/D17</f>
        <v>0.28888888888888886</v>
      </c>
      <c r="E18" s="12"/>
    </row>
    <row r="19" spans="1:5" ht="15.75" thickBot="1" x14ac:dyDescent="0.3">
      <c r="A19" s="52" t="s">
        <v>46</v>
      </c>
      <c r="B19" s="22" t="e">
        <f>B16/B18</f>
        <v>#DIV/0!</v>
      </c>
      <c r="C19" s="19" t="s">
        <v>46</v>
      </c>
      <c r="D19" s="53">
        <f>D16/D18</f>
        <v>1.253857764768221</v>
      </c>
      <c r="E19" s="12"/>
    </row>
    <row r="20" spans="1:5" x14ac:dyDescent="0.25">
      <c r="C20" s="33"/>
      <c r="E20" s="12"/>
    </row>
    <row r="21" spans="1:5" x14ac:dyDescent="0.25">
      <c r="C21" s="33"/>
      <c r="E21" s="12"/>
    </row>
    <row r="22" spans="1:5" x14ac:dyDescent="0.25">
      <c r="C22" s="33"/>
      <c r="E22" s="12"/>
    </row>
    <row r="23" spans="1:5" x14ac:dyDescent="0.25">
      <c r="C23" s="33"/>
      <c r="E23" s="12"/>
    </row>
    <row r="24" spans="1:5" x14ac:dyDescent="0.25">
      <c r="C24" s="33"/>
      <c r="E24" s="12"/>
    </row>
    <row r="25" spans="1:5" x14ac:dyDescent="0.25">
      <c r="C25" s="33"/>
      <c r="E25" s="12"/>
    </row>
  </sheetData>
  <mergeCells count="11">
    <mergeCell ref="A13:B13"/>
    <mergeCell ref="C13:D13"/>
    <mergeCell ref="A12:D12"/>
    <mergeCell ref="A1:B1"/>
    <mergeCell ref="H8:H9"/>
    <mergeCell ref="A6:I6"/>
    <mergeCell ref="I8:I9"/>
    <mergeCell ref="F8:F9"/>
    <mergeCell ref="A8:A9"/>
    <mergeCell ref="G8:G9"/>
    <mergeCell ref="A10:I10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6716-EA69-46E9-B922-86DC9B43115B}">
  <dimension ref="A1:R38"/>
  <sheetViews>
    <sheetView workbookViewId="0">
      <selection activeCell="Q6" sqref="Q6"/>
    </sheetView>
  </sheetViews>
  <sheetFormatPr defaultRowHeight="15" x14ac:dyDescent="0.25"/>
  <cols>
    <col min="2" max="2" width="57" customWidth="1"/>
    <col min="3" max="3" width="16" customWidth="1"/>
    <col min="4" max="4" width="5.28515625" customWidth="1"/>
    <col min="5" max="5" width="5.7109375" customWidth="1"/>
  </cols>
  <sheetData>
    <row r="1" spans="1:18" x14ac:dyDescent="0.25">
      <c r="A1" s="33"/>
      <c r="B1" s="33"/>
      <c r="C1" s="55"/>
      <c r="D1" s="33"/>
      <c r="E1" s="33"/>
      <c r="F1" s="33"/>
      <c r="G1" s="33"/>
      <c r="H1" s="33"/>
      <c r="I1" s="33"/>
      <c r="J1" s="33"/>
    </row>
    <row r="2" spans="1:18" ht="18.75" x14ac:dyDescent="0.25">
      <c r="A2" s="33"/>
      <c r="B2" s="56" t="s">
        <v>114</v>
      </c>
      <c r="C2" s="57"/>
      <c r="D2" s="58"/>
      <c r="E2" s="33"/>
      <c r="F2" s="33"/>
      <c r="G2" s="33"/>
      <c r="H2" s="33"/>
      <c r="I2" s="33"/>
      <c r="J2" s="33"/>
      <c r="K2" s="107" t="s">
        <v>145</v>
      </c>
      <c r="L2" s="107"/>
      <c r="M2" s="107"/>
      <c r="N2" s="107"/>
      <c r="O2" s="107"/>
      <c r="P2" s="107"/>
      <c r="Q2" s="107"/>
      <c r="R2" s="107"/>
    </row>
    <row r="3" spans="1:18" x14ac:dyDescent="0.25">
      <c r="A3" s="33"/>
      <c r="B3" s="33"/>
      <c r="C3" s="55"/>
      <c r="D3" s="33"/>
      <c r="E3" s="33"/>
      <c r="F3" s="33"/>
      <c r="G3" s="33"/>
      <c r="H3" s="33"/>
      <c r="I3" s="33"/>
      <c r="J3" s="33"/>
      <c r="K3" s="108"/>
      <c r="L3" s="108"/>
      <c r="M3" s="108"/>
      <c r="N3" s="108"/>
      <c r="O3" s="29" t="s">
        <v>146</v>
      </c>
      <c r="P3" s="29" t="s">
        <v>147</v>
      </c>
      <c r="Q3" s="29" t="s">
        <v>148</v>
      </c>
      <c r="R3" s="29" t="s">
        <v>149</v>
      </c>
    </row>
    <row r="4" spans="1:18" x14ac:dyDescent="0.25">
      <c r="A4" s="33"/>
      <c r="B4" s="59" t="s">
        <v>115</v>
      </c>
      <c r="C4" s="55"/>
      <c r="D4" s="33"/>
      <c r="E4" s="33"/>
      <c r="F4" s="33"/>
      <c r="G4" s="33"/>
      <c r="H4" s="33"/>
      <c r="I4" s="33"/>
      <c r="J4" s="33"/>
      <c r="K4" s="108" t="s">
        <v>150</v>
      </c>
      <c r="L4" s="108"/>
      <c r="M4" s="108"/>
      <c r="N4" s="108"/>
      <c r="O4" s="2"/>
      <c r="P4" s="2"/>
      <c r="Q4" s="2"/>
      <c r="R4" s="78" t="e">
        <f>AVERAGE(O4:Q4)</f>
        <v>#DIV/0!</v>
      </c>
    </row>
    <row r="5" spans="1:18" x14ac:dyDescent="0.25">
      <c r="A5" s="33"/>
      <c r="B5" s="60" t="s">
        <v>116</v>
      </c>
      <c r="C5" s="61" t="s">
        <v>170</v>
      </c>
      <c r="D5" s="33"/>
      <c r="E5" s="60"/>
      <c r="F5" s="33" t="s">
        <v>117</v>
      </c>
      <c r="G5" s="33"/>
      <c r="H5" s="33"/>
      <c r="I5" s="33"/>
      <c r="J5" s="33"/>
      <c r="K5" s="108" t="s">
        <v>151</v>
      </c>
      <c r="L5" s="108"/>
      <c r="M5" s="108"/>
      <c r="N5" s="108"/>
      <c r="O5" s="2">
        <f>TDM!U15</f>
        <v>35.889238209023155</v>
      </c>
      <c r="P5" s="2">
        <f>TDM!AA15</f>
        <v>39.424377311259029</v>
      </c>
      <c r="Q5" s="2">
        <f>TDM!AG15</f>
        <v>37.876254195824089</v>
      </c>
      <c r="R5" s="78">
        <f>AVERAGE(O5:Q5)</f>
        <v>37.729956572035427</v>
      </c>
    </row>
    <row r="6" spans="1:18" x14ac:dyDescent="0.25">
      <c r="A6" s="33"/>
      <c r="B6" s="60" t="s">
        <v>118</v>
      </c>
      <c r="C6" s="62">
        <v>1328</v>
      </c>
      <c r="D6" s="33"/>
      <c r="E6" s="63"/>
      <c r="F6" s="33" t="s">
        <v>119</v>
      </c>
      <c r="G6" s="33"/>
      <c r="H6" s="33"/>
      <c r="I6" s="33"/>
      <c r="J6" s="33"/>
    </row>
    <row r="7" spans="1:18" x14ac:dyDescent="0.25">
      <c r="A7" s="33"/>
      <c r="B7" s="60" t="s">
        <v>120</v>
      </c>
      <c r="C7" s="62"/>
      <c r="D7" s="33"/>
      <c r="E7" s="64"/>
      <c r="F7" s="33" t="s">
        <v>121</v>
      </c>
      <c r="G7" s="33"/>
      <c r="H7" s="33"/>
      <c r="I7" s="33"/>
      <c r="J7" s="33"/>
    </row>
    <row r="8" spans="1:18" x14ac:dyDescent="0.25">
      <c r="A8" s="33"/>
      <c r="B8" s="60" t="s">
        <v>122</v>
      </c>
      <c r="C8" s="62" t="s">
        <v>123</v>
      </c>
      <c r="D8" s="33"/>
      <c r="E8" s="33"/>
      <c r="F8" s="33"/>
      <c r="G8" s="33"/>
      <c r="H8" s="33"/>
      <c r="I8" s="33"/>
      <c r="J8" s="33"/>
    </row>
    <row r="9" spans="1:18" x14ac:dyDescent="0.25">
      <c r="A9" s="33"/>
      <c r="B9" s="33"/>
      <c r="C9" s="55"/>
      <c r="D9" s="33"/>
      <c r="E9" s="33"/>
      <c r="F9" s="33"/>
      <c r="G9" s="33"/>
      <c r="H9" s="33"/>
      <c r="I9" s="33"/>
      <c r="J9" s="33"/>
    </row>
    <row r="10" spans="1:18" x14ac:dyDescent="0.25">
      <c r="A10" s="33"/>
      <c r="B10" s="33"/>
      <c r="C10" s="55"/>
      <c r="D10" s="33"/>
      <c r="E10" s="33"/>
      <c r="F10" s="33"/>
      <c r="G10" s="33"/>
      <c r="H10" s="33"/>
      <c r="I10" s="33"/>
      <c r="J10" s="33"/>
    </row>
    <row r="11" spans="1:18" x14ac:dyDescent="0.25">
      <c r="A11" s="33"/>
      <c r="B11" s="59" t="s">
        <v>124</v>
      </c>
      <c r="C11" s="55"/>
      <c r="D11" s="33"/>
      <c r="E11" s="33"/>
      <c r="F11" s="33"/>
      <c r="G11" s="33"/>
      <c r="H11" s="33"/>
      <c r="I11" s="33"/>
      <c r="J11" s="33"/>
    </row>
    <row r="12" spans="1:18" x14ac:dyDescent="0.25">
      <c r="A12" s="33"/>
      <c r="B12" s="60" t="s">
        <v>125</v>
      </c>
      <c r="C12" s="62">
        <v>2025</v>
      </c>
      <c r="D12" s="33"/>
      <c r="E12" s="33"/>
      <c r="F12" s="33"/>
      <c r="G12" s="33"/>
      <c r="H12" s="33"/>
      <c r="I12" s="33"/>
      <c r="J12" s="33"/>
    </row>
    <row r="13" spans="1:18" x14ac:dyDescent="0.25">
      <c r="A13" s="33"/>
      <c r="B13" s="60" t="s">
        <v>126</v>
      </c>
      <c r="C13" s="62" t="s">
        <v>127</v>
      </c>
      <c r="D13" s="33"/>
      <c r="E13" s="33"/>
      <c r="F13" s="33"/>
      <c r="G13" s="33"/>
      <c r="H13" s="33"/>
      <c r="I13" s="33"/>
      <c r="J13" s="33"/>
    </row>
    <row r="14" spans="1:18" x14ac:dyDescent="0.25">
      <c r="A14" s="33"/>
      <c r="B14" s="65" t="s">
        <v>128</v>
      </c>
      <c r="C14" s="66" t="s">
        <v>129</v>
      </c>
      <c r="D14" s="33"/>
      <c r="E14" s="33"/>
      <c r="F14" s="33"/>
      <c r="G14" s="33"/>
      <c r="H14" s="33"/>
      <c r="I14" s="33"/>
      <c r="J14" s="33"/>
    </row>
    <row r="15" spans="1:18" x14ac:dyDescent="0.25">
      <c r="A15" s="33"/>
      <c r="B15" s="65" t="s">
        <v>130</v>
      </c>
      <c r="C15" s="67">
        <v>0.8</v>
      </c>
      <c r="D15" s="33"/>
      <c r="E15" s="33"/>
      <c r="F15" s="33"/>
      <c r="G15" s="33"/>
      <c r="H15" s="33"/>
      <c r="I15" s="33"/>
      <c r="J15" s="33"/>
    </row>
    <row r="16" spans="1:18" x14ac:dyDescent="0.25">
      <c r="A16" s="33"/>
      <c r="B16" s="65" t="s">
        <v>131</v>
      </c>
      <c r="C16" s="66">
        <v>31.73</v>
      </c>
      <c r="D16" s="33"/>
      <c r="E16" s="33"/>
      <c r="F16" s="33"/>
      <c r="G16" s="33"/>
      <c r="H16" s="33"/>
      <c r="I16" s="33"/>
      <c r="J16" s="33"/>
    </row>
    <row r="17" spans="1:10" x14ac:dyDescent="0.25">
      <c r="A17" s="33"/>
      <c r="B17" s="68" t="s">
        <v>132</v>
      </c>
      <c r="C17" s="66">
        <v>38.4</v>
      </c>
      <c r="D17" s="33"/>
      <c r="E17" s="33"/>
      <c r="F17" s="33"/>
      <c r="G17" s="33"/>
      <c r="H17" s="33"/>
      <c r="I17" s="33"/>
      <c r="J17" s="33"/>
    </row>
    <row r="18" spans="1:10" x14ac:dyDescent="0.25">
      <c r="A18" s="33"/>
      <c r="B18" s="69" t="s">
        <v>133</v>
      </c>
      <c r="C18" s="70">
        <f>VLOOKUP(C13,'[2]Service Life'!C6:D12,2,FALSE)</f>
        <v>20</v>
      </c>
      <c r="D18" s="33"/>
      <c r="E18" s="33"/>
      <c r="F18" s="33"/>
      <c r="G18" s="33"/>
      <c r="H18" s="33"/>
      <c r="I18" s="33"/>
      <c r="J18" s="33"/>
    </row>
    <row r="19" spans="1:10" x14ac:dyDescent="0.25">
      <c r="A19" s="33"/>
      <c r="B19" s="33"/>
      <c r="C19" s="55"/>
      <c r="D19" s="33"/>
      <c r="E19" s="33"/>
      <c r="F19" s="33"/>
      <c r="G19" s="33"/>
      <c r="H19" s="33"/>
      <c r="I19" s="33"/>
      <c r="J19" s="33"/>
    </row>
    <row r="20" spans="1:10" x14ac:dyDescent="0.25">
      <c r="A20" s="33"/>
      <c r="B20" s="59" t="s">
        <v>134</v>
      </c>
      <c r="C20" s="55"/>
      <c r="D20" s="33"/>
      <c r="E20" s="33"/>
      <c r="F20" s="33"/>
      <c r="G20" s="33"/>
      <c r="H20" s="33"/>
      <c r="I20" s="33"/>
      <c r="J20" s="33"/>
    </row>
    <row r="21" spans="1:10" ht="30" x14ac:dyDescent="0.25">
      <c r="A21" s="33"/>
      <c r="B21" s="68" t="s">
        <v>135</v>
      </c>
      <c r="C21" s="66">
        <v>6481</v>
      </c>
      <c r="D21" s="33"/>
      <c r="E21" s="33"/>
      <c r="F21" s="33"/>
      <c r="G21" s="33"/>
      <c r="H21" s="33"/>
      <c r="I21" s="33"/>
      <c r="J21" s="33"/>
    </row>
    <row r="22" spans="1:10" x14ac:dyDescent="0.25">
      <c r="A22" s="33"/>
      <c r="B22" s="71"/>
      <c r="C22" s="72"/>
      <c r="D22" s="33"/>
      <c r="E22" s="33"/>
      <c r="F22" s="33"/>
      <c r="G22" s="33"/>
      <c r="H22" s="33"/>
      <c r="I22" s="33"/>
      <c r="J22" s="33"/>
    </row>
    <row r="23" spans="1:10" x14ac:dyDescent="0.25">
      <c r="A23" s="33"/>
      <c r="B23" s="33"/>
      <c r="C23" s="55"/>
      <c r="D23" s="33"/>
      <c r="E23" s="33"/>
      <c r="F23" s="33"/>
      <c r="G23" s="33"/>
      <c r="H23" s="33"/>
      <c r="I23" s="33"/>
      <c r="J23" s="33"/>
    </row>
    <row r="24" spans="1:10" x14ac:dyDescent="0.25">
      <c r="A24" s="33"/>
      <c r="B24" s="33"/>
      <c r="C24" s="55"/>
      <c r="D24" s="33"/>
      <c r="E24" s="33"/>
      <c r="F24" s="33"/>
      <c r="G24" s="33"/>
      <c r="H24" s="33"/>
      <c r="I24" s="33"/>
      <c r="J24" s="33"/>
    </row>
    <row r="25" spans="1:10" ht="18.75" x14ac:dyDescent="0.25">
      <c r="A25" s="33"/>
      <c r="B25" s="56" t="s">
        <v>136</v>
      </c>
      <c r="C25" s="57"/>
      <c r="D25" s="33"/>
      <c r="E25" s="33"/>
      <c r="F25" s="33"/>
      <c r="G25" s="33"/>
      <c r="H25" s="33"/>
      <c r="I25" s="33"/>
      <c r="J25" s="33"/>
    </row>
    <row r="26" spans="1:10" x14ac:dyDescent="0.25">
      <c r="A26" s="33"/>
      <c r="B26" s="33"/>
      <c r="C26" s="55"/>
      <c r="D26" s="33"/>
      <c r="E26" s="33"/>
      <c r="F26" s="33"/>
      <c r="G26" s="33"/>
      <c r="H26" s="33"/>
      <c r="I26" s="33"/>
      <c r="J26" s="33"/>
    </row>
    <row r="27" spans="1:10" x14ac:dyDescent="0.25">
      <c r="A27" s="33"/>
      <c r="B27" s="73" t="s">
        <v>137</v>
      </c>
      <c r="C27" s="55"/>
      <c r="D27" s="33"/>
      <c r="E27" s="33"/>
      <c r="F27" s="33"/>
      <c r="G27" s="33"/>
      <c r="H27" s="33"/>
      <c r="I27" s="33"/>
      <c r="J27" s="33"/>
    </row>
    <row r="28" spans="1:10" x14ac:dyDescent="0.25">
      <c r="A28" s="33"/>
      <c r="B28" s="64" t="s">
        <v>138</v>
      </c>
      <c r="C28" s="74">
        <f>'[2]Benefit Calculations'!M35</f>
        <v>913.91455373444137</v>
      </c>
      <c r="D28" s="33"/>
      <c r="E28" s="33"/>
      <c r="F28" s="33"/>
      <c r="G28" s="33"/>
      <c r="H28" s="33"/>
      <c r="I28" s="33"/>
      <c r="J28" s="33"/>
    </row>
    <row r="29" spans="1:10" x14ac:dyDescent="0.25">
      <c r="A29" s="33"/>
      <c r="B29" s="64" t="s">
        <v>139</v>
      </c>
      <c r="C29" s="74">
        <f>'[2]Benefit Calculations'!Q35</f>
        <v>156772.62679864088</v>
      </c>
      <c r="D29" s="33"/>
      <c r="E29" s="33"/>
      <c r="F29" s="33"/>
      <c r="G29" s="33"/>
      <c r="H29" s="33"/>
      <c r="I29" s="33"/>
      <c r="J29" s="33"/>
    </row>
    <row r="30" spans="1:10" x14ac:dyDescent="0.25">
      <c r="A30" s="33"/>
      <c r="B30" s="33"/>
      <c r="C30" s="75"/>
      <c r="D30" s="33"/>
      <c r="E30" s="33"/>
      <c r="F30" s="33"/>
      <c r="G30" s="33"/>
      <c r="H30" s="33"/>
      <c r="I30" s="33"/>
      <c r="J30" s="33"/>
    </row>
    <row r="31" spans="1:10" x14ac:dyDescent="0.25">
      <c r="A31" s="33"/>
      <c r="B31" s="73" t="s">
        <v>140</v>
      </c>
      <c r="C31" s="75"/>
      <c r="D31" s="33"/>
      <c r="E31" s="33"/>
      <c r="F31" s="33"/>
      <c r="G31" s="33"/>
      <c r="H31" s="33"/>
      <c r="I31" s="33"/>
      <c r="J31" s="33"/>
    </row>
    <row r="32" spans="1:10" x14ac:dyDescent="0.25">
      <c r="A32" s="33"/>
      <c r="B32" s="64" t="s">
        <v>141</v>
      </c>
      <c r="C32" s="74">
        <f>$C$28+$C$29</f>
        <v>157686.54135237532</v>
      </c>
      <c r="D32" s="33"/>
      <c r="E32" s="33"/>
      <c r="F32" s="33"/>
      <c r="G32" s="33"/>
      <c r="H32" s="33"/>
      <c r="I32" s="33"/>
      <c r="J32" s="33"/>
    </row>
    <row r="33" spans="1:10" x14ac:dyDescent="0.25">
      <c r="A33" s="33"/>
      <c r="B33" s="33"/>
      <c r="C33" s="55"/>
      <c r="D33" s="33"/>
      <c r="E33" s="33"/>
      <c r="F33" s="33"/>
      <c r="G33" s="33"/>
      <c r="H33" s="33"/>
      <c r="I33" s="33"/>
      <c r="J33" s="76"/>
    </row>
    <row r="34" spans="1:10" x14ac:dyDescent="0.25">
      <c r="A34" s="33"/>
      <c r="B34" s="73" t="s">
        <v>142</v>
      </c>
      <c r="C34" s="55"/>
      <c r="D34" s="33"/>
      <c r="E34" s="33"/>
      <c r="F34" s="33"/>
      <c r="G34" s="33"/>
      <c r="H34" s="33"/>
      <c r="I34" s="33"/>
      <c r="J34" s="33"/>
    </row>
    <row r="35" spans="1:10" x14ac:dyDescent="0.25">
      <c r="A35" s="33"/>
      <c r="B35" s="64" t="s">
        <v>143</v>
      </c>
      <c r="C35" s="77">
        <f>'[2]Benefit Calculations'!K35</f>
        <v>0.12857436324939236</v>
      </c>
      <c r="D35" s="33"/>
      <c r="E35" s="33"/>
      <c r="F35" s="33"/>
      <c r="G35" s="33"/>
      <c r="H35" s="33"/>
      <c r="I35" s="33"/>
      <c r="J35" s="33"/>
    </row>
    <row r="36" spans="1:10" x14ac:dyDescent="0.25">
      <c r="A36" s="33"/>
      <c r="B36" s="64" t="s">
        <v>144</v>
      </c>
      <c r="C36" s="77">
        <f>'[2]Benefit Calculations'!O35</f>
        <v>0.46539341039911619</v>
      </c>
      <c r="D36" s="33"/>
      <c r="E36" s="33"/>
      <c r="F36" s="33"/>
      <c r="G36" s="33"/>
      <c r="H36" s="33"/>
      <c r="I36" s="33"/>
      <c r="J36" s="33"/>
    </row>
    <row r="37" spans="1:10" x14ac:dyDescent="0.25">
      <c r="A37" s="33"/>
      <c r="B37" s="33"/>
      <c r="C37" s="55"/>
      <c r="D37" s="33"/>
      <c r="E37" s="33"/>
      <c r="F37" s="33"/>
      <c r="G37" s="33"/>
      <c r="H37" s="33"/>
      <c r="I37" s="33"/>
      <c r="J37" s="33"/>
    </row>
    <row r="38" spans="1:10" x14ac:dyDescent="0.25">
      <c r="A38" s="33"/>
      <c r="B38" s="33"/>
      <c r="C38" s="55"/>
      <c r="D38" s="33"/>
      <c r="E38" s="33"/>
      <c r="F38" s="33"/>
      <c r="G38" s="33"/>
      <c r="H38" s="33"/>
      <c r="I38" s="33"/>
      <c r="J38" s="33"/>
    </row>
  </sheetData>
  <mergeCells count="4">
    <mergeCell ref="K2:R2"/>
    <mergeCell ref="K3:N3"/>
    <mergeCell ref="K4:N4"/>
    <mergeCell ref="K5:N5"/>
  </mergeCells>
  <dataValidations count="1">
    <dataValidation operator="lessThanOrEqual" allowBlank="1" showInputMessage="1" showErrorMessage="1" error="Volume Must Be Less Than Stated Capacity" sqref="C15" xr:uid="{585D18CE-3118-4174-B9E6-F98275B6B449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6B2-81E1-4A15-8ACC-D1F71076F3EA}">
  <dimension ref="A1:I46"/>
  <sheetViews>
    <sheetView workbookViewId="0">
      <selection activeCell="G47" sqref="G47"/>
    </sheetView>
  </sheetViews>
  <sheetFormatPr defaultRowHeight="15" x14ac:dyDescent="0.25"/>
  <cols>
    <col min="1" max="1" width="33.7109375" bestFit="1" customWidth="1"/>
    <col min="2" max="2" width="12.42578125" bestFit="1" customWidth="1"/>
    <col min="6" max="6" width="33.7109375" bestFit="1" customWidth="1"/>
    <col min="7" max="7" width="12.42578125" bestFit="1" customWidth="1"/>
  </cols>
  <sheetData>
    <row r="1" spans="1:2" ht="15.75" thickBot="1" x14ac:dyDescent="0.3">
      <c r="A1" s="15" t="s">
        <v>51</v>
      </c>
      <c r="B1" s="16" t="s">
        <v>52</v>
      </c>
    </row>
    <row r="2" spans="1:2" x14ac:dyDescent="0.25">
      <c r="A2" s="18" t="s">
        <v>53</v>
      </c>
      <c r="B2" s="18" t="s">
        <v>52</v>
      </c>
    </row>
    <row r="3" spans="1:2" x14ac:dyDescent="0.25">
      <c r="A3" t="s">
        <v>54</v>
      </c>
    </row>
    <row r="4" spans="1:2" ht="15.75" thickBot="1" x14ac:dyDescent="0.3"/>
    <row r="5" spans="1:2" ht="15.75" thickBot="1" x14ac:dyDescent="0.3">
      <c r="A5" s="15" t="s">
        <v>78</v>
      </c>
      <c r="B5" s="16" t="s">
        <v>55</v>
      </c>
    </row>
    <row r="6" spans="1:2" x14ac:dyDescent="0.25">
      <c r="A6" s="109" t="s">
        <v>56</v>
      </c>
      <c r="B6" s="109"/>
    </row>
    <row r="7" spans="1:2" x14ac:dyDescent="0.25">
      <c r="A7" s="113" t="s">
        <v>57</v>
      </c>
      <c r="B7" s="113" t="s">
        <v>50</v>
      </c>
    </row>
    <row r="8" spans="1:2" x14ac:dyDescent="0.25">
      <c r="A8" s="2" t="s">
        <v>58</v>
      </c>
      <c r="B8" s="2">
        <f>186+164</f>
        <v>350</v>
      </c>
    </row>
    <row r="9" spans="1:2" x14ac:dyDescent="0.25">
      <c r="A9" s="2" t="s">
        <v>59</v>
      </c>
      <c r="B9" s="2">
        <f>890+2643</f>
        <v>3533</v>
      </c>
    </row>
    <row r="10" spans="1:2" x14ac:dyDescent="0.25">
      <c r="A10" s="2" t="s">
        <v>60</v>
      </c>
      <c r="B10" s="2">
        <v>304</v>
      </c>
    </row>
    <row r="11" spans="1:2" x14ac:dyDescent="0.25">
      <c r="A11" s="2" t="s">
        <v>61</v>
      </c>
      <c r="B11" s="2">
        <v>398</v>
      </c>
    </row>
    <row r="12" spans="1:2" x14ac:dyDescent="0.25">
      <c r="A12" s="2" t="s">
        <v>62</v>
      </c>
      <c r="B12" s="2">
        <v>84</v>
      </c>
    </row>
    <row r="13" spans="1:2" x14ac:dyDescent="0.25">
      <c r="A13" s="2" t="s">
        <v>63</v>
      </c>
      <c r="B13" s="2">
        <v>430</v>
      </c>
    </row>
    <row r="14" spans="1:2" x14ac:dyDescent="0.25">
      <c r="A14" s="2" t="s">
        <v>64</v>
      </c>
      <c r="B14" s="2">
        <v>5405</v>
      </c>
    </row>
    <row r="15" spans="1:2" x14ac:dyDescent="0.25">
      <c r="A15" s="2" t="s">
        <v>65</v>
      </c>
      <c r="B15" s="114">
        <f>B8/B14</f>
        <v>6.475485661424607E-2</v>
      </c>
    </row>
    <row r="16" spans="1:2" x14ac:dyDescent="0.25">
      <c r="A16" s="2" t="s">
        <v>66</v>
      </c>
      <c r="B16" s="114">
        <f>B9/B14</f>
        <v>0.65365402405180384</v>
      </c>
    </row>
    <row r="17" spans="1:9" ht="15.75" thickBot="1" x14ac:dyDescent="0.3"/>
    <row r="18" spans="1:9" ht="15.75" thickBot="1" x14ac:dyDescent="0.3">
      <c r="A18" s="15" t="s">
        <v>101</v>
      </c>
      <c r="B18" s="110" t="s">
        <v>77</v>
      </c>
      <c r="C18" s="111"/>
      <c r="F18" s="15" t="s">
        <v>171</v>
      </c>
      <c r="G18" s="110" t="s">
        <v>77</v>
      </c>
      <c r="H18" s="111"/>
    </row>
    <row r="19" spans="1:9" x14ac:dyDescent="0.25">
      <c r="A19" s="89" t="s">
        <v>67</v>
      </c>
      <c r="B19" s="89"/>
      <c r="F19" s="89" t="s">
        <v>67</v>
      </c>
      <c r="G19" s="89"/>
    </row>
    <row r="20" spans="1:9" x14ac:dyDescent="0.25">
      <c r="A20" s="18" t="s">
        <v>57</v>
      </c>
      <c r="B20" s="18" t="s">
        <v>50</v>
      </c>
      <c r="C20" s="17" t="s">
        <v>76</v>
      </c>
      <c r="F20" s="18" t="s">
        <v>57</v>
      </c>
      <c r="G20" s="18" t="s">
        <v>50</v>
      </c>
      <c r="H20" s="17" t="s">
        <v>76</v>
      </c>
    </row>
    <row r="21" spans="1:9" x14ac:dyDescent="0.25">
      <c r="A21" s="2" t="s">
        <v>68</v>
      </c>
      <c r="B21" s="2">
        <v>81322</v>
      </c>
      <c r="C21" s="2"/>
      <c r="F21" s="2" t="s">
        <v>68</v>
      </c>
      <c r="G21" s="2">
        <v>49957</v>
      </c>
      <c r="H21" s="2"/>
    </row>
    <row r="22" spans="1:9" x14ac:dyDescent="0.25">
      <c r="A22" s="2" t="s">
        <v>69</v>
      </c>
      <c r="B22" s="2">
        <v>18.399999999999999</v>
      </c>
      <c r="C22" s="2"/>
      <c r="F22" s="2" t="s">
        <v>69</v>
      </c>
      <c r="G22" s="2">
        <v>19.600000000000001</v>
      </c>
      <c r="H22" s="2"/>
    </row>
    <row r="23" spans="1:9" x14ac:dyDescent="0.25">
      <c r="A23" s="2" t="s">
        <v>71</v>
      </c>
      <c r="B23" s="2">
        <v>101165</v>
      </c>
      <c r="C23" s="2"/>
      <c r="F23" s="2" t="s">
        <v>71</v>
      </c>
      <c r="G23" s="2">
        <v>62781</v>
      </c>
      <c r="H23" s="2"/>
    </row>
    <row r="24" spans="1:9" x14ac:dyDescent="0.25">
      <c r="A24" s="2" t="s">
        <v>70</v>
      </c>
      <c r="B24" s="2">
        <v>150186</v>
      </c>
      <c r="C24" s="4">
        <f>(B24-B23)/B23</f>
        <v>0.48456481984876193</v>
      </c>
      <c r="F24" s="2" t="s">
        <v>70</v>
      </c>
      <c r="G24" s="2">
        <v>79326</v>
      </c>
      <c r="H24" s="4">
        <f>(G24-G23)/G23</f>
        <v>0.26353514598365746</v>
      </c>
    </row>
    <row r="25" spans="1:9" x14ac:dyDescent="0.25">
      <c r="A25" s="2" t="s">
        <v>72</v>
      </c>
      <c r="B25" s="2">
        <v>8614</v>
      </c>
      <c r="C25" s="2"/>
      <c r="F25" s="2" t="s">
        <v>72</v>
      </c>
      <c r="G25" s="2">
        <v>3434</v>
      </c>
      <c r="H25" s="2"/>
    </row>
    <row r="26" spans="1:9" x14ac:dyDescent="0.25">
      <c r="A26" s="2" t="s">
        <v>73</v>
      </c>
      <c r="B26" s="2">
        <v>19307</v>
      </c>
      <c r="C26" s="4">
        <f>(B26-B25)/B25</f>
        <v>1.2413512885999536</v>
      </c>
      <c r="F26" s="2" t="s">
        <v>73</v>
      </c>
      <c r="G26" s="2">
        <v>11255</v>
      </c>
      <c r="H26" s="4">
        <f>(G26-G25)/G25</f>
        <v>2.2775189283634245</v>
      </c>
    </row>
    <row r="27" spans="1:9" x14ac:dyDescent="0.25">
      <c r="A27" s="2" t="s">
        <v>74</v>
      </c>
      <c r="B27" s="2">
        <v>31937</v>
      </c>
      <c r="C27" s="2"/>
      <c r="F27" s="2" t="s">
        <v>74</v>
      </c>
      <c r="G27" s="2">
        <v>19068</v>
      </c>
      <c r="H27" s="2"/>
    </row>
    <row r="28" spans="1:9" x14ac:dyDescent="0.25">
      <c r="A28" s="2" t="s">
        <v>75</v>
      </c>
      <c r="B28" s="2">
        <v>51915</v>
      </c>
      <c r="C28" s="4">
        <f>(B28-B27)/B27</f>
        <v>0.62554403982841222</v>
      </c>
      <c r="F28" s="2" t="s">
        <v>75</v>
      </c>
      <c r="G28" s="2">
        <v>26752</v>
      </c>
      <c r="H28" s="4">
        <f>(G28-G27)/G27</f>
        <v>0.40297881267044261</v>
      </c>
    </row>
    <row r="30" spans="1:9" x14ac:dyDescent="0.25">
      <c r="A30" s="88" t="s">
        <v>152</v>
      </c>
      <c r="B30" s="115"/>
      <c r="C30" s="115"/>
      <c r="D30" s="116"/>
      <c r="F30" s="112" t="s">
        <v>172</v>
      </c>
      <c r="G30" s="112"/>
      <c r="H30" s="112"/>
      <c r="I30" s="112"/>
    </row>
    <row r="31" spans="1:9" x14ac:dyDescent="0.25">
      <c r="A31" s="2" t="s">
        <v>94</v>
      </c>
      <c r="B31" s="2" t="s">
        <v>95</v>
      </c>
      <c r="C31" s="2" t="s">
        <v>96</v>
      </c>
      <c r="D31" s="2" t="s">
        <v>195</v>
      </c>
      <c r="F31" s="2" t="s">
        <v>94</v>
      </c>
      <c r="G31" s="2" t="s">
        <v>95</v>
      </c>
      <c r="H31" s="2" t="s">
        <v>96</v>
      </c>
      <c r="I31" s="2" t="s">
        <v>195</v>
      </c>
    </row>
    <row r="32" spans="1:9" x14ac:dyDescent="0.25">
      <c r="A32" s="2" t="s">
        <v>97</v>
      </c>
      <c r="B32" s="2">
        <v>8508.89</v>
      </c>
      <c r="C32" s="2">
        <v>9818.9599999999991</v>
      </c>
      <c r="D32" s="4">
        <f>(C32-B32)/B32</f>
        <v>0.15396485322997475</v>
      </c>
      <c r="F32" s="2" t="s">
        <v>97</v>
      </c>
      <c r="G32" s="2">
        <v>5248.39</v>
      </c>
      <c r="H32" s="2">
        <v>5611.9</v>
      </c>
      <c r="I32" s="4">
        <f>(H32-G32)/G32</f>
        <v>6.9261240113634714E-2</v>
      </c>
    </row>
    <row r="33" spans="1:9" x14ac:dyDescent="0.25">
      <c r="A33" s="2" t="s">
        <v>98</v>
      </c>
      <c r="B33" s="2">
        <v>616.28</v>
      </c>
      <c r="C33" s="2">
        <v>642.79</v>
      </c>
      <c r="D33" s="4">
        <f t="shared" ref="D33:D35" si="0">(C33-B33)/B33</f>
        <v>4.3016161485039256E-2</v>
      </c>
      <c r="F33" s="2" t="s">
        <v>98</v>
      </c>
      <c r="G33" s="2">
        <v>159.37</v>
      </c>
      <c r="H33" s="2">
        <v>180.43</v>
      </c>
      <c r="I33" s="4">
        <f t="shared" ref="I33:I35" si="1">(H33-G33)/G33</f>
        <v>0.13214532220618688</v>
      </c>
    </row>
    <row r="34" spans="1:9" x14ac:dyDescent="0.25">
      <c r="A34" s="2" t="s">
        <v>100</v>
      </c>
      <c r="B34" s="2">
        <v>166.7</v>
      </c>
      <c r="C34" s="2">
        <v>226.1</v>
      </c>
      <c r="D34" s="4">
        <f t="shared" si="0"/>
        <v>0.35632873425314943</v>
      </c>
      <c r="F34" s="2" t="s">
        <v>100</v>
      </c>
      <c r="G34" s="2">
        <v>55.21</v>
      </c>
      <c r="H34" s="2">
        <v>94.26</v>
      </c>
      <c r="I34" s="4">
        <f t="shared" si="1"/>
        <v>0.70729940228219534</v>
      </c>
    </row>
    <row r="35" spans="1:9" x14ac:dyDescent="0.25">
      <c r="A35" s="2" t="s">
        <v>99</v>
      </c>
      <c r="B35" s="2">
        <v>702.35</v>
      </c>
      <c r="C35" s="2">
        <v>2665.47</v>
      </c>
      <c r="D35" s="4">
        <f t="shared" si="0"/>
        <v>2.7950736812130703</v>
      </c>
      <c r="F35" s="2" t="s">
        <v>99</v>
      </c>
      <c r="G35" s="2">
        <v>335.74</v>
      </c>
      <c r="H35" s="2">
        <v>1356.15</v>
      </c>
      <c r="I35" s="4">
        <f t="shared" si="1"/>
        <v>3.0392863525346998</v>
      </c>
    </row>
    <row r="42" spans="1:9" x14ac:dyDescent="0.25">
      <c r="A42" s="24"/>
      <c r="B42" s="23"/>
    </row>
    <row r="43" spans="1:9" x14ac:dyDescent="0.25">
      <c r="B43" s="2"/>
    </row>
    <row r="44" spans="1:9" x14ac:dyDescent="0.25">
      <c r="B44" s="2"/>
    </row>
    <row r="45" spans="1:9" x14ac:dyDescent="0.25">
      <c r="A45" s="2"/>
      <c r="B45" s="2"/>
    </row>
    <row r="46" spans="1:9" x14ac:dyDescent="0.25">
      <c r="A46" s="2"/>
      <c r="B46" s="2"/>
    </row>
  </sheetData>
  <mergeCells count="7">
    <mergeCell ref="A6:B6"/>
    <mergeCell ref="A19:B19"/>
    <mergeCell ref="B18:C18"/>
    <mergeCell ref="G18:H18"/>
    <mergeCell ref="F19:G19"/>
    <mergeCell ref="A30:D30"/>
    <mergeCell ref="F30:I30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C6CA-2FDA-4112-906E-78F560109038}">
  <dimension ref="A1:G13"/>
  <sheetViews>
    <sheetView workbookViewId="0">
      <selection activeCell="D13" sqref="D13"/>
    </sheetView>
  </sheetViews>
  <sheetFormatPr defaultRowHeight="15" x14ac:dyDescent="0.25"/>
  <cols>
    <col min="2" max="2" width="51" customWidth="1"/>
    <col min="3" max="3" width="12.28515625" customWidth="1"/>
    <col min="4" max="4" width="21.5703125" bestFit="1" customWidth="1"/>
    <col min="5" max="5" width="27.7109375" customWidth="1"/>
    <col min="6" max="6" width="44.5703125" customWidth="1"/>
    <col min="7" max="7" width="48.7109375" customWidth="1"/>
  </cols>
  <sheetData>
    <row r="1" spans="1:7" x14ac:dyDescent="0.25">
      <c r="A1" t="s">
        <v>79</v>
      </c>
      <c r="B1" s="25" t="s">
        <v>80</v>
      </c>
      <c r="C1" s="25" t="s">
        <v>81</v>
      </c>
      <c r="D1" s="25" t="s">
        <v>82</v>
      </c>
      <c r="E1" s="25" t="s">
        <v>83</v>
      </c>
      <c r="F1" s="26" t="s">
        <v>84</v>
      </c>
      <c r="G1" s="27" t="s">
        <v>85</v>
      </c>
    </row>
    <row r="2" spans="1:7" ht="30" x14ac:dyDescent="0.25">
      <c r="A2">
        <v>1</v>
      </c>
      <c r="B2" s="28" t="s">
        <v>173</v>
      </c>
      <c r="C2" s="29">
        <v>101</v>
      </c>
      <c r="D2" s="30">
        <v>0.2</v>
      </c>
      <c r="E2" s="29">
        <v>6</v>
      </c>
      <c r="F2" s="31" t="s">
        <v>174</v>
      </c>
      <c r="G2" s="32" t="s">
        <v>175</v>
      </c>
    </row>
    <row r="3" spans="1:7" x14ac:dyDescent="0.25">
      <c r="A3">
        <v>2</v>
      </c>
      <c r="B3" s="28" t="s">
        <v>176</v>
      </c>
      <c r="C3" s="29">
        <v>132</v>
      </c>
      <c r="D3" s="30">
        <v>0.1</v>
      </c>
      <c r="E3" s="29">
        <v>10</v>
      </c>
      <c r="F3" s="31" t="s">
        <v>177</v>
      </c>
      <c r="G3" s="31" t="s">
        <v>177</v>
      </c>
    </row>
    <row r="4" spans="1:7" ht="45" x14ac:dyDescent="0.25">
      <c r="A4">
        <v>3</v>
      </c>
      <c r="B4" s="28" t="s">
        <v>178</v>
      </c>
      <c r="C4" s="29">
        <v>203</v>
      </c>
      <c r="D4" s="30">
        <v>0.25</v>
      </c>
      <c r="E4" s="29">
        <v>20</v>
      </c>
      <c r="F4" s="31" t="s">
        <v>174</v>
      </c>
      <c r="G4" s="32" t="s">
        <v>179</v>
      </c>
    </row>
    <row r="5" spans="1:7" ht="30" x14ac:dyDescent="0.25">
      <c r="A5">
        <v>4</v>
      </c>
      <c r="B5" s="28" t="s">
        <v>180</v>
      </c>
      <c r="C5" s="29">
        <v>401</v>
      </c>
      <c r="D5" s="30">
        <v>0.2</v>
      </c>
      <c r="E5" s="29">
        <v>2</v>
      </c>
      <c r="F5" s="31" t="s">
        <v>174</v>
      </c>
      <c r="G5" s="32" t="s">
        <v>181</v>
      </c>
    </row>
    <row r="6" spans="1:7" x14ac:dyDescent="0.25">
      <c r="A6">
        <v>5</v>
      </c>
      <c r="B6" s="28" t="s">
        <v>182</v>
      </c>
      <c r="C6" s="29">
        <v>402</v>
      </c>
      <c r="D6" s="30">
        <v>0.25</v>
      </c>
      <c r="E6" s="29">
        <v>2</v>
      </c>
      <c r="F6" s="31" t="s">
        <v>174</v>
      </c>
      <c r="G6" s="32" t="s">
        <v>183</v>
      </c>
    </row>
    <row r="7" spans="1:7" x14ac:dyDescent="0.25">
      <c r="A7">
        <v>6</v>
      </c>
      <c r="B7" s="32" t="s">
        <v>184</v>
      </c>
      <c r="C7" s="29">
        <v>403</v>
      </c>
      <c r="D7" s="30">
        <v>0.1</v>
      </c>
      <c r="E7" s="29">
        <v>2</v>
      </c>
      <c r="F7" s="80" t="s">
        <v>177</v>
      </c>
      <c r="G7" s="32" t="s">
        <v>177</v>
      </c>
    </row>
    <row r="8" spans="1:7" x14ac:dyDescent="0.25">
      <c r="A8">
        <v>7</v>
      </c>
      <c r="B8" s="28" t="s">
        <v>185</v>
      </c>
      <c r="C8" s="29">
        <v>407</v>
      </c>
      <c r="D8" s="79">
        <v>0.65</v>
      </c>
      <c r="E8" s="29">
        <v>10</v>
      </c>
      <c r="F8" s="80" t="s">
        <v>177</v>
      </c>
      <c r="G8" s="32" t="s">
        <v>177</v>
      </c>
    </row>
    <row r="9" spans="1:7" ht="30" x14ac:dyDescent="0.25">
      <c r="A9">
        <v>8</v>
      </c>
      <c r="B9" s="28" t="s">
        <v>186</v>
      </c>
      <c r="C9" s="29">
        <v>519</v>
      </c>
      <c r="D9" s="30">
        <v>0.25</v>
      </c>
      <c r="E9" s="29">
        <v>10</v>
      </c>
      <c r="F9" s="80" t="s">
        <v>187</v>
      </c>
      <c r="G9" s="32" t="s">
        <v>188</v>
      </c>
    </row>
    <row r="10" spans="1:7" ht="30" x14ac:dyDescent="0.25">
      <c r="A10">
        <v>9</v>
      </c>
      <c r="B10" s="28" t="s">
        <v>189</v>
      </c>
      <c r="C10" s="29">
        <v>538</v>
      </c>
      <c r="D10" s="30">
        <v>0.45</v>
      </c>
      <c r="E10" s="29">
        <v>20</v>
      </c>
      <c r="F10" s="31" t="s">
        <v>174</v>
      </c>
      <c r="G10" s="32" t="s">
        <v>181</v>
      </c>
    </row>
    <row r="11" spans="1:7" x14ac:dyDescent="0.25">
      <c r="B11" s="33"/>
      <c r="C11" s="14"/>
      <c r="D11" s="85"/>
      <c r="E11" s="14"/>
      <c r="F11" s="84"/>
      <c r="G11" s="86"/>
    </row>
    <row r="12" spans="1:7" x14ac:dyDescent="0.25">
      <c r="B12" s="33"/>
      <c r="C12" s="14"/>
      <c r="D12" s="81"/>
      <c r="E12" s="14"/>
      <c r="F12" s="82"/>
    </row>
    <row r="13" spans="1:7" x14ac:dyDescent="0.25">
      <c r="B13" s="117" t="s">
        <v>86</v>
      </c>
      <c r="C13" s="5"/>
      <c r="D13" s="118">
        <f>1-((1-D2)*(1-D3)*(1-D4)*(1-D5)*(1-D6)*(1-D7)*(1-D8)*(1-D9)*(1-D10))</f>
        <v>0.95790025000000001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TDM</vt:lpstr>
      <vt:lpstr>Traffic</vt:lpstr>
      <vt:lpstr>Emissions</vt:lpstr>
      <vt:lpstr>Demographics</vt:lpstr>
      <vt:lpstr>CRF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Manthan Gajera</dc:creator>
  <cp:lastModifiedBy>Manthan Gajera</cp:lastModifiedBy>
  <dcterms:created xsi:type="dcterms:W3CDTF">2015-06-05T18:17:20Z</dcterms:created>
  <dcterms:modified xsi:type="dcterms:W3CDTF">2024-02-12T22:27:41Z</dcterms:modified>
</cp:coreProperties>
</file>