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netorgft4168179-my.sharepoint.com/personal/ashish_loney_aigtechnical_com/Documents/AIG2/Projects2/2319_HGAC_CFP_FBC/04_Technical/41_Data Collection/Project related data/16_Fort Bend Pkwy/"/>
    </mc:Choice>
  </mc:AlternateContent>
  <xr:revisionPtr revIDLastSave="449" documentId="11_F25DC773A252ABDACC10480171DC540E5BDE58ED" xr6:coauthVersionLast="47" xr6:coauthVersionMax="47" xr10:uidLastSave="{0CFB144C-3C5A-4F6A-81A1-61A9B7CD827B}"/>
  <bookViews>
    <workbookView xWindow="-120" yWindow="-120" windowWidth="29040" windowHeight="15720" activeTab="1" xr2:uid="{00000000-000D-0000-FFFF-FFFF00000000}"/>
  </bookViews>
  <sheets>
    <sheet name="TDM" sheetId="1" r:id="rId1"/>
    <sheet name="Traffic" sheetId="3" r:id="rId2"/>
    <sheet name="Emissions" sheetId="5" r:id="rId3"/>
    <sheet name="Demographics" sheetId="2" r:id="rId4"/>
    <sheet name="CRF" sheetId="4"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 l="1"/>
  <c r="D46" i="2"/>
  <c r="D45" i="2"/>
  <c r="D44" i="2"/>
  <c r="D11" i="4"/>
  <c r="C36" i="5"/>
  <c r="C35" i="5"/>
  <c r="C29" i="5"/>
  <c r="C28" i="5"/>
  <c r="C18" i="5"/>
  <c r="Q5" i="5"/>
  <c r="P5" i="5"/>
  <c r="O5" i="5"/>
  <c r="R4" i="5"/>
  <c r="D17" i="3"/>
  <c r="D15" i="3"/>
  <c r="D14" i="3"/>
  <c r="D13" i="3"/>
  <c r="D16" i="3"/>
  <c r="H8" i="3"/>
  <c r="G8" i="3"/>
  <c r="F8" i="3"/>
  <c r="D8" i="3"/>
  <c r="AP11" i="1"/>
  <c r="AE11" i="1"/>
  <c r="AG11" i="1"/>
  <c r="AA11" i="1"/>
  <c r="Y11" i="1"/>
  <c r="S11" i="1"/>
  <c r="J11" i="1"/>
  <c r="P11" i="1"/>
  <c r="U11" i="1"/>
  <c r="U5" i="1"/>
  <c r="U10" i="1"/>
  <c r="P10" i="1"/>
  <c r="P5" i="1"/>
  <c r="J10" i="1"/>
  <c r="J5" i="1"/>
  <c r="C39" i="2"/>
  <c r="C37" i="2"/>
  <c r="C35" i="2"/>
  <c r="C32" i="5" l="1"/>
  <c r="R5" i="5"/>
  <c r="D18" i="3"/>
  <c r="E13" i="2" l="1"/>
  <c r="E14" i="2"/>
  <c r="E21" i="2"/>
  <c r="E20" i="2"/>
  <c r="V4" i="3"/>
  <c r="V7" i="3" s="1"/>
  <c r="B14" i="2"/>
  <c r="B21" i="2" s="1"/>
  <c r="B13" i="2"/>
  <c r="B20" i="2" s="1"/>
  <c r="B4" i="2" a="1"/>
  <c r="B4" i="2" s="1"/>
  <c r="B8" i="2" s="1"/>
  <c r="S33" i="3"/>
  <c r="S3"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2" i="3"/>
  <c r="R33" i="3"/>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2" i="3"/>
  <c r="Q33" i="3"/>
  <c r="P3" i="3"/>
  <c r="P33" i="3" s="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2" i="3"/>
  <c r="L3" i="3"/>
  <c r="L2" i="3"/>
  <c r="L4" i="3"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5">
    <bk>
      <extLst>
        <ext uri="{3e2802c4-a4d2-4d8b-9148-e3be6c30e623}">
          <xlrd:rvb i="0"/>
        </ext>
      </extLst>
    </bk>
    <bk>
      <extLst>
        <ext uri="{3e2802c4-a4d2-4d8b-9148-e3be6c30e623}">
          <xlrd:rvb i="12"/>
        </ext>
      </extLst>
    </bk>
    <bk>
      <extLst>
        <ext uri="{3e2802c4-a4d2-4d8b-9148-e3be6c30e623}">
          <xlrd:rvb i="18"/>
        </ext>
      </extLst>
    </bk>
    <bk>
      <extLst>
        <ext uri="{3e2802c4-a4d2-4d8b-9148-e3be6c30e623}">
          <xlrd:rvb i="20"/>
        </ext>
      </extLst>
    </bk>
    <bk>
      <extLst>
        <ext uri="{3e2802c4-a4d2-4d8b-9148-e3be6c30e623}">
          <xlrd:rvb i="28"/>
        </ext>
      </extLst>
    </bk>
  </futureMetadata>
  <cellMetadata count="1">
    <bk>
      <rc t="1" v="0"/>
    </bk>
  </cellMetadata>
  <valueMetadata count="5">
    <bk>
      <rc t="2" v="0"/>
    </bk>
    <bk>
      <rc t="2" v="1"/>
    </bk>
    <bk>
      <rc t="2" v="2"/>
    </bk>
    <bk>
      <rc t="2" v="3"/>
    </bk>
    <bk>
      <rc t="2" v="4"/>
    </bk>
  </valueMetadata>
</metadata>
</file>

<file path=xl/sharedStrings.xml><?xml version="1.0" encoding="utf-8"?>
<sst xmlns="http://schemas.openxmlformats.org/spreadsheetml/2006/main" count="310" uniqueCount="212">
  <si>
    <t>FACILITY_N</t>
  </si>
  <si>
    <t>ABNODE</t>
  </si>
  <si>
    <t>A</t>
  </si>
  <si>
    <t>B</t>
  </si>
  <si>
    <t>LANES</t>
  </si>
  <si>
    <t>DISTANCE</t>
  </si>
  <si>
    <t>RTYPE</t>
  </si>
  <si>
    <t>AREA_TYP</t>
  </si>
  <si>
    <t>C</t>
  </si>
  <si>
    <t>OV11HRSPD</t>
  </si>
  <si>
    <t>OV11HRTIME</t>
  </si>
  <si>
    <t>FFSPD</t>
  </si>
  <si>
    <t>PMVOL</t>
  </si>
  <si>
    <t>PMTIME</t>
  </si>
  <si>
    <t>PM_VC</t>
  </si>
  <si>
    <t>PMVOL_T</t>
  </si>
  <si>
    <t>PM4HRSPD</t>
  </si>
  <si>
    <t>PM4HRTIME</t>
  </si>
  <si>
    <t>MDVOL</t>
  </si>
  <si>
    <t>MDTIME</t>
  </si>
  <si>
    <t>MD_VC</t>
  </si>
  <si>
    <t>MDVOL_T</t>
  </si>
  <si>
    <t>MD6HRSPD</t>
  </si>
  <si>
    <t>MD6HRTIME</t>
  </si>
  <si>
    <t>AMVOL</t>
  </si>
  <si>
    <t>AMTIME</t>
  </si>
  <si>
    <t>AM_VC</t>
  </si>
  <si>
    <t>AMVOL_T</t>
  </si>
  <si>
    <t>AM3HRSPD</t>
  </si>
  <si>
    <t>AM3HRTIME</t>
  </si>
  <si>
    <t>TOTVOL</t>
  </si>
  <si>
    <t>VMT</t>
  </si>
  <si>
    <t>AM3HRVHT</t>
  </si>
  <si>
    <t>MD6HRVHT</t>
  </si>
  <si>
    <t>PM4HRVHT</t>
  </si>
  <si>
    <t>OV11HRVHT</t>
  </si>
  <si>
    <t>HR24VHT</t>
  </si>
  <si>
    <t>TOTVOL_T</t>
  </si>
  <si>
    <t>TRUCKVHT</t>
  </si>
  <si>
    <t>Shape_Length</t>
  </si>
  <si>
    <t>Polyline</t>
  </si>
  <si>
    <t>Volume Growth</t>
  </si>
  <si>
    <t>HGAC TDM 2023</t>
  </si>
  <si>
    <t>Total Volume</t>
  </si>
  <si>
    <t>% growth</t>
  </si>
  <si>
    <t>HGAC TDM 2045</t>
  </si>
  <si>
    <t>Truck Percentage</t>
  </si>
  <si>
    <t>BMP</t>
  </si>
  <si>
    <t>EMP</t>
  </si>
  <si>
    <t>Length</t>
  </si>
  <si>
    <t>Truck Percent/100</t>
  </si>
  <si>
    <t>Weighted TRK_PCT</t>
  </si>
  <si>
    <t>City/Area</t>
  </si>
  <si>
    <t>Population</t>
  </si>
  <si>
    <t>Year</t>
  </si>
  <si>
    <t>Sienna</t>
  </si>
  <si>
    <t>Sienna Area</t>
  </si>
  <si>
    <t>Source</t>
  </si>
  <si>
    <t>HGAC DDE Table</t>
  </si>
  <si>
    <t>HGAC Demographic Data Explorer Table</t>
  </si>
  <si>
    <t>Data USA</t>
  </si>
  <si>
    <t>Data:</t>
  </si>
  <si>
    <t>EJ Population</t>
  </si>
  <si>
    <t>Demographic Data Explorer</t>
  </si>
  <si>
    <t>Attributes</t>
  </si>
  <si>
    <t>Value (1/4 mile buffer)</t>
  </si>
  <si>
    <t>Low-income population</t>
  </si>
  <si>
    <t>Minority population</t>
  </si>
  <si>
    <t>Population under poverty</t>
  </si>
  <si>
    <t>Disabled population</t>
  </si>
  <si>
    <t>Elderly population</t>
  </si>
  <si>
    <t>Limited English Prficiency Population</t>
  </si>
  <si>
    <t>Total Population</t>
  </si>
  <si>
    <t>% low-income population</t>
  </si>
  <si>
    <t>% mminority population</t>
  </si>
  <si>
    <t>Activity-Connectivity Explorer</t>
  </si>
  <si>
    <t>Liveable Center Need Index</t>
  </si>
  <si>
    <t>Crash Rate Caluclation</t>
  </si>
  <si>
    <t>Parameter</t>
  </si>
  <si>
    <t>Value</t>
  </si>
  <si>
    <t>Fatal Crashes</t>
  </si>
  <si>
    <t>Serious Injury Crashes</t>
  </si>
  <si>
    <t>Crashes</t>
  </si>
  <si>
    <t>V</t>
  </si>
  <si>
    <t>Crash rates</t>
  </si>
  <si>
    <t>N</t>
  </si>
  <si>
    <t>L</t>
  </si>
  <si>
    <t>R</t>
  </si>
  <si>
    <t>Data: (RTP 2045 Alignment)</t>
  </si>
  <si>
    <t>#</t>
  </si>
  <si>
    <t>Work Type (TxDOT HSIP)</t>
  </si>
  <si>
    <t>Work Code</t>
  </si>
  <si>
    <t>Crash Reduction Factor</t>
  </si>
  <si>
    <t>Service life</t>
  </si>
  <si>
    <t>Preventable Crash types</t>
  </si>
  <si>
    <t>Preventable Crash types (HSIP guidelines)</t>
  </si>
  <si>
    <t>Install Pavement Markings</t>
  </si>
  <si>
    <t>Non-Intersection related (Roadway Related)</t>
  </si>
  <si>
    <t>Roadway Related, Vehicle Movements/Manner of Collision</t>
  </si>
  <si>
    <t>Add Through Lane</t>
  </si>
  <si>
    <t>Vehicle Movements/Manner of Collision</t>
  </si>
  <si>
    <t>Intersection Related</t>
  </si>
  <si>
    <t>Consolidated CRF</t>
  </si>
  <si>
    <t>Install Overhead Signs</t>
  </si>
  <si>
    <t>Install Median Barrier</t>
  </si>
  <si>
    <t>Safety Lighting</t>
  </si>
  <si>
    <t>Light Condition - Dark</t>
  </si>
  <si>
    <t>Install Edge Marking</t>
  </si>
  <si>
    <t>Roadway Related/Off road</t>
  </si>
  <si>
    <t>Grade Separation</t>
  </si>
  <si>
    <r>
      <t>Construct Paved Shoulders (</t>
    </r>
    <r>
      <rPr>
        <u/>
        <sz val="11"/>
        <color theme="1"/>
        <rFont val="Calibri"/>
        <family val="2"/>
        <scheme val="minor"/>
      </rPr>
      <t>&gt;</t>
    </r>
    <r>
      <rPr>
        <sz val="11"/>
        <color theme="1"/>
        <rFont val="Calibri"/>
        <family val="2"/>
        <scheme val="minor"/>
      </rPr>
      <t xml:space="preserve"> 5ft)</t>
    </r>
  </si>
  <si>
    <t>Roadway Related</t>
  </si>
  <si>
    <t>Jobs (1/4 mile buffer)</t>
  </si>
  <si>
    <t>Road</t>
  </si>
  <si>
    <t>LOS</t>
  </si>
  <si>
    <t>NB</t>
  </si>
  <si>
    <t>SB</t>
  </si>
  <si>
    <t>K=0.1 (from previous segments)</t>
  </si>
  <si>
    <t>Growth</t>
  </si>
  <si>
    <t>Activity Connectivity Explorer</t>
  </si>
  <si>
    <t>% change</t>
  </si>
  <si>
    <t>Population (2021)</t>
  </si>
  <si>
    <t>Forecast: population 2018</t>
  </si>
  <si>
    <t>Forecast: population 2045</t>
  </si>
  <si>
    <t>Forecast: Jobs 2018</t>
  </si>
  <si>
    <t>Forecast: Jobs 2045</t>
  </si>
  <si>
    <t>Forecast: Households 2018</t>
  </si>
  <si>
    <t>Forecast: Households 2045</t>
  </si>
  <si>
    <t>Residential</t>
  </si>
  <si>
    <t>Current</t>
  </si>
  <si>
    <t>Commercial</t>
  </si>
  <si>
    <t>Multiple</t>
  </si>
  <si>
    <t>2045 B</t>
  </si>
  <si>
    <t>FID</t>
  </si>
  <si>
    <t>Shape</t>
  </si>
  <si>
    <t>PROJ_ID</t>
  </si>
  <si>
    <t>PROJ_IDA</t>
  </si>
  <si>
    <t>FT BEND TOLLWAY</t>
  </si>
  <si>
    <t>25913-26505</t>
  </si>
  <si>
    <t>26505-25920</t>
  </si>
  <si>
    <t>25917-25912</t>
  </si>
  <si>
    <t>25921-25917</t>
  </si>
  <si>
    <t>Average</t>
  </si>
  <si>
    <t xml:space="preserve">FM 762 (TDM Volumes) </t>
  </si>
  <si>
    <t>Volume (2045 NB)</t>
  </si>
  <si>
    <t>Volume 
(2045 B)</t>
  </si>
  <si>
    <t>V/C Ratio</t>
  </si>
  <si>
    <t>TDM PM Peak 
V/C Ratio</t>
  </si>
  <si>
    <t>TDM Avg. V/C ratio</t>
  </si>
  <si>
    <t>Travel Time Index (TTI)</t>
  </si>
  <si>
    <t>2045 No Build</t>
  </si>
  <si>
    <t>2045 Build</t>
  </si>
  <si>
    <r>
      <t>SPD</t>
    </r>
    <r>
      <rPr>
        <vertAlign val="subscript"/>
        <sz val="11"/>
        <color theme="1"/>
        <rFont val="Calibri"/>
        <family val="2"/>
        <scheme val="minor"/>
      </rPr>
      <t>peak</t>
    </r>
    <r>
      <rPr>
        <sz val="11"/>
        <color theme="1"/>
        <rFont val="Calibri"/>
        <family val="2"/>
        <scheme val="minor"/>
      </rPr>
      <t xml:space="preserve"> (MPH)</t>
    </r>
  </si>
  <si>
    <t>Distance (miles)</t>
  </si>
  <si>
    <r>
      <t xml:space="preserve">TT </t>
    </r>
    <r>
      <rPr>
        <vertAlign val="subscript"/>
        <sz val="11"/>
        <color theme="1"/>
        <rFont val="Calibri"/>
        <family val="2"/>
        <scheme val="minor"/>
      </rPr>
      <t>peak</t>
    </r>
  </si>
  <si>
    <r>
      <t>SPD</t>
    </r>
    <r>
      <rPr>
        <vertAlign val="subscript"/>
        <sz val="11"/>
        <color theme="1"/>
        <rFont val="Calibri"/>
        <family val="2"/>
        <scheme val="minor"/>
      </rPr>
      <t xml:space="preserve">FF </t>
    </r>
    <r>
      <rPr>
        <sz val="11"/>
        <color theme="1"/>
        <rFont val="Calibri"/>
        <family val="2"/>
        <scheme val="minor"/>
      </rPr>
      <t>(MPH)</t>
    </r>
  </si>
  <si>
    <r>
      <t>TT</t>
    </r>
    <r>
      <rPr>
        <vertAlign val="subscript"/>
        <sz val="11"/>
        <color theme="1"/>
        <rFont val="Calibri"/>
        <family val="2"/>
        <scheme val="minor"/>
      </rPr>
      <t>free flow</t>
    </r>
  </si>
  <si>
    <t>TTI</t>
  </si>
  <si>
    <t>New alignment</t>
  </si>
  <si>
    <t>K factor</t>
  </si>
  <si>
    <t>D factor</t>
  </si>
  <si>
    <t>Sienna Ranch Rd to FM 762</t>
  </si>
  <si>
    <t>Fort Bend Pkwy</t>
  </si>
  <si>
    <t>LOS B</t>
  </si>
  <si>
    <t>INPUTS</t>
  </si>
  <si>
    <t>Project Information</t>
  </si>
  <si>
    <t>Project Title:</t>
  </si>
  <si>
    <t>Data entered by the sponsors</t>
  </si>
  <si>
    <t>Application ID Number:</t>
  </si>
  <si>
    <t>Data populated/calculated based on inputs</t>
  </si>
  <si>
    <t>MPOID/CSJ #</t>
  </si>
  <si>
    <t>Benefits calculated by the template</t>
  </si>
  <si>
    <t>Project County</t>
  </si>
  <si>
    <t>Fort Bend</t>
  </si>
  <si>
    <t>Proposed Improvements Information</t>
  </si>
  <si>
    <r>
      <t xml:space="preserve">Year Open to Traffic? </t>
    </r>
    <r>
      <rPr>
        <b/>
        <sz val="11"/>
        <color theme="1"/>
        <rFont val="Calibri"/>
        <family val="2"/>
        <scheme val="minor"/>
      </rPr>
      <t>(Must be &gt;=2025)</t>
    </r>
  </si>
  <si>
    <t>Type of Improvement</t>
  </si>
  <si>
    <t>Roadway improvements (Added Capacity, Grade Separations)  including HOV</t>
  </si>
  <si>
    <t>Type of Facility</t>
  </si>
  <si>
    <t>Total Length of Corridors Affected by Project (miles)</t>
  </si>
  <si>
    <t>Average Roadway Speed Before Improvement (mph)</t>
  </si>
  <si>
    <t>Average Roadway Speed After Improvement (mph)</t>
  </si>
  <si>
    <t>Service Life of Project (from MoSERS)</t>
  </si>
  <si>
    <t>Daily Travel Demand</t>
  </si>
  <si>
    <t>2021 Average Daily Traffic Volume of Corridors Affected by project</t>
  </si>
  <si>
    <t>OUTPUTS</t>
  </si>
  <si>
    <t>Benefit Results</t>
  </si>
  <si>
    <t>Discounted NOx Benefits @ 7% (2021 $)</t>
  </si>
  <si>
    <t>Discounted VOC Benefits @ 7% (2021 $)</t>
  </si>
  <si>
    <t>Total Emissions Benefit Results</t>
  </si>
  <si>
    <t>Discounted Emissions Benefits @ 7% (2021 $)</t>
  </si>
  <si>
    <t>Total Emissions Reductions</t>
  </si>
  <si>
    <t>NOx Emission Reductions (tons)</t>
  </si>
  <si>
    <t>VOC Emission Reductions (tons)</t>
  </si>
  <si>
    <t>Speed</t>
  </si>
  <si>
    <t>PM 4 Hr</t>
  </si>
  <si>
    <t>MD 6 Hr</t>
  </si>
  <si>
    <t>AM 3 Hr</t>
  </si>
  <si>
    <t>Avg. Spd</t>
  </si>
  <si>
    <t>Avg. Speed before improvements (2045 NB)</t>
  </si>
  <si>
    <t>Avg. Speed after improvements (2045 B)</t>
  </si>
  <si>
    <t>Freeway</t>
  </si>
  <si>
    <t>Safety Treat Fixed Objects</t>
  </si>
  <si>
    <t>Land Use Growth (2 miles buffer)</t>
  </si>
  <si>
    <t>Industrial</t>
  </si>
  <si>
    <t>Data: 2 miles buffer</t>
  </si>
  <si>
    <t>Assumed K factor= 0.12, D factor= 0.5, HCM 7 Exhibit 12-42</t>
  </si>
  <si>
    <t>Within 1/4 mile buffer</t>
  </si>
  <si>
    <t>Medical facilities</t>
  </si>
  <si>
    <t>Education facilities</t>
  </si>
  <si>
    <t>Social services facilities</t>
  </si>
  <si>
    <t>USPS;
Thompsons Volunteer Fire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</si>
</sst>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
    <numFmt numFmtId="167"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sz val="11"/>
      <name val="Calibri"/>
      <family val="2"/>
      <scheme val="minor"/>
    </font>
    <font>
      <u/>
      <sz val="11"/>
      <color theme="1"/>
      <name val="Calibri"/>
      <family val="2"/>
      <scheme val="minor"/>
    </font>
    <font>
      <vertAlign val="subscript"/>
      <sz val="11"/>
      <color theme="1"/>
      <name val="Calibri"/>
      <family val="2"/>
      <scheme val="minor"/>
    </font>
    <font>
      <b/>
      <sz val="11"/>
      <color theme="0"/>
      <name val="Calibri"/>
      <family val="2"/>
      <scheme val="minor"/>
    </font>
    <font>
      <b/>
      <sz val="14"/>
      <color theme="1"/>
      <name val="Calibri"/>
      <family val="2"/>
      <scheme val="minor"/>
    </font>
  </fonts>
  <fills count="12">
    <fill>
      <patternFill patternType="none"/>
    </fill>
    <fill>
      <patternFill patternType="gray125"/>
    </fill>
    <fill>
      <patternFill patternType="solid">
        <fgColor theme="5" tint="0.39997558519241921"/>
        <bgColor indexed="64"/>
      </patternFill>
    </fill>
    <fill>
      <patternFill patternType="solid">
        <fgColor rgb="FFCC66FF"/>
        <bgColor indexed="64"/>
      </patternFill>
    </fill>
    <fill>
      <patternFill patternType="solid">
        <fgColor theme="4"/>
        <bgColor indexed="64"/>
      </patternFill>
    </fill>
    <fill>
      <patternFill patternType="solid">
        <fgColor theme="6"/>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2" fillId="2" borderId="0" xfId="0" applyFont="1" applyFill="1"/>
    <xf numFmtId="0" fontId="0" fillId="0" borderId="1" xfId="0" applyBorder="1"/>
    <xf numFmtId="1" fontId="0" fillId="0" borderId="1" xfId="0" applyNumberFormat="1" applyBorder="1"/>
    <xf numFmtId="9" fontId="0" fillId="0" borderId="1" xfId="1" applyFont="1" applyBorder="1"/>
    <xf numFmtId="0" fontId="2" fillId="3" borderId="1" xfId="0" applyFont="1" applyFill="1" applyBorder="1"/>
    <xf numFmtId="0" fontId="2" fillId="4" borderId="0" xfId="0" applyFont="1" applyFill="1" applyAlignment="1">
      <alignment horizontal="center" vertical="center"/>
    </xf>
    <xf numFmtId="0" fontId="2" fillId="0" borderId="0" xfId="0" applyFont="1" applyAlignment="1">
      <alignment horizontal="center" vertical="center"/>
    </xf>
    <xf numFmtId="164" fontId="0" fillId="0" borderId="0" xfId="1" applyNumberFormat="1" applyFont="1"/>
    <xf numFmtId="0" fontId="2" fillId="0" borderId="2" xfId="0" applyFont="1" applyBorder="1" applyAlignment="1">
      <alignment horizontal="center"/>
    </xf>
    <xf numFmtId="0" fontId="2" fillId="0" borderId="3" xfId="0" applyFont="1" applyBorder="1" applyAlignment="1">
      <alignment horizontal="center"/>
    </xf>
    <xf numFmtId="10" fontId="2" fillId="0" borderId="1" xfId="1" applyNumberFormat="1"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4" xfId="0" applyBorder="1"/>
    <xf numFmtId="1" fontId="0" fillId="0" borderId="0" xfId="0" applyNumberFormat="1"/>
    <xf numFmtId="2" fontId="0" fillId="0" borderId="0" xfId="0" applyNumberFormat="1"/>
    <xf numFmtId="0" fontId="0" fillId="0" borderId="1" xfId="0" applyBorder="1" applyAlignment="1">
      <alignment horizontal="center" vertical="center"/>
    </xf>
    <xf numFmtId="0" fontId="2" fillId="6" borderId="1" xfId="0" applyFont="1" applyFill="1" applyBorder="1" applyAlignment="1">
      <alignment vertical="center"/>
    </xf>
    <xf numFmtId="0" fontId="4" fillId="6" borderId="1" xfId="0" applyFont="1" applyFill="1" applyBorder="1" applyAlignment="1">
      <alignment vertical="center"/>
    </xf>
    <xf numFmtId="0" fontId="2" fillId="6" borderId="1" xfId="0" applyFont="1" applyFill="1" applyBorder="1" applyAlignment="1">
      <alignment vertical="center" wrapText="1"/>
    </xf>
    <xf numFmtId="0" fontId="0" fillId="0" borderId="1" xfId="0" applyBorder="1" applyAlignment="1">
      <alignment vertical="center"/>
    </xf>
    <xf numFmtId="9" fontId="0" fillId="0" borderId="1" xfId="0" applyNumberFormat="1" applyBorder="1" applyAlignment="1">
      <alignment horizontal="center" vertical="center"/>
    </xf>
    <xf numFmtId="0" fontId="5" fillId="0" borderId="1" xfId="0" applyFont="1"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horizontal="center" vertical="center" wrapText="1"/>
    </xf>
    <xf numFmtId="0" fontId="5" fillId="0" borderId="1" xfId="0" applyFont="1" applyBorder="1" applyAlignment="1">
      <alignment vertical="center"/>
    </xf>
    <xf numFmtId="0" fontId="0" fillId="0" borderId="0" xfId="0" applyAlignment="1">
      <alignment vertical="center"/>
    </xf>
    <xf numFmtId="0" fontId="0" fillId="0" borderId="5" xfId="0" applyBorder="1"/>
    <xf numFmtId="0" fontId="0" fillId="0" borderId="0" xfId="0" applyAlignment="1">
      <alignment wrapText="1"/>
    </xf>
    <xf numFmtId="0" fontId="2" fillId="7" borderId="1" xfId="0" applyFont="1" applyFill="1" applyBorder="1" applyAlignment="1">
      <alignment horizontal="center" vertical="center" wrapText="1"/>
    </xf>
    <xf numFmtId="0" fontId="2" fillId="0" borderId="2" xfId="0" applyFont="1" applyBorder="1"/>
    <xf numFmtId="0" fontId="2" fillId="8" borderId="0" xfId="0" applyFont="1" applyFill="1" applyAlignment="1">
      <alignment horizontal="center"/>
    </xf>
    <xf numFmtId="0" fontId="2" fillId="8" borderId="0" xfId="0" applyFont="1" applyFill="1"/>
    <xf numFmtId="0" fontId="2" fillId="7" borderId="1" xfId="0" applyFont="1" applyFill="1" applyBorder="1" applyAlignment="1">
      <alignment horizontal="center" vertical="center"/>
    </xf>
    <xf numFmtId="0" fontId="0" fillId="0" borderId="1" xfId="0" applyBorder="1" applyAlignment="1">
      <alignment wrapText="1"/>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 fillId="0" borderId="0" xfId="0" applyFont="1" applyAlignment="1">
      <alignment horizontal="center" vertical="center" wrapText="1"/>
    </xf>
    <xf numFmtId="0" fontId="0" fillId="0" borderId="7" xfId="0" applyBorder="1"/>
    <xf numFmtId="0" fontId="0" fillId="0" borderId="8" xfId="0" applyBorder="1" applyAlignment="1">
      <alignment horizontal="center"/>
    </xf>
    <xf numFmtId="2" fontId="0" fillId="0" borderId="8" xfId="0" applyNumberFormat="1" applyBorder="1" applyAlignment="1">
      <alignment horizontal="center"/>
    </xf>
    <xf numFmtId="165" fontId="0" fillId="0" borderId="8" xfId="0" applyNumberFormat="1" applyBorder="1" applyAlignment="1">
      <alignment horizontal="center"/>
    </xf>
    <xf numFmtId="0" fontId="0" fillId="0" borderId="9" xfId="0" applyBorder="1"/>
    <xf numFmtId="2" fontId="2" fillId="0" borderId="5" xfId="0" applyNumberFormat="1" applyFont="1" applyBorder="1" applyAlignment="1">
      <alignment horizontal="center"/>
    </xf>
    <xf numFmtId="2" fontId="2" fillId="0" borderId="10" xfId="0" applyNumberFormat="1" applyFont="1" applyBorder="1" applyAlignment="1">
      <alignment horizontal="center"/>
    </xf>
    <xf numFmtId="0" fontId="0" fillId="0" borderId="1" xfId="0" applyBorder="1" applyAlignment="1">
      <alignment horizontal="center"/>
    </xf>
    <xf numFmtId="165" fontId="0" fillId="0" borderId="1" xfId="0" applyNumberFormat="1" applyBorder="1" applyAlignment="1">
      <alignment horizontal="center"/>
    </xf>
    <xf numFmtId="0" fontId="0" fillId="0" borderId="0" xfId="0" applyAlignment="1">
      <alignment horizontal="left" vertical="center"/>
    </xf>
    <xf numFmtId="0" fontId="9" fillId="0" borderId="16" xfId="0" applyFont="1" applyBorder="1" applyAlignment="1">
      <alignment vertical="center"/>
    </xf>
    <xf numFmtId="0" fontId="0" fillId="0" borderId="16" xfId="0" applyBorder="1" applyAlignment="1">
      <alignment horizontal="left" vertical="center"/>
    </xf>
    <xf numFmtId="0" fontId="0" fillId="0" borderId="16" xfId="0" applyBorder="1" applyAlignment="1">
      <alignment vertical="center"/>
    </xf>
    <xf numFmtId="0" fontId="8" fillId="4" borderId="1" xfId="0" applyFont="1" applyFill="1" applyBorder="1" applyAlignment="1">
      <alignment vertical="center"/>
    </xf>
    <xf numFmtId="0" fontId="0" fillId="7" borderId="1" xfId="0" applyFill="1" applyBorder="1" applyAlignment="1">
      <alignment vertical="center"/>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horizontal="left" vertical="center"/>
      <protection locked="0"/>
    </xf>
    <xf numFmtId="0" fontId="0" fillId="9" borderId="1" xfId="0" applyFill="1" applyBorder="1" applyAlignment="1">
      <alignment vertical="center"/>
    </xf>
    <xf numFmtId="0" fontId="0" fillId="10" borderId="1" xfId="0" applyFill="1" applyBorder="1" applyAlignment="1">
      <alignment vertical="center"/>
    </xf>
    <xf numFmtId="0" fontId="0" fillId="7" borderId="1" xfId="0" applyFill="1" applyBorder="1" applyAlignment="1">
      <alignment horizontal="left" vertical="center"/>
    </xf>
    <xf numFmtId="3" fontId="0" fillId="7" borderId="1" xfId="0" applyNumberFormat="1" applyFill="1" applyBorder="1" applyAlignment="1" applyProtection="1">
      <alignment horizontal="left" vertical="center"/>
      <protection locked="0"/>
    </xf>
    <xf numFmtId="166" fontId="0" fillId="7" borderId="1" xfId="0" applyNumberFormat="1" applyFill="1" applyBorder="1" applyAlignment="1" applyProtection="1">
      <alignment horizontal="left" vertical="center"/>
      <protection locked="0"/>
    </xf>
    <xf numFmtId="0" fontId="0" fillId="7" borderId="1" xfId="0" applyFill="1" applyBorder="1" applyAlignment="1">
      <alignment horizontal="left" vertical="center" wrapText="1"/>
    </xf>
    <xf numFmtId="0" fontId="0" fillId="9" borderId="7" xfId="0" applyFill="1" applyBorder="1" applyAlignment="1">
      <alignment vertical="center"/>
    </xf>
    <xf numFmtId="0" fontId="0" fillId="9" borderId="1" xfId="0" applyFill="1" applyBorder="1" applyAlignment="1">
      <alignment horizontal="left" vertical="center"/>
    </xf>
    <xf numFmtId="0" fontId="0" fillId="0" borderId="0" xfId="0" applyAlignment="1">
      <alignment horizontal="left" vertical="center" wrapText="1"/>
    </xf>
    <xf numFmtId="3" fontId="0" fillId="0" borderId="0" xfId="0" applyNumberFormat="1" applyAlignment="1">
      <alignment horizontal="left" vertical="center"/>
    </xf>
    <xf numFmtId="0" fontId="8" fillId="11" borderId="1" xfId="0" applyFont="1" applyFill="1" applyBorder="1" applyAlignment="1">
      <alignment vertical="center"/>
    </xf>
    <xf numFmtId="167" fontId="0" fillId="10" borderId="1" xfId="0" applyNumberFormat="1" applyFill="1" applyBorder="1" applyAlignment="1">
      <alignment horizontal="left" vertical="center"/>
    </xf>
    <xf numFmtId="167" fontId="0" fillId="0" borderId="0" xfId="0" applyNumberFormat="1" applyAlignment="1">
      <alignment horizontal="left" vertical="center"/>
    </xf>
    <xf numFmtId="3" fontId="0" fillId="0" borderId="0" xfId="0" applyNumberFormat="1" applyAlignment="1">
      <alignment vertical="center"/>
    </xf>
    <xf numFmtId="43" fontId="0" fillId="10" borderId="1" xfId="2" applyFont="1" applyFill="1" applyBorder="1" applyAlignment="1" applyProtection="1">
      <alignment horizontal="left" vertical="center"/>
    </xf>
    <xf numFmtId="10" fontId="0" fillId="0" borderId="0" xfId="0" applyNumberFormat="1"/>
    <xf numFmtId="164" fontId="0" fillId="0" borderId="1" xfId="1" applyNumberFormat="1" applyFont="1" applyBorder="1"/>
    <xf numFmtId="0" fontId="0" fillId="0" borderId="1" xfId="0" applyBorder="1" applyAlignment="1">
      <alignment horizontal="left" vertical="center"/>
    </xf>
    <xf numFmtId="0" fontId="0" fillId="0" borderId="1" xfId="0" applyBorder="1" applyAlignment="1">
      <alignment horizontal="left" vertical="center" wrapText="1"/>
    </xf>
    <xf numFmtId="0" fontId="2" fillId="0" borderId="7" xfId="0" applyFont="1" applyBorder="1" applyAlignment="1">
      <alignment horizontal="center"/>
    </xf>
    <xf numFmtId="0" fontId="2" fillId="0" borderId="1" xfId="0" applyFont="1" applyBorder="1" applyAlignment="1">
      <alignment horizontal="center"/>
    </xf>
    <xf numFmtId="0" fontId="2" fillId="0" borderId="8" xfId="0" applyFon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2" fillId="4" borderId="13" xfId="0" applyFont="1" applyFill="1" applyBorder="1" applyAlignment="1">
      <alignment horizontal="center"/>
    </xf>
    <xf numFmtId="0" fontId="2" fillId="4" borderId="14" xfId="0" applyFont="1" applyFill="1" applyBorder="1" applyAlignment="1">
      <alignment horizontal="center"/>
    </xf>
    <xf numFmtId="0" fontId="2" fillId="4" borderId="15"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5" borderId="0" xfId="0" applyFont="1" applyFill="1" applyAlignment="1">
      <alignment horizontal="center"/>
    </xf>
    <xf numFmtId="0" fontId="2" fillId="4" borderId="17" xfId="0" applyFont="1" applyFill="1" applyBorder="1" applyAlignment="1">
      <alignment horizontal="center"/>
    </xf>
    <xf numFmtId="0" fontId="2" fillId="4" borderId="16" xfId="0" applyFont="1" applyFill="1" applyBorder="1" applyAlignment="1">
      <alignment horizontal="center"/>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17" Type="http://schemas.microsoft.com/office/2017/06/relationships/rdSupportingPropertyBag" Target="richData/rdsupportingpropertybag.xml"/><Relationship Id="rId2" Type="http://schemas.openxmlformats.org/officeDocument/2006/relationships/worksheet" Target="worksheets/sheet2.xml"/><Relationship Id="rId16" Type="http://schemas.microsoft.com/office/2017/06/relationships/rdSupportingPropertyBagStructure" Target="richData/rdsupportingpropertybagstructure.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20/07/relationships/rdRichValueWebImage" Target="richData/rdRichValueWebImage.xml"/><Relationship Id="rId5" Type="http://schemas.openxmlformats.org/officeDocument/2006/relationships/worksheet" Target="worksheets/sheet5.xml"/><Relationship Id="rId15" Type="http://schemas.microsoft.com/office/2017/06/relationships/richStyles" Target="richData/richStyles.xml"/><Relationship Id="rId10" Type="http://schemas.openxmlformats.org/officeDocument/2006/relationships/sheetMetadata" Target="metadata.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Array" Target="richData/rdarray.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143717</xdr:colOff>
      <xdr:row>9</xdr:row>
      <xdr:rowOff>158115</xdr:rowOff>
    </xdr:from>
    <xdr:to>
      <xdr:col>12</xdr:col>
      <xdr:colOff>579637</xdr:colOff>
      <xdr:row>33</xdr:row>
      <xdr:rowOff>95250</xdr:rowOff>
    </xdr:to>
    <xdr:pic>
      <xdr:nvPicPr>
        <xdr:cNvPr id="2" name="Picture 1" descr="A white sheet with black text&#10;&#10;Description automatically generated">
          <a:extLst>
            <a:ext uri="{FF2B5EF4-FFF2-40B4-BE49-F238E27FC236}">
              <a16:creationId xmlns:a16="http://schemas.microsoft.com/office/drawing/2014/main" id="{833C6455-E6C1-45EA-9D05-BD3CD243C9A0}"/>
            </a:ext>
          </a:extLst>
        </xdr:cNvPr>
        <xdr:cNvPicPr>
          <a:picLocks noChangeAspect="1"/>
        </xdr:cNvPicPr>
      </xdr:nvPicPr>
      <xdr:blipFill>
        <a:blip xmlns:r="http://schemas.openxmlformats.org/officeDocument/2006/relationships" r:embed="rId1"/>
        <a:stretch>
          <a:fillRect/>
        </a:stretch>
      </xdr:blipFill>
      <xdr:spPr>
        <a:xfrm>
          <a:off x="6011117" y="2815590"/>
          <a:ext cx="5322245" cy="4680585"/>
        </a:xfrm>
        <a:prstGeom prst="rect">
          <a:avLst/>
        </a:prstGeom>
      </xdr:spPr>
    </xdr:pic>
    <xdr:clientData/>
  </xdr:twoCellAnchor>
  <xdr:twoCellAnchor>
    <xdr:from>
      <xdr:col>5</xdr:col>
      <xdr:colOff>40005</xdr:colOff>
      <xdr:row>15</xdr:row>
      <xdr:rowOff>180975</xdr:rowOff>
    </xdr:from>
    <xdr:to>
      <xdr:col>8</xdr:col>
      <xdr:colOff>561975</xdr:colOff>
      <xdr:row>16</xdr:row>
      <xdr:rowOff>142875</xdr:rowOff>
    </xdr:to>
    <xdr:sp macro="" textlink="">
      <xdr:nvSpPr>
        <xdr:cNvPr id="3" name="Rectangle 2">
          <a:extLst>
            <a:ext uri="{FF2B5EF4-FFF2-40B4-BE49-F238E27FC236}">
              <a16:creationId xmlns:a16="http://schemas.microsoft.com/office/drawing/2014/main" id="{4784B953-4B88-4A9F-B340-355A4E28CEFB}"/>
            </a:ext>
          </a:extLst>
        </xdr:cNvPr>
        <xdr:cNvSpPr/>
      </xdr:nvSpPr>
      <xdr:spPr>
        <a:xfrm>
          <a:off x="5907405" y="4067175"/>
          <a:ext cx="2350770" cy="1905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20</xdr:row>
      <xdr:rowOff>0</xdr:rowOff>
    </xdr:from>
    <xdr:to>
      <xdr:col>5</xdr:col>
      <xdr:colOff>86556</xdr:colOff>
      <xdr:row>58</xdr:row>
      <xdr:rowOff>20063</xdr:rowOff>
    </xdr:to>
    <xdr:pic>
      <xdr:nvPicPr>
        <xdr:cNvPr id="4" name="Picture 3">
          <a:extLst>
            <a:ext uri="{FF2B5EF4-FFF2-40B4-BE49-F238E27FC236}">
              <a16:creationId xmlns:a16="http://schemas.microsoft.com/office/drawing/2014/main" id="{06C02D62-D563-88FB-7029-02B55B811B64}"/>
            </a:ext>
          </a:extLst>
        </xdr:cNvPr>
        <xdr:cNvPicPr>
          <a:picLocks noChangeAspect="1"/>
        </xdr:cNvPicPr>
      </xdr:nvPicPr>
      <xdr:blipFill>
        <a:blip xmlns:r="http://schemas.openxmlformats.org/officeDocument/2006/relationships" r:embed="rId2"/>
        <a:stretch>
          <a:fillRect/>
        </a:stretch>
      </xdr:blipFill>
      <xdr:spPr>
        <a:xfrm>
          <a:off x="0" y="4924425"/>
          <a:ext cx="5953956" cy="7259063"/>
        </a:xfrm>
        <a:prstGeom prst="rect">
          <a:avLst/>
        </a:prstGeom>
      </xdr:spPr>
    </xdr:pic>
    <xdr:clientData/>
  </xdr:twoCellAnchor>
  <xdr:twoCellAnchor>
    <xdr:from>
      <xdr:col>0</xdr:col>
      <xdr:colOff>116205</xdr:colOff>
      <xdr:row>43</xdr:row>
      <xdr:rowOff>152400</xdr:rowOff>
    </xdr:from>
    <xdr:to>
      <xdr:col>1</xdr:col>
      <xdr:colOff>352425</xdr:colOff>
      <xdr:row>44</xdr:row>
      <xdr:rowOff>152400</xdr:rowOff>
    </xdr:to>
    <xdr:sp macro="" textlink="">
      <xdr:nvSpPr>
        <xdr:cNvPr id="5" name="Rectangle 4">
          <a:extLst>
            <a:ext uri="{FF2B5EF4-FFF2-40B4-BE49-F238E27FC236}">
              <a16:creationId xmlns:a16="http://schemas.microsoft.com/office/drawing/2014/main" id="{3B2138F0-172C-C32B-BC29-3B486D1360BA}"/>
            </a:ext>
          </a:extLst>
        </xdr:cNvPr>
        <xdr:cNvSpPr/>
      </xdr:nvSpPr>
      <xdr:spPr>
        <a:xfrm>
          <a:off x="116205" y="9458325"/>
          <a:ext cx="2350770" cy="19050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xdr:row>
      <xdr:rowOff>0</xdr:rowOff>
    </xdr:from>
    <xdr:to>
      <xdr:col>29</xdr:col>
      <xdr:colOff>210043</xdr:colOff>
      <xdr:row>23</xdr:row>
      <xdr:rowOff>28951</xdr:rowOff>
    </xdr:to>
    <xdr:pic>
      <xdr:nvPicPr>
        <xdr:cNvPr id="2" name="Picture 1">
          <a:extLst>
            <a:ext uri="{FF2B5EF4-FFF2-40B4-BE49-F238E27FC236}">
              <a16:creationId xmlns:a16="http://schemas.microsoft.com/office/drawing/2014/main" id="{A27BE93F-83FF-B4EF-434E-FF081B7470F2}"/>
            </a:ext>
          </a:extLst>
        </xdr:cNvPr>
        <xdr:cNvPicPr>
          <a:picLocks noChangeAspect="1"/>
        </xdr:cNvPicPr>
      </xdr:nvPicPr>
      <xdr:blipFill>
        <a:blip xmlns:r="http://schemas.openxmlformats.org/officeDocument/2006/relationships" r:embed="rId1"/>
        <a:stretch>
          <a:fillRect/>
        </a:stretch>
      </xdr:blipFill>
      <xdr:spPr>
        <a:xfrm>
          <a:off x="13258800" y="0"/>
          <a:ext cx="5685013" cy="43437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netorgft4168179-my.sharepoint.com/personal/ashish_loney_aigtechnical_com/Documents/AIG2/Projects2/2319_HGAC_CFP_FBC/04_Technical/41_Data%20Collection/00_H-GAC%20Resources/benefit%20Cost%20Analysis/Roadway-Emissions-Benefits-Template-August-1-2023.xlsx" TargetMode="External"/><Relationship Id="rId2" Type="http://schemas.microsoft.com/office/2019/04/relationships/externalLinkLongPath" Target="/personal/ashish_loney_aigtechnical_com/Documents/AIG2/Projects2/2319_HGAC_CFP_FBC/04_Technical/41_Data%20Collection/00_H-GAC%20Resources/benefit%20Cost%20Analysis/Roadway-Emissions-Benefits-Template-August-1-2023.xlsx?EE14C0C8" TargetMode="External"/><Relationship Id="rId1" Type="http://schemas.openxmlformats.org/officeDocument/2006/relationships/externalLinkPath" Target="file:///\\EE14C0C8\Roadway-Emissions-Benefits-Template-August-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structions"/>
      <sheetName val="ITS Delay Worksheet"/>
      <sheetName val="Emissions Reduction Worksheet"/>
      <sheetName val="Inputs &amp; Outputs"/>
      <sheetName val="Benefit Calculations"/>
      <sheetName val="Value of Emissions"/>
      <sheetName val="Emission Factors - NOx"/>
      <sheetName val="Emission Factors - VOC"/>
      <sheetName val="Service Life"/>
      <sheetName val="Assumed Values"/>
      <sheetName val="Growth Rates"/>
    </sheetNames>
    <sheetDataSet>
      <sheetData sheetId="0"/>
      <sheetData sheetId="1"/>
      <sheetData sheetId="2"/>
      <sheetData sheetId="3"/>
      <sheetData sheetId="4">
        <row r="35">
          <cell r="K35">
            <v>0.12857436324939236</v>
          </cell>
          <cell r="M35">
            <v>913.91455373444137</v>
          </cell>
          <cell r="O35">
            <v>0.46539341039911619</v>
          </cell>
          <cell r="Q35">
            <v>156772.62679864088</v>
          </cell>
        </row>
      </sheetData>
      <sheetData sheetId="5"/>
      <sheetData sheetId="6"/>
      <sheetData sheetId="7"/>
      <sheetData sheetId="8">
        <row r="6">
          <cell r="C6" t="str">
            <v>Existing transit service improvements, TDM programs, ridesharing
and vanpool programs, and pricing and fare strategies</v>
          </cell>
          <cell r="D6">
            <v>2</v>
          </cell>
        </row>
        <row r="7">
          <cell r="C7" t="str">
            <v>Intersection improvements</v>
          </cell>
          <cell r="D7">
            <v>4</v>
          </cell>
        </row>
        <row r="8">
          <cell r="C8" t="str">
            <v>Signalization improvements</v>
          </cell>
          <cell r="D8">
            <v>3</v>
          </cell>
        </row>
        <row r="9">
          <cell r="C9" t="str">
            <v>Telecommunications/telework programs</v>
          </cell>
          <cell r="D9">
            <v>5</v>
          </cell>
        </row>
        <row r="10">
          <cell r="C10" t="str">
            <v>Intelligent transportation systems (ITS), new buses or alternative fuel buses, bicycle/pedestrian facilities, and park-and-ride lots</v>
          </cell>
          <cell r="D10">
            <v>12</v>
          </cell>
        </row>
        <row r="11">
          <cell r="C11" t="str">
            <v>Roadway improvements (Added Capacity, Grade Separations)  including HOV</v>
          </cell>
          <cell r="D11">
            <v>20</v>
          </cell>
        </row>
        <row r="12">
          <cell r="C12" t="str">
            <v>For rail transit systems, parking structures, and pavements</v>
          </cell>
          <cell r="D12">
            <v>35</v>
          </cell>
        </row>
      </sheetData>
      <sheetData sheetId="9"/>
      <sheetData sheetId="10"/>
    </sheetDataSet>
  </externalBook>
</externalLink>
</file>

<file path=xl/richData/_rels/rdRichValueWebImage.xml.rels><?xml version="1.0" encoding="UTF-8" standalone="yes"?>
<Relationships xmlns="http://schemas.openxmlformats.org/package/2006/relationships"><Relationship Id="rId8" Type="http://schemas.openxmlformats.org/officeDocument/2006/relationships/hyperlink" Target="https://www.bing.com/images/search?form=xlimg&amp;q=Meadows%20Place,%20Texas" TargetMode="External"/><Relationship Id="rId3" Type="http://schemas.openxmlformats.org/officeDocument/2006/relationships/hyperlink" Target="https://www.bing.com/th?id=OSK.1d82184d1297b8a0055c3259d17ba8c0&amp;qlt=95" TargetMode="External"/><Relationship Id="rId7" Type="http://schemas.openxmlformats.org/officeDocument/2006/relationships/hyperlink" Target="https://www.bing.com/th?id=OSK.41a054aceede1b0f89896d8ec6472135&amp;qlt=95" TargetMode="External"/><Relationship Id="rId2" Type="http://schemas.openxmlformats.org/officeDocument/2006/relationships/hyperlink" Target="https://www.bing.com/images/search?form=xlimg&amp;q=Sugar%20Land,%20Texas" TargetMode="External"/><Relationship Id="rId1" Type="http://schemas.openxmlformats.org/officeDocument/2006/relationships/hyperlink" Target="https://www.bing.com/th?id=OSK.c99aa6a2361ab2e01253be49466c2c92&amp;qlt=95" TargetMode="External"/><Relationship Id="rId6" Type="http://schemas.openxmlformats.org/officeDocument/2006/relationships/hyperlink" Target="https://www.bing.com/images/search?form=xlimg&amp;q=Missouri%20City,%20Texas" TargetMode="External"/><Relationship Id="rId5" Type="http://schemas.openxmlformats.org/officeDocument/2006/relationships/hyperlink" Target="https://www.bing.com/th?id=OSK.debdcedca8bddd84a0c8c209d223bc44&amp;qlt=95" TargetMode="External"/><Relationship Id="rId4" Type="http://schemas.openxmlformats.org/officeDocument/2006/relationships/hyperlink" Target="https://www.bing.com/images/search?form=xlimg&amp;q=Mission%20Bend,%20Texas"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Srd>
</file>

<file path=xl/richData/rdarray.xml><?xml version="1.0" encoding="utf-8"?>
<arrayData xmlns="http://schemas.microsoft.com/office/spreadsheetml/2017/richdata2" count="2">
  <a r="2">
    <v t="s">Mike Goodrum (City manager)</v>
    <v t="s">Joe R. Zimmerman (Mayor)</v>
  </a>
  <a r="1">
    <v t="r">32</v>
  </a>
</arrayData>
</file>

<file path=xl/richData/rdrichvalue.xml><?xml version="1.0" encoding="utf-8"?>
<rvData xmlns="http://schemas.microsoft.com/office/spreadsheetml/2017/richdata" count="38">
  <rv s="0">
    <v>536870912</v>
    <v>Sugar Land, Texas</v>
    <v>ec50c1c7-4615-4706-b866-68eb746b2820</v>
    <v>en-US</v>
    <v>Map</v>
  </rv>
  <rv s="0">
    <v>536870912</v>
    <v>Texas</v>
    <v>00a23ccd-3344-461c-8b9f-c2bb55be5815</v>
    <v>en-US</v>
    <v>Map</v>
  </rv>
  <rv s="0">
    <v>536870912</v>
    <v>Fort Bend County</v>
    <v>3e6ac6a5-9f84-0516-d62b-eb714f083f9a</v>
    <v>en-US</v>
    <v>Map</v>
  </rv>
  <rv s="1">
    <fb>92.422983000000002</fb>
    <v>8</v>
  </rv>
  <rv s="0">
    <v>536870912</v>
    <v>United States of America</v>
    <v>5232ed96-85b1-2edb-12c6-63e6c597a1de</v>
    <v>en-US</v>
    <v>Map</v>
  </rv>
  <rv s="2">
    <v>0</v>
    <v>6</v>
    <v>0</v>
    <v>7</v>
    <v>0</v>
    <v>Image of Sugar Land, Texas</v>
  </rv>
  <rv s="1">
    <fb>29.599444444444</fb>
    <v>9</v>
  </rv>
  <rv s="3">
    <v>0</v>
  </rv>
  <rv s="4">
    <v>https://www.bing.com/search?q=sugar+land+texas&amp;form=skydnc</v>
    <v>Learn more on Bing</v>
  </rv>
  <rv s="1">
    <fb>-95.614166666667003</fb>
    <v>9</v>
  </rv>
  <rv s="1">
    <fb>111026</fb>
    <v>8</v>
  </rv>
  <rv s="5">
    <v>#VALUE!</v>
    <v>en-US</v>
    <v>ec50c1c7-4615-4706-b866-68eb746b2820</v>
    <v>536870912</v>
    <v>1</v>
    <v>1</v>
    <v>2</v>
    <v>Sugar Land, Texas</v>
    <v>4</v>
    <v>5</v>
    <v>Map</v>
    <v>6</v>
    <v>7</v>
    <v>1</v>
    <v>2</v>
    <v>3</v>
    <v>4</v>
    <v>Sugar Land is the largest city in Fort Bend County, Texas, United States, located in the southwestern part of the Houston–The Woodlands–Sugar Land metropolitan area. Located about 19 miles southwest of downtown Houston, Sugar Land is a populous ...</v>
    <v>5</v>
    <v>6</v>
    <v>7</v>
    <v>8</v>
    <v>9</v>
    <v>Sugar Land, Texas</v>
    <v>10</v>
    <v>Sugar Land, Texas</v>
    <v>mdp/vdpid/5110552436842430465</v>
  </rv>
  <rv s="0">
    <v>536870912</v>
    <v>Mission Bend, Texas</v>
    <v>9731cc79-af9f-757f-aa3f-b8ece1188deb</v>
    <v>en-US</v>
    <v>Map</v>
  </rv>
  <rv s="1">
    <fb>12.078393</fb>
    <v>8</v>
  </rv>
  <rv s="2">
    <v>1</v>
    <v>6</v>
    <v>10</v>
    <v>7</v>
    <v>0</v>
    <v>Image of Mission Bend, Texas</v>
  </rv>
  <rv s="1">
    <fb>29.69361</fb>
    <v>9</v>
  </rv>
  <rv s="4">
    <v>https://www.bing.com/search?q=mission+bend+fort+bend+county+texas&amp;form=skydnc</v>
    <v>Learn more on Bing</v>
  </rv>
  <rv s="1">
    <fb>-95.661670000000001</fb>
    <v>9</v>
  </rv>
  <rv s="1">
    <fb>36914</fb>
    <v>8</v>
  </rv>
  <rv s="6">
    <v>#VALUE!</v>
    <v>en-US</v>
    <v>9731cc79-af9f-757f-aa3f-b8ece1188deb</v>
    <v>536870912</v>
    <v>1</v>
    <v>11</v>
    <v>12</v>
    <v>Mission Bend, Texas</v>
    <v>4</v>
    <v>5</v>
    <v>Map</v>
    <v>6</v>
    <v>7</v>
    <v>1</v>
    <v>13</v>
    <v>4</v>
    <v>Mission Bend is a census-designated place around Texas State Highway 6 within the extraterritorial jurisdiction of Houston in Fort Bend and Harris counties in the U.S. state of Texas; Mission Bend is 4 miles northwest of the city hall of Sugar ...</v>
    <v>14</v>
    <v>15</v>
    <v>16</v>
    <v>17</v>
    <v>Mission Bend, Texas</v>
    <v>18</v>
    <v>Mission Bend, Texas</v>
    <v>mdp/vdpid/5109050809539100673</v>
  </rv>
  <rv s="0">
    <v>536870912</v>
    <v>Missouri City, Texas</v>
    <v>1a61b857-0601-adfe-2df8-7c977885ae8e</v>
    <v>en-US</v>
    <v>Map</v>
  </rv>
  <rv s="1">
    <fb>78.239913999999999</fb>
    <v>8</v>
  </rv>
  <rv s="2">
    <v>2</v>
    <v>6</v>
    <v>13</v>
    <v>7</v>
    <v>0</v>
    <v>Image of Missouri City, Texas</v>
  </rv>
  <rv s="1">
    <fb>29.58278</fb>
    <v>9</v>
  </rv>
  <rv s="4">
    <v>https://www.bing.com/search?q=missouri+city+texas&amp;form=skydnc</v>
    <v>Learn more on Bing</v>
  </rv>
  <rv s="1">
    <fb>-95.539169999999999</fb>
    <v>9</v>
  </rv>
  <rv s="1">
    <fb>74259</fb>
    <v>8</v>
  </rv>
  <rv s="7">
    <v>#VALUE!</v>
    <v>en-US</v>
    <v>1a61b857-0601-adfe-2df8-7c977885ae8e</v>
    <v>536870912</v>
    <v>1</v>
    <v>14</v>
    <v>15</v>
    <v>Missouri City, Texas</v>
    <v>4</v>
    <v>5</v>
    <v>Map</v>
    <v>6</v>
    <v>7</v>
    <v>1</v>
    <v>2</v>
    <v>21</v>
    <v>4</v>
    <v>Missouri City is a city in the U.S. state of Texas, within the Houston–The Woodlands–Sugar Land metropolitan area. The city is mostly in Fort Bend County, with a small portion in Harris County. As of the 2020 census, the city had a population of ...</v>
    <v>22</v>
    <v>23</v>
    <v>24</v>
    <v>25</v>
    <v>Missouri City, Texas</v>
    <v>26</v>
    <v>Missouri City, Texas</v>
    <v>mdp/vdpid/5110553709075496961</v>
  </rv>
  <rv s="0">
    <v>536870912</v>
    <v>Meadows Place, Texas</v>
    <v>c3c17002-a539-cbea-533f-486c507b82da</v>
    <v>en-US</v>
    <v>Map</v>
  </rv>
  <rv s="1">
    <fb>2.44</fb>
    <v>8</v>
  </rv>
  <rv s="2">
    <v>3</v>
    <v>6</v>
    <v>16</v>
    <v>7</v>
    <v>0</v>
    <v>Image of Meadows Place, Texas</v>
  </rv>
  <rv s="1">
    <fb>29.6512557</fb>
    <v>9</v>
  </rv>
  <rv s="0">
    <v>805306368</v>
    <v>Charles Jessup (Mayor)</v>
    <v>46066e26-d68d-a90c-d021-d038c9d16fe9</v>
    <v>en-US</v>
    <v>Generic</v>
  </rv>
  <rv s="3">
    <v>1</v>
  </rv>
  <rv s="4">
    <v>https://www.bing.com/search?q=meadows+place+tx&amp;form=skydnc</v>
    <v>Learn more on Bing</v>
  </rv>
  <rv s="1">
    <fb>-95.587350499999999</fb>
    <v>9</v>
  </rv>
  <rv s="1">
    <fb>4767</fb>
    <v>8</v>
  </rv>
  <rv s="5">
    <v>#VALUE!</v>
    <v>en-US</v>
    <v>c3c17002-a539-cbea-533f-486c507b82da</v>
    <v>536870912</v>
    <v>1</v>
    <v>17</v>
    <v>2</v>
    <v>Meadows Place, Texas</v>
    <v>4</v>
    <v>5</v>
    <v>Map</v>
    <v>6</v>
    <v>7</v>
    <v>1</v>
    <v>2</v>
    <v>29</v>
    <v>4</v>
    <v>Meadows Place is a city located in Fort Bend County in the U.S. state of Texas within the Houston–Sugar Land–Baytown metropolitan area. As of the 2020 U.S. Census, the city population was 4,767. Meadows Place was part of Stafford's ...</v>
    <v>30</v>
    <v>31</v>
    <v>33</v>
    <v>34</v>
    <v>35</v>
    <v>Meadows Place, Texas</v>
    <v>36</v>
    <v>Meadows Place, Texas</v>
    <v>mdp/vdpid/5110552471957143553</v>
  </rv>
</rvData>
</file>

<file path=xl/richData/rdrichvaluestructure.xml><?xml version="1.0" encoding="utf-8"?>
<rvStructures xmlns="http://schemas.microsoft.com/office/spreadsheetml/2017/richdata" count="8">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der(s)"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rea" t="r"/>
    <k n="Country/region" t="r"/>
    <k n="Description" t="s"/>
    <k n="Image" t="r"/>
    <k n="Latitude" t="r"/>
    <k n="LearnMoreOnLink" t="r"/>
    <k n="Longitude" t="r"/>
    <k n="Name" t="s"/>
    <k n="Population"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dmin Division 1 (State/province/other)" t="r"/>
    <k n="Admin Division 2 (County/district/other)" t="r"/>
    <k n="Area" t="r"/>
    <k n="Country/region" t="r"/>
    <k n="Description" t="s"/>
    <k n="Image" t="r"/>
    <k n="Latitude" t="r"/>
    <k n="LearnMoreOnLink" t="r"/>
    <k n="Longitude" t="r"/>
    <k n="Name" t="s"/>
    <k n="Population" t="r"/>
    <k n="UniqueName" t="s"/>
    <k n="VDPID/VSID" t="s"/>
  </s>
</rvStructures>
</file>

<file path=xl/richData/rdsupportingpropertybag.xml><?xml version="1.0" encoding="utf-8"?>
<supportingPropertyBags xmlns="http://schemas.microsoft.com/office/spreadsheetml/2017/richdata2">
  <spbArrays count="3">
    <a count="26">
      <v t="s">%EntityServiceId</v>
      <v t="s">%IsRefreshable</v>
      <v t="s">%EntityCulture</v>
      <v t="s">%EntityId</v>
      <v t="s">_Icon</v>
      <v t="s">_Provider</v>
      <v t="s">_Attribution</v>
      <v t="s">_Display</v>
      <v t="s">Name</v>
      <v t="s">_Format</v>
      <v t="s">Admin Division 2 (County/district/other)</v>
      <v t="s">Admin Division 1 (State/province/other)</v>
      <v t="s">Country/region</v>
      <v t="s">Leader(s)</v>
      <v t="s">_SubLabel</v>
      <v t="s">Population</v>
      <v t="s">Area</v>
      <v t="s">Latitude</v>
      <v t="s">Longitude</v>
      <v t="s">_Flags</v>
      <v t="s">VDPID/VSID</v>
      <v t="s">UniqueName</v>
      <v t="s">_DisplayString</v>
      <v t="s">LearnMoreOnLink</v>
      <v t="s">Image</v>
      <v t="s">Description</v>
    </a>
    <a count="24">
      <v t="s">%EntityServiceId</v>
      <v t="s">%IsRefreshable</v>
      <v t="s">%EntityCulture</v>
      <v t="s">%EntityId</v>
      <v t="s">_Icon</v>
      <v t="s">_Provider</v>
      <v t="s">_Attribution</v>
      <v t="s">_Display</v>
      <v t="s">Name</v>
      <v t="s">_Format</v>
      <v t="s">Admin Division 1 (State/province/other)</v>
      <v t="s">Country/region</v>
      <v t="s">_SubLabel</v>
      <v t="s">Population</v>
      <v t="s">Area</v>
      <v t="s">Latitude</v>
      <v t="s">Longitude</v>
      <v t="s">_Flags</v>
      <v t="s">VDPID/VSID</v>
      <v t="s">UniqueName</v>
      <v t="s">_DisplayString</v>
      <v t="s">LearnMoreOnLink</v>
      <v t="s">Image</v>
      <v t="s">Description</v>
    </a>
    <a count="25">
      <v t="s">%EntityServiceId</v>
      <v t="s">%IsRefreshable</v>
      <v t="s">%EntityCulture</v>
      <v t="s">%EntityId</v>
      <v t="s">_Icon</v>
      <v t="s">_Provider</v>
      <v t="s">_Attribution</v>
      <v t="s">_Display</v>
      <v t="s">Name</v>
      <v t="s">_Format</v>
      <v t="s">Admin Division 2 (County/district/other)</v>
      <v t="s">Admin Division 1 (State/province/other)</v>
      <v t="s">Country/region</v>
      <v t="s">_SubLabel</v>
      <v t="s">Population</v>
      <v t="s">Area</v>
      <v t="s">Latitude</v>
      <v t="s">Longitude</v>
      <v t="s">_Flags</v>
      <v t="s">VDPID/VSID</v>
      <v t="s">UniqueName</v>
      <v t="s">_DisplayString</v>
      <v t="s">LearnMoreOnLink</v>
      <v t="s">Image</v>
      <v t="s">Description</v>
    </a>
  </spbArrays>
  <spbData count="18">
    <spb s="0">
      <v xml:space="preserve">Wikipedia	</v>
      <v xml:space="preserve">CC BY-SA 3.0	</v>
      <v xml:space="preserve">https://en.wikipedia.org/wiki/Sugar_Land,_Texas	</v>
      <v xml:space="preserve">https://creativecommons.org/licenses/by-sa/3.0	</v>
    </spb>
    <spb s="1">
      <v>0</v>
      <v>0</v>
      <v>0</v>
      <v>0</v>
      <v>0</v>
      <v>0</v>
      <v>0</v>
      <v>0</v>
      <v>0</v>
      <v>0</v>
    </spb>
    <spb s="2">
      <v>0</v>
      <v>Name</v>
      <v>LearnMoreOnLink</v>
    </spb>
    <spb s="3">
      <v>0</v>
      <v>0</v>
      <v>0</v>
    </spb>
    <spb s="4">
      <v>3</v>
      <v>3</v>
      <v>3</v>
    </spb>
    <spb s="5">
      <v>1</v>
      <v>2</v>
    </spb>
    <spb s="6">
      <v>https://www.bing.com</v>
      <v>https://www.bing.com/th?id=Ga%5Cbing_yt.png&amp;w=100&amp;h=40&amp;c=0&amp;pid=0.1</v>
      <v>Powered by Bing</v>
    </spb>
    <spb s="7">
      <v>square km</v>
      <v>2020</v>
    </spb>
    <spb s="8">
      <v>3</v>
    </spb>
    <spb s="8">
      <v>4</v>
    </spb>
    <spb s="0">
      <v xml:space="preserve">Wikipedia	</v>
      <v xml:space="preserve">CC BY-SA 3.0	</v>
      <v xml:space="preserve">https://en.wikipedia.org/wiki/Mission_Bend,_Texas	</v>
      <v xml:space="preserve">https://creativecommons.org/licenses/by-sa/3.0	</v>
    </spb>
    <spb s="9">
      <v>10</v>
      <v>10</v>
      <v>10</v>
      <v>10</v>
      <v>10</v>
      <v>10</v>
      <v>10</v>
      <v>10</v>
      <v>10</v>
    </spb>
    <spb s="2">
      <v>1</v>
      <v>Name</v>
      <v>LearnMoreOnLink</v>
    </spb>
    <spb s="0">
      <v xml:space="preserve">Wikipedia	</v>
      <v xml:space="preserve">CC BY-SA 3.0	</v>
      <v xml:space="preserve">https://en.wikipedia.org/wiki/Missouri_City,_Texas	</v>
      <v xml:space="preserve">https://creativecommons.org/licenses/by-sa/3.0	</v>
    </spb>
    <spb s="1">
      <v>13</v>
      <v>13</v>
      <v>13</v>
      <v>13</v>
      <v>13</v>
      <v>13</v>
      <v>13</v>
      <v>13</v>
      <v>13</v>
      <v>13</v>
    </spb>
    <spb s="2">
      <v>2</v>
      <v>Name</v>
      <v>LearnMoreOnLink</v>
    </spb>
    <spb s="0">
      <v xml:space="preserve">Wikipedia	</v>
      <v xml:space="preserve">CC BY-SA 3.0	</v>
      <v xml:space="preserve">https://en.wikipedia.org/wiki/Meadows_Place,_Texas	</v>
      <v xml:space="preserve">https://creativecommons.org/licenses/by-sa/3.0	</v>
    </spb>
    <spb s="1">
      <v>16</v>
      <v>16</v>
      <v>16</v>
      <v>16</v>
      <v>16</v>
      <v>16</v>
      <v>16</v>
      <v>16</v>
      <v>16</v>
      <v>16</v>
    </spb>
  </spbData>
</supportingPropertyBags>
</file>

<file path=xl/richData/rdsupportingpropertybagstructure.xml><?xml version="1.0" encoding="utf-8"?>
<spbStructures xmlns="http://schemas.microsoft.com/office/spreadsheetml/2017/richdata2" count="10">
  <s>
    <k n="SourceText" t="s"/>
    <k n="LicenseText" t="s"/>
    <k n="SourceAddress" t="s"/>
    <k n="LicenseAddress" t="s"/>
  </s>
  <s>
    <k n="Area" t="spb"/>
    <k n="Name" t="spb"/>
    <k n="Latitude" t="spb"/>
    <k n="Longitude" t="spb"/>
    <k n="Population" t="spb"/>
    <k n="UniqueName" t="spb"/>
    <k n="Description" t="spb"/>
    <k n="Country/region" t="spb"/>
    <k n="Admin Division 1 (State/province/other)" t="spb"/>
    <k n="Admin Division 2 (County/district/other)"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Population" t="s"/>
  </s>
  <s>
    <k n="_Self" t="i"/>
  </s>
  <s>
    <k n="Area" t="spb"/>
    <k n="Name" t="spb"/>
    <k n="Latitude" t="spb"/>
    <k n="Longitude" t="spb"/>
    <k n="Population" t="spb"/>
    <k n="UniqueName" t="spb"/>
    <k n="Description" t="spb"/>
    <k n="Country/region" t="spb"/>
    <k n="Admin Division 1 (State/province/other)"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2">
    <x:dxf>
      <x:numFmt numFmtId="3" formatCode="#,##0"/>
    </x:dxf>
    <x:dxf>
      <x:numFmt numFmtId="0" formatCode="General"/>
    </x:dxf>
  </dxfs>
  <richProperties>
    <rPr n="IsTitleField" t="b"/>
    <rPr n="IsHeroField" t="b"/>
    <rPr n="NumberFormat" t="s"/>
  </richProperties>
  <richStyles>
    <rSty>
      <rpv i="0">1</rpv>
    </rSty>
    <rSty>
      <rpv i="1">1</rpv>
    </rSty>
    <rSty dxfid="0">
      <rpv i="2">#,##0</rpv>
    </rSty>
    <rSty dxfid="1">
      <rpv i="2">0.0000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1"/>
  <sheetViews>
    <sheetView topLeftCell="H1" workbookViewId="0">
      <selection activeCell="V22" sqref="V22"/>
    </sheetView>
  </sheetViews>
  <sheetFormatPr defaultRowHeight="15" x14ac:dyDescent="0.25"/>
  <sheetData>
    <row r="1" spans="1:45" x14ac:dyDescent="0.25">
      <c r="A1" s="1" t="s">
        <v>132</v>
      </c>
      <c r="B1" t="s">
        <v>115</v>
      </c>
    </row>
    <row r="2" spans="1:45" x14ac:dyDescent="0.25">
      <c r="A2" s="2" t="s">
        <v>133</v>
      </c>
      <c r="B2" s="2" t="s">
        <v>134</v>
      </c>
      <c r="C2" s="2" t="s">
        <v>0</v>
      </c>
      <c r="D2" s="2" t="s">
        <v>135</v>
      </c>
      <c r="E2" s="2" t="s">
        <v>136</v>
      </c>
      <c r="F2" s="2" t="s">
        <v>1</v>
      </c>
      <c r="G2" s="2" t="s">
        <v>2</v>
      </c>
      <c r="H2" s="2" t="s">
        <v>3</v>
      </c>
      <c r="I2" s="2" t="s">
        <v>4</v>
      </c>
      <c r="J2" s="2" t="s">
        <v>5</v>
      </c>
      <c r="K2" s="2" t="s">
        <v>6</v>
      </c>
      <c r="L2" s="2" t="s">
        <v>7</v>
      </c>
      <c r="M2" s="2" t="s">
        <v>8</v>
      </c>
      <c r="N2" s="2" t="s">
        <v>9</v>
      </c>
      <c r="O2" s="2" t="s">
        <v>10</v>
      </c>
      <c r="P2" s="2" t="s">
        <v>11</v>
      </c>
      <c r="Q2" s="2" t="s">
        <v>12</v>
      </c>
      <c r="R2" s="2" t="s">
        <v>13</v>
      </c>
      <c r="S2" s="2" t="s">
        <v>14</v>
      </c>
      <c r="T2" s="2" t="s">
        <v>15</v>
      </c>
      <c r="U2" s="2" t="s">
        <v>16</v>
      </c>
      <c r="V2" s="2" t="s">
        <v>17</v>
      </c>
      <c r="W2" s="2" t="s">
        <v>18</v>
      </c>
      <c r="X2" s="2" t="s">
        <v>19</v>
      </c>
      <c r="Y2" s="2" t="s">
        <v>20</v>
      </c>
      <c r="Z2" s="2" t="s">
        <v>21</v>
      </c>
      <c r="AA2" s="2" t="s">
        <v>22</v>
      </c>
      <c r="AB2" s="2" t="s">
        <v>23</v>
      </c>
      <c r="AC2" s="2" t="s">
        <v>24</v>
      </c>
      <c r="AD2" s="2" t="s">
        <v>25</v>
      </c>
      <c r="AE2" s="2" t="s">
        <v>26</v>
      </c>
      <c r="AF2" s="2" t="s">
        <v>27</v>
      </c>
      <c r="AG2" s="2" t="s">
        <v>28</v>
      </c>
      <c r="AH2" s="2" t="s">
        <v>29</v>
      </c>
      <c r="AI2" s="2" t="s">
        <v>30</v>
      </c>
      <c r="AJ2" s="2" t="s">
        <v>31</v>
      </c>
      <c r="AK2" s="2" t="s">
        <v>32</v>
      </c>
      <c r="AL2" s="2" t="s">
        <v>33</v>
      </c>
      <c r="AM2" s="2" t="s">
        <v>34</v>
      </c>
      <c r="AN2" s="2" t="s">
        <v>35</v>
      </c>
      <c r="AO2" s="2" t="s">
        <v>36</v>
      </c>
      <c r="AP2" s="2" t="s">
        <v>37</v>
      </c>
      <c r="AQ2" t="s">
        <v>37</v>
      </c>
      <c r="AR2" t="s">
        <v>38</v>
      </c>
      <c r="AS2" t="s">
        <v>39</v>
      </c>
    </row>
    <row r="3" spans="1:45" x14ac:dyDescent="0.25">
      <c r="A3" s="2">
        <v>3232</v>
      </c>
      <c r="B3" s="2" t="s">
        <v>40</v>
      </c>
      <c r="C3" s="2" t="s">
        <v>137</v>
      </c>
      <c r="D3" s="2">
        <v>919</v>
      </c>
      <c r="E3" s="2">
        <v>0</v>
      </c>
      <c r="F3" s="2" t="s">
        <v>138</v>
      </c>
      <c r="G3" s="2">
        <v>25913</v>
      </c>
      <c r="H3" s="2">
        <v>26505</v>
      </c>
      <c r="I3" s="2">
        <v>2</v>
      </c>
      <c r="J3" s="2">
        <v>6.7946799999999996</v>
      </c>
      <c r="K3" s="2">
        <v>5</v>
      </c>
      <c r="L3" s="2">
        <v>5</v>
      </c>
      <c r="M3" s="2">
        <v>100800</v>
      </c>
      <c r="N3" s="2">
        <v>70</v>
      </c>
      <c r="O3" s="2">
        <v>5.8240100000000004</v>
      </c>
      <c r="P3" s="2">
        <v>70</v>
      </c>
      <c r="Q3" s="2">
        <v>3127.2834499999999</v>
      </c>
      <c r="R3" s="2">
        <v>5.7547699999999997</v>
      </c>
      <c r="S3" s="2">
        <v>0.18615000000000001</v>
      </c>
      <c r="T3" s="2">
        <v>3127.2834499999999</v>
      </c>
      <c r="U3" s="2">
        <v>69.89</v>
      </c>
      <c r="V3" s="2">
        <v>5.8331799999999996</v>
      </c>
      <c r="W3" s="2">
        <v>3851.6140099999998</v>
      </c>
      <c r="X3" s="2">
        <v>5.7484000000000002</v>
      </c>
      <c r="Y3" s="2">
        <v>0.15284</v>
      </c>
      <c r="Z3" s="2">
        <v>3851.6140099999998</v>
      </c>
      <c r="AA3" s="2">
        <v>69.95</v>
      </c>
      <c r="AB3" s="2">
        <v>5.8281700000000001</v>
      </c>
      <c r="AC3" s="2">
        <v>6133.2739300000003</v>
      </c>
      <c r="AD3" s="2">
        <v>6.1116200000000003</v>
      </c>
      <c r="AE3" s="2">
        <v>0.48676999999999998</v>
      </c>
      <c r="AF3" s="2">
        <v>6133.2739300000003</v>
      </c>
      <c r="AG3" s="2">
        <v>67.260000000000005</v>
      </c>
      <c r="AH3" s="2">
        <v>6.0612700000000004</v>
      </c>
      <c r="AI3" s="2">
        <v>14005.5918</v>
      </c>
      <c r="AJ3" s="2">
        <v>95163.515629999994</v>
      </c>
      <c r="AK3" s="2">
        <v>619.59014999999999</v>
      </c>
      <c r="AL3" s="2">
        <v>374.13132000000002</v>
      </c>
      <c r="AM3" s="2">
        <v>304.03336000000002</v>
      </c>
      <c r="AN3" s="2">
        <v>86.721540000000005</v>
      </c>
      <c r="AO3" s="2">
        <v>1384.4764399999999</v>
      </c>
      <c r="AP3" s="2">
        <v>14005.5918</v>
      </c>
      <c r="AQ3">
        <v>8567.1132799999996</v>
      </c>
      <c r="AR3">
        <v>16.249469999999999</v>
      </c>
      <c r="AS3">
        <v>12566.122810999999</v>
      </c>
    </row>
    <row r="4" spans="1:45" x14ac:dyDescent="0.25">
      <c r="A4" s="2">
        <v>21679</v>
      </c>
      <c r="B4" s="2" t="s">
        <v>40</v>
      </c>
      <c r="C4" s="2" t="s">
        <v>137</v>
      </c>
      <c r="D4" s="2">
        <v>919</v>
      </c>
      <c r="E4" s="2">
        <v>0</v>
      </c>
      <c r="F4" s="2" t="s">
        <v>139</v>
      </c>
      <c r="G4" s="2">
        <v>26505</v>
      </c>
      <c r="H4" s="2">
        <v>25920</v>
      </c>
      <c r="I4" s="2">
        <v>2</v>
      </c>
      <c r="J4" s="2">
        <v>3.2940299999999998</v>
      </c>
      <c r="K4" s="2">
        <v>5</v>
      </c>
      <c r="L4" s="2">
        <v>4</v>
      </c>
      <c r="M4" s="2">
        <v>100800</v>
      </c>
      <c r="N4" s="2">
        <v>65</v>
      </c>
      <c r="O4" s="2">
        <v>3.0406399999999998</v>
      </c>
      <c r="P4" s="2">
        <v>65</v>
      </c>
      <c r="Q4" s="2">
        <v>3127.2834499999999</v>
      </c>
      <c r="R4" s="2">
        <v>3.0950299999999999</v>
      </c>
      <c r="S4" s="2">
        <v>0.18615000000000001</v>
      </c>
      <c r="T4" s="2">
        <v>3127.2834499999999</v>
      </c>
      <c r="U4" s="2">
        <v>64.92</v>
      </c>
      <c r="V4" s="2">
        <v>3.0443899999999999</v>
      </c>
      <c r="W4" s="2">
        <v>3851.6140099999998</v>
      </c>
      <c r="X4" s="2">
        <v>3.0916000000000001</v>
      </c>
      <c r="Y4" s="2">
        <v>0.15284</v>
      </c>
      <c r="Z4" s="2">
        <v>3851.6140099999998</v>
      </c>
      <c r="AA4" s="2">
        <v>64.959999999999994</v>
      </c>
      <c r="AB4" s="2">
        <v>3.0425200000000001</v>
      </c>
      <c r="AC4" s="2">
        <v>6133.2739300000003</v>
      </c>
      <c r="AD4" s="2">
        <v>3.28695</v>
      </c>
      <c r="AE4" s="2">
        <v>0.48676999999999998</v>
      </c>
      <c r="AF4" s="2">
        <v>6133.2739300000003</v>
      </c>
      <c r="AG4" s="2">
        <v>62.94</v>
      </c>
      <c r="AH4" s="2">
        <v>3.1401599999999998</v>
      </c>
      <c r="AI4" s="2">
        <v>14005.5918</v>
      </c>
      <c r="AJ4" s="2">
        <v>46134.839840000001</v>
      </c>
      <c r="AK4" s="2">
        <v>320.99124</v>
      </c>
      <c r="AL4" s="2">
        <v>195.30991</v>
      </c>
      <c r="AM4" s="2">
        <v>158.67784</v>
      </c>
      <c r="AN4" s="2">
        <v>45.276229999999998</v>
      </c>
      <c r="AO4" s="2">
        <v>720.25518999999997</v>
      </c>
      <c r="AP4" s="2">
        <v>14005.5918</v>
      </c>
      <c r="AQ4">
        <v>10460.87988</v>
      </c>
      <c r="AR4">
        <v>6.6761900000000001</v>
      </c>
      <c r="AS4">
        <v>5156.7391459999999</v>
      </c>
    </row>
    <row r="5" spans="1:45" x14ac:dyDescent="0.25">
      <c r="J5">
        <f>SUM(J3:J4)</f>
        <v>10.088709999999999</v>
      </c>
      <c r="P5">
        <f>AVERAGE(P3:P4)</f>
        <v>67.5</v>
      </c>
      <c r="U5">
        <f>AVERAGE(U3:U4)</f>
        <v>67.405000000000001</v>
      </c>
    </row>
    <row r="6" spans="1:45" x14ac:dyDescent="0.25">
      <c r="A6" s="1" t="s">
        <v>132</v>
      </c>
      <c r="B6" t="s">
        <v>116</v>
      </c>
    </row>
    <row r="7" spans="1:45" x14ac:dyDescent="0.25">
      <c r="A7" s="2" t="s">
        <v>133</v>
      </c>
      <c r="B7" s="2" t="s">
        <v>134</v>
      </c>
      <c r="C7" s="2" t="s">
        <v>0</v>
      </c>
      <c r="D7" s="2" t="s">
        <v>135</v>
      </c>
      <c r="E7" s="2" t="s">
        <v>136</v>
      </c>
      <c r="F7" s="2" t="s">
        <v>1</v>
      </c>
      <c r="G7" s="2" t="s">
        <v>2</v>
      </c>
      <c r="H7" s="2" t="s">
        <v>3</v>
      </c>
      <c r="I7" s="2" t="s">
        <v>4</v>
      </c>
      <c r="J7" s="2" t="s">
        <v>5</v>
      </c>
      <c r="K7" s="2" t="s">
        <v>6</v>
      </c>
      <c r="L7" s="2" t="s">
        <v>7</v>
      </c>
      <c r="M7" s="2" t="s">
        <v>8</v>
      </c>
      <c r="N7" s="2" t="s">
        <v>9</v>
      </c>
      <c r="O7" s="2" t="s">
        <v>10</v>
      </c>
      <c r="P7" s="2" t="s">
        <v>11</v>
      </c>
      <c r="Q7" s="2" t="s">
        <v>12</v>
      </c>
      <c r="R7" s="2" t="s">
        <v>13</v>
      </c>
      <c r="S7" s="2" t="s">
        <v>14</v>
      </c>
      <c r="T7" s="2" t="s">
        <v>15</v>
      </c>
      <c r="U7" s="2" t="s">
        <v>16</v>
      </c>
      <c r="V7" s="2" t="s">
        <v>17</v>
      </c>
      <c r="W7" s="2" t="s">
        <v>18</v>
      </c>
      <c r="X7" s="2" t="s">
        <v>19</v>
      </c>
      <c r="Y7" s="2" t="s">
        <v>20</v>
      </c>
      <c r="Z7" s="2" t="s">
        <v>21</v>
      </c>
      <c r="AA7" s="2" t="s">
        <v>22</v>
      </c>
      <c r="AB7" s="2" t="s">
        <v>23</v>
      </c>
      <c r="AC7" s="2" t="s">
        <v>24</v>
      </c>
      <c r="AD7" s="2" t="s">
        <v>25</v>
      </c>
      <c r="AE7" s="2" t="s">
        <v>26</v>
      </c>
      <c r="AF7" s="2" t="s">
        <v>27</v>
      </c>
      <c r="AG7" s="2" t="s">
        <v>28</v>
      </c>
      <c r="AH7" s="2" t="s">
        <v>29</v>
      </c>
      <c r="AI7" s="2" t="s">
        <v>30</v>
      </c>
      <c r="AJ7" s="2" t="s">
        <v>31</v>
      </c>
      <c r="AK7" s="2" t="s">
        <v>32</v>
      </c>
      <c r="AL7" s="2" t="s">
        <v>33</v>
      </c>
      <c r="AM7" s="2" t="s">
        <v>34</v>
      </c>
      <c r="AN7" s="2" t="s">
        <v>35</v>
      </c>
      <c r="AO7" s="2" t="s">
        <v>36</v>
      </c>
      <c r="AP7" s="2" t="s">
        <v>37</v>
      </c>
      <c r="AQ7" t="s">
        <v>37</v>
      </c>
      <c r="AR7" t="s">
        <v>38</v>
      </c>
      <c r="AS7" t="s">
        <v>39</v>
      </c>
    </row>
    <row r="8" spans="1:45" x14ac:dyDescent="0.25">
      <c r="A8" s="2">
        <v>15003</v>
      </c>
      <c r="B8" s="2" t="s">
        <v>40</v>
      </c>
      <c r="C8" s="2" t="s">
        <v>137</v>
      </c>
      <c r="D8" s="2">
        <v>919</v>
      </c>
      <c r="E8" s="2">
        <v>0</v>
      </c>
      <c r="F8" s="2" t="s">
        <v>140</v>
      </c>
      <c r="G8" s="2">
        <v>25917</v>
      </c>
      <c r="H8" s="2">
        <v>25912</v>
      </c>
      <c r="I8" s="2">
        <v>2</v>
      </c>
      <c r="J8" s="2">
        <v>6.7900799999999997</v>
      </c>
      <c r="K8" s="2">
        <v>5</v>
      </c>
      <c r="L8" s="2">
        <v>5</v>
      </c>
      <c r="M8" s="2">
        <v>100800</v>
      </c>
      <c r="N8" s="2">
        <v>70</v>
      </c>
      <c r="O8" s="2">
        <v>5.8200700000000003</v>
      </c>
      <c r="P8" s="2">
        <v>70</v>
      </c>
      <c r="Q8" s="2">
        <v>9399.99316</v>
      </c>
      <c r="R8" s="2">
        <v>6.3395799999999998</v>
      </c>
      <c r="S8" s="2">
        <v>0.55952000000000002</v>
      </c>
      <c r="T8" s="2">
        <v>9399.99316</v>
      </c>
      <c r="U8" s="2">
        <v>65.72</v>
      </c>
      <c r="V8" s="2">
        <v>6.1990999999999996</v>
      </c>
      <c r="W8" s="2">
        <v>5794.7983400000003</v>
      </c>
      <c r="X8" s="2">
        <v>5.7648599999999997</v>
      </c>
      <c r="Y8" s="2">
        <v>0.22994999999999999</v>
      </c>
      <c r="Z8" s="2">
        <v>5794.7983400000003</v>
      </c>
      <c r="AA8" s="2">
        <v>69.78</v>
      </c>
      <c r="AB8" s="2">
        <v>5.8384200000000002</v>
      </c>
      <c r="AC8" s="2">
        <v>5329.7539100000004</v>
      </c>
      <c r="AD8" s="2">
        <v>5.9640599999999999</v>
      </c>
      <c r="AE8" s="2">
        <v>0.42299999999999999</v>
      </c>
      <c r="AF8" s="2">
        <v>5329.7539100000004</v>
      </c>
      <c r="AG8" s="2">
        <v>68.27</v>
      </c>
      <c r="AH8" s="2">
        <v>5.9675500000000001</v>
      </c>
      <c r="AI8" s="2">
        <v>22069.271479999999</v>
      </c>
      <c r="AJ8" s="2">
        <v>149852.10938000001</v>
      </c>
      <c r="AK8" s="2">
        <v>530.09313999999995</v>
      </c>
      <c r="AL8" s="2">
        <v>563.87427000000002</v>
      </c>
      <c r="AM8" s="2">
        <v>971.19146999999998</v>
      </c>
      <c r="AN8" s="2">
        <v>149.84012999999999</v>
      </c>
      <c r="AO8" s="2">
        <v>2214.9990200000002</v>
      </c>
      <c r="AP8" s="2">
        <v>22069.271479999999</v>
      </c>
      <c r="AQ8">
        <v>7980.2714800000003</v>
      </c>
      <c r="AR8">
        <v>3.3577400000000002</v>
      </c>
      <c r="AS8">
        <v>12566.122810999999</v>
      </c>
    </row>
    <row r="9" spans="1:45" x14ac:dyDescent="0.25">
      <c r="A9" s="2">
        <v>21678</v>
      </c>
      <c r="B9" s="2" t="s">
        <v>40</v>
      </c>
      <c r="C9" s="2" t="s">
        <v>137</v>
      </c>
      <c r="D9" s="2">
        <v>919</v>
      </c>
      <c r="E9" s="2">
        <v>0</v>
      </c>
      <c r="F9" s="2" t="s">
        <v>141</v>
      </c>
      <c r="G9" s="2">
        <v>25921</v>
      </c>
      <c r="H9" s="2">
        <v>25917</v>
      </c>
      <c r="I9" s="2">
        <v>2</v>
      </c>
      <c r="J9" s="2">
        <v>3.3496700000000001</v>
      </c>
      <c r="K9" s="2">
        <v>5</v>
      </c>
      <c r="L9" s="2">
        <v>4</v>
      </c>
      <c r="M9" s="2">
        <v>100800</v>
      </c>
      <c r="N9" s="2">
        <v>64.98</v>
      </c>
      <c r="O9" s="2">
        <v>3.0929500000000001</v>
      </c>
      <c r="P9" s="2">
        <v>65</v>
      </c>
      <c r="Q9" s="2">
        <v>13057.291020000001</v>
      </c>
      <c r="R9" s="2">
        <v>4.1801599999999999</v>
      </c>
      <c r="S9" s="2">
        <v>0.77722000000000002</v>
      </c>
      <c r="T9" s="2">
        <v>13057.291020000001</v>
      </c>
      <c r="U9" s="2">
        <v>56.6</v>
      </c>
      <c r="V9" s="2">
        <v>3.5508899999999999</v>
      </c>
      <c r="W9" s="2">
        <v>5918.6469699999998</v>
      </c>
      <c r="X9" s="2">
        <v>3.1560899999999998</v>
      </c>
      <c r="Y9" s="2">
        <v>0.23487</v>
      </c>
      <c r="Z9" s="2">
        <v>5918.6469699999998</v>
      </c>
      <c r="AA9" s="2">
        <v>64.819999999999993</v>
      </c>
      <c r="AB9" s="2">
        <v>3.10059</v>
      </c>
      <c r="AC9" s="2">
        <v>1114.65344</v>
      </c>
      <c r="AD9" s="2">
        <v>3.1408299999999998</v>
      </c>
      <c r="AE9" s="2">
        <v>8.8459999999999997E-2</v>
      </c>
      <c r="AF9" s="2">
        <v>1114.65344</v>
      </c>
      <c r="AG9" s="2">
        <v>64.989999999999995</v>
      </c>
      <c r="AH9" s="2">
        <v>3.0924800000000001</v>
      </c>
      <c r="AI9" s="2">
        <v>25282.160159999999</v>
      </c>
      <c r="AJ9" s="2">
        <v>84686.890629999994</v>
      </c>
      <c r="AK9" s="2">
        <v>57.450699999999998</v>
      </c>
      <c r="AL9" s="2">
        <v>305.85489000000001</v>
      </c>
      <c r="AM9" s="2">
        <v>772.74938999999995</v>
      </c>
      <c r="AN9" s="2">
        <v>267.62146000000001</v>
      </c>
      <c r="AO9" s="2">
        <v>1403.6763900000001</v>
      </c>
      <c r="AP9" s="2">
        <v>25282.160159999999</v>
      </c>
      <c r="AQ9">
        <v>24967.238280000001</v>
      </c>
      <c r="AR9">
        <v>4.4617199999999997</v>
      </c>
      <c r="AS9">
        <v>5156.7391459999999</v>
      </c>
    </row>
    <row r="10" spans="1:45" x14ac:dyDescent="0.25">
      <c r="J10">
        <f>SUM(J8:J9)</f>
        <v>10.139749999999999</v>
      </c>
      <c r="P10">
        <f>AVERAGE(P8:P9)</f>
        <v>67.5</v>
      </c>
      <c r="U10">
        <f>AVERAGE(U8:U9)</f>
        <v>61.16</v>
      </c>
    </row>
    <row r="11" spans="1:45" x14ac:dyDescent="0.25">
      <c r="J11">
        <f>AVERAGE(J5,J10)</f>
        <v>10.114229999999999</v>
      </c>
      <c r="O11" t="s">
        <v>142</v>
      </c>
      <c r="P11">
        <f>AVERAGE(P3:P4,P8:P9)</f>
        <v>67.5</v>
      </c>
      <c r="S11">
        <f>AVERAGE(S3:S4,S8:S9)</f>
        <v>0.42726000000000003</v>
      </c>
      <c r="U11">
        <f>AVERAGE(U3:U4,U8:U9)</f>
        <v>64.282499999999999</v>
      </c>
      <c r="Y11">
        <f>AVERAGE(Y3:Y4,Y8:Y9)</f>
        <v>0.19262500000000002</v>
      </c>
      <c r="AA11">
        <f>AVERAGE(AA3:AA4,AA8:AA9)</f>
        <v>67.377499999999998</v>
      </c>
      <c r="AE11">
        <f>AVERAGE(AE3:AE4,AE8:AE9)</f>
        <v>0.37124999999999997</v>
      </c>
      <c r="AG11">
        <f>AVERAGE(AG3:AG4,AG8:AG9)</f>
        <v>65.864999999999995</v>
      </c>
      <c r="AP11">
        <f>AVERAGE(AP3:AP4,AP8:AP9)</f>
        <v>18840.65381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5160E-3816-40CB-A111-6AF42F74EFF2}">
  <dimension ref="A1:Z33"/>
  <sheetViews>
    <sheetView tabSelected="1" workbookViewId="0">
      <selection activeCell="I7" sqref="I7"/>
    </sheetView>
  </sheetViews>
  <sheetFormatPr defaultRowHeight="15" x14ac:dyDescent="0.25"/>
  <cols>
    <col min="1" max="1" width="31.7109375" bestFit="1" customWidth="1"/>
    <col min="3" max="3" width="28.85546875" bestFit="1" customWidth="1"/>
    <col min="11" max="11" width="15.7109375" customWidth="1"/>
    <col min="12" max="12" width="11.85546875" bestFit="1" customWidth="1"/>
    <col min="17" max="18" width="14.7109375" customWidth="1"/>
    <col min="19" max="19" width="9.42578125" customWidth="1"/>
    <col min="21" max="21" width="10" bestFit="1" customWidth="1"/>
    <col min="23" max="23" width="10.42578125" bestFit="1" customWidth="1"/>
    <col min="25" max="25" width="12.28515625" bestFit="1" customWidth="1"/>
  </cols>
  <sheetData>
    <row r="1" spans="1:26" ht="45" x14ac:dyDescent="0.25">
      <c r="A1" s="80" t="s">
        <v>158</v>
      </c>
      <c r="B1" s="80"/>
      <c r="C1" t="s">
        <v>117</v>
      </c>
      <c r="K1" s="5" t="s">
        <v>41</v>
      </c>
      <c r="L1" s="5" t="s">
        <v>43</v>
      </c>
      <c r="N1" s="12" t="s">
        <v>47</v>
      </c>
      <c r="O1" s="12" t="s">
        <v>48</v>
      </c>
      <c r="P1" s="12" t="s">
        <v>49</v>
      </c>
      <c r="Q1" s="13" t="s">
        <v>46</v>
      </c>
      <c r="R1" s="13" t="s">
        <v>50</v>
      </c>
      <c r="S1" s="13" t="s">
        <v>51</v>
      </c>
      <c r="U1" s="81" t="s">
        <v>77</v>
      </c>
      <c r="V1" s="81"/>
      <c r="W1" s="81"/>
      <c r="X1" s="81"/>
      <c r="Y1" s="81"/>
      <c r="Z1" s="81"/>
    </row>
    <row r="2" spans="1:26" x14ac:dyDescent="0.25">
      <c r="A2" t="s">
        <v>159</v>
      </c>
      <c r="B2">
        <v>0.1</v>
      </c>
      <c r="K2" s="2" t="s">
        <v>42</v>
      </c>
      <c r="L2" s="3">
        <f>AVERAGE(TDM!AH3:AH4)</f>
        <v>4.6007150000000001</v>
      </c>
      <c r="N2" s="2">
        <v>6.2430000000000003</v>
      </c>
      <c r="O2" s="2">
        <v>6.2560000000000002</v>
      </c>
      <c r="P2" s="2">
        <f>O2-N2</f>
        <v>1.2999999999999901E-2</v>
      </c>
      <c r="Q2" s="2">
        <v>26</v>
      </c>
      <c r="R2" s="2">
        <f>Q2/100</f>
        <v>0.26</v>
      </c>
      <c r="S2" s="2">
        <f>(P2/$P$33)*R2</f>
        <v>2.0061728395061573E-4</v>
      </c>
      <c r="U2" s="14" t="s">
        <v>78</v>
      </c>
      <c r="V2" s="14" t="s">
        <v>79</v>
      </c>
      <c r="W2" s="78" t="s">
        <v>80</v>
      </c>
      <c r="X2" s="78"/>
      <c r="Y2" s="78" t="s">
        <v>81</v>
      </c>
      <c r="Z2" s="78"/>
    </row>
    <row r="3" spans="1:26" x14ac:dyDescent="0.25">
      <c r="A3" t="s">
        <v>160</v>
      </c>
      <c r="B3">
        <v>0.5</v>
      </c>
      <c r="K3" s="2" t="s">
        <v>45</v>
      </c>
      <c r="L3" s="3">
        <f>AVERAGE(TDM!AH8:AH9)</f>
        <v>4.5300150000000006</v>
      </c>
      <c r="N3" s="2">
        <v>1</v>
      </c>
      <c r="O3" s="2">
        <v>1.3420000000000001</v>
      </c>
      <c r="P3" s="2">
        <f t="shared" ref="P3:P32" si="0">O3-N3</f>
        <v>0.34200000000000008</v>
      </c>
      <c r="Q3" s="2">
        <v>17.100000000000001</v>
      </c>
      <c r="R3" s="2">
        <f t="shared" ref="R3:R32" si="1">Q3/100</f>
        <v>0.17100000000000001</v>
      </c>
      <c r="S3" s="2">
        <f t="shared" ref="S3:S32" si="2">(P3/$P$33)*R3</f>
        <v>3.4711538461538465E-3</v>
      </c>
      <c r="U3" s="2" t="s">
        <v>8</v>
      </c>
      <c r="V3" s="2">
        <v>4</v>
      </c>
      <c r="W3" s="2" t="s">
        <v>82</v>
      </c>
      <c r="X3" s="3">
        <v>1</v>
      </c>
      <c r="Y3" s="2" t="s">
        <v>82</v>
      </c>
      <c r="Z3" s="3">
        <v>4</v>
      </c>
    </row>
    <row r="4" spans="1:26" x14ac:dyDescent="0.25">
      <c r="K4" s="2" t="s">
        <v>44</v>
      </c>
      <c r="L4" s="4">
        <f>(L3-L2)/L2</f>
        <v>-1.53671766236334E-2</v>
      </c>
      <c r="N4" s="2">
        <v>3.8290000000000002</v>
      </c>
      <c r="O4" s="2">
        <v>3.8639999999999999</v>
      </c>
      <c r="P4" s="2">
        <f t="shared" si="0"/>
        <v>3.4999999999999698E-2</v>
      </c>
      <c r="Q4" s="2">
        <v>17.100000000000001</v>
      </c>
      <c r="R4" s="2">
        <f t="shared" si="1"/>
        <v>0.17100000000000001</v>
      </c>
      <c r="S4" s="2">
        <f t="shared" si="2"/>
        <v>3.5523504273503971E-4</v>
      </c>
      <c r="U4" s="2" t="s">
        <v>83</v>
      </c>
      <c r="V4" s="3">
        <f>AA16</f>
        <v>0</v>
      </c>
      <c r="W4" s="2" t="s">
        <v>84</v>
      </c>
      <c r="X4" s="15">
        <v>0.44</v>
      </c>
      <c r="Y4" s="2" t="s">
        <v>84</v>
      </c>
      <c r="Z4" s="15">
        <v>3.07</v>
      </c>
    </row>
    <row r="5" spans="1:26" x14ac:dyDescent="0.25">
      <c r="N5" s="2">
        <v>7.39</v>
      </c>
      <c r="O5" s="2">
        <v>8.89</v>
      </c>
      <c r="P5" s="2">
        <f t="shared" si="0"/>
        <v>1.5000000000000009</v>
      </c>
      <c r="Q5" s="2">
        <v>26</v>
      </c>
      <c r="R5" s="2">
        <f t="shared" si="1"/>
        <v>0.26</v>
      </c>
      <c r="S5" s="2">
        <f t="shared" si="2"/>
        <v>2.3148148148148161E-2</v>
      </c>
      <c r="U5" s="2" t="s">
        <v>85</v>
      </c>
      <c r="V5" s="16">
        <v>5</v>
      </c>
      <c r="X5" s="17"/>
      <c r="Z5" s="18"/>
    </row>
    <row r="6" spans="1:26" x14ac:dyDescent="0.25">
      <c r="A6" s="94" t="s">
        <v>143</v>
      </c>
      <c r="B6" s="95"/>
      <c r="C6" s="95"/>
      <c r="D6" s="95"/>
      <c r="E6" s="95"/>
      <c r="F6" s="95"/>
      <c r="G6" s="95"/>
      <c r="H6" s="95"/>
      <c r="N6" s="2">
        <v>7.3849999999999998</v>
      </c>
      <c r="O6" s="2">
        <v>7.39</v>
      </c>
      <c r="P6" s="2">
        <f t="shared" si="0"/>
        <v>4.9999999999998934E-3</v>
      </c>
      <c r="Q6" s="2">
        <v>26</v>
      </c>
      <c r="R6" s="2">
        <f t="shared" si="1"/>
        <v>0.26</v>
      </c>
      <c r="S6" s="2">
        <f t="shared" si="2"/>
        <v>7.7160493827158839E-5</v>
      </c>
      <c r="U6" s="2" t="s">
        <v>86</v>
      </c>
      <c r="V6" s="16">
        <v>2.5499999999999998</v>
      </c>
      <c r="X6" s="17"/>
      <c r="Z6" s="18"/>
    </row>
    <row r="7" spans="1:26" ht="60" x14ac:dyDescent="0.25">
      <c r="A7" s="36"/>
      <c r="B7" s="36" t="s">
        <v>113</v>
      </c>
      <c r="C7" s="32" t="s">
        <v>144</v>
      </c>
      <c r="D7" s="32" t="s">
        <v>145</v>
      </c>
      <c r="E7" s="32" t="s">
        <v>114</v>
      </c>
      <c r="F7" s="32" t="s">
        <v>146</v>
      </c>
      <c r="G7" s="32" t="s">
        <v>147</v>
      </c>
      <c r="H7" s="32" t="s">
        <v>148</v>
      </c>
      <c r="N7" s="2">
        <v>1.2430000000000001</v>
      </c>
      <c r="O7" s="2">
        <v>2.7210000000000001</v>
      </c>
      <c r="P7" s="2">
        <f t="shared" si="0"/>
        <v>1.478</v>
      </c>
      <c r="Q7" s="2">
        <v>17.100000000000001</v>
      </c>
      <c r="R7" s="2">
        <f t="shared" si="1"/>
        <v>0.17100000000000001</v>
      </c>
      <c r="S7" s="2">
        <f t="shared" si="2"/>
        <v>1.5001068376068374E-2</v>
      </c>
      <c r="U7" s="2" t="s">
        <v>87</v>
      </c>
      <c r="V7" s="15" t="e">
        <f>(V3*100000000)/(V4*365*V5*V6)</f>
        <v>#DIV/0!</v>
      </c>
      <c r="X7" s="17"/>
      <c r="Z7" s="18"/>
    </row>
    <row r="8" spans="1:26" ht="14.45" customHeight="1" x14ac:dyDescent="0.25">
      <c r="A8" s="37" t="s">
        <v>161</v>
      </c>
      <c r="B8" s="19" t="s">
        <v>162</v>
      </c>
      <c r="C8" s="38">
        <v>0</v>
      </c>
      <c r="D8" s="38">
        <f>TDM!AP11</f>
        <v>18840.65381</v>
      </c>
      <c r="E8" s="39" t="s">
        <v>163</v>
      </c>
      <c r="F8" s="39">
        <f>(D8*0.1/4)/2350</f>
        <v>0.20043248734042554</v>
      </c>
      <c r="G8" s="39">
        <f>TDM!S11</f>
        <v>0.42726000000000003</v>
      </c>
      <c r="H8" s="39">
        <f>AVERAGE(TDM!S3:S4,TDM!S8:S9,TDM!Y3:Y4,TDM!Y8:Y9,TDM!AE3:AE4,TDM!AE8:AE9)</f>
        <v>0.33037833333333333</v>
      </c>
      <c r="N8" s="2">
        <v>0.52400000000000002</v>
      </c>
      <c r="O8" s="2">
        <v>0.54400000000000004</v>
      </c>
      <c r="P8" s="2">
        <f t="shared" si="0"/>
        <v>2.0000000000000018E-2</v>
      </c>
      <c r="Q8" s="2">
        <v>14.3</v>
      </c>
      <c r="R8" s="2">
        <f t="shared" si="1"/>
        <v>0.14300000000000002</v>
      </c>
      <c r="S8" s="2">
        <f t="shared" si="2"/>
        <v>1.6975308641975322E-4</v>
      </c>
    </row>
    <row r="9" spans="1:26" x14ac:dyDescent="0.25">
      <c r="A9" s="81" t="s">
        <v>206</v>
      </c>
      <c r="B9" s="81"/>
      <c r="C9" s="81"/>
      <c r="D9" s="81"/>
      <c r="E9" s="81"/>
      <c r="F9" s="81"/>
      <c r="G9" s="81"/>
      <c r="H9" s="81"/>
      <c r="N9" s="2">
        <v>3.8149999999999999</v>
      </c>
      <c r="O9" s="2">
        <v>4.6210000000000004</v>
      </c>
      <c r="P9" s="2">
        <f t="shared" si="0"/>
        <v>0.80600000000000049</v>
      </c>
      <c r="Q9" s="2">
        <v>17.100000000000001</v>
      </c>
      <c r="R9" s="2">
        <f t="shared" si="1"/>
        <v>0.17100000000000001</v>
      </c>
      <c r="S9" s="2">
        <f t="shared" si="2"/>
        <v>8.1805555555555607E-3</v>
      </c>
    </row>
    <row r="10" spans="1:26" ht="15.75" thickBot="1" x14ac:dyDescent="0.3">
      <c r="A10" s="31"/>
      <c r="E10" s="17"/>
      <c r="N10" s="2">
        <v>4.6210000000000004</v>
      </c>
      <c r="O10" s="2">
        <v>5.9729999999999999</v>
      </c>
      <c r="P10" s="2">
        <f t="shared" si="0"/>
        <v>1.3519999999999994</v>
      </c>
      <c r="Q10" s="2">
        <v>19.399999999999999</v>
      </c>
      <c r="R10" s="2">
        <f t="shared" si="1"/>
        <v>0.19399999999999998</v>
      </c>
      <c r="S10" s="2">
        <f t="shared" si="2"/>
        <v>1.556790123456789E-2</v>
      </c>
    </row>
    <row r="11" spans="1:26" x14ac:dyDescent="0.25">
      <c r="A11" s="82" t="s">
        <v>149</v>
      </c>
      <c r="B11" s="83"/>
      <c r="C11" s="83"/>
      <c r="D11" s="84"/>
      <c r="N11" s="2">
        <v>1.35</v>
      </c>
      <c r="O11" s="2">
        <v>3.669</v>
      </c>
      <c r="P11" s="2">
        <f t="shared" si="0"/>
        <v>2.319</v>
      </c>
      <c r="Q11" s="2">
        <v>17.100000000000001</v>
      </c>
      <c r="R11" s="2">
        <f t="shared" si="1"/>
        <v>0.17100000000000001</v>
      </c>
      <c r="S11" s="2">
        <f t="shared" si="2"/>
        <v>2.3536858974358969E-2</v>
      </c>
    </row>
    <row r="12" spans="1:26" x14ac:dyDescent="0.25">
      <c r="A12" s="77" t="s">
        <v>150</v>
      </c>
      <c r="B12" s="78"/>
      <c r="C12" s="78" t="s">
        <v>151</v>
      </c>
      <c r="D12" s="79"/>
      <c r="E12" s="40"/>
      <c r="N12" s="2">
        <v>2.7450000000000001</v>
      </c>
      <c r="O12" s="2">
        <v>3.8290000000000002</v>
      </c>
      <c r="P12" s="2">
        <f t="shared" si="0"/>
        <v>1.0840000000000001</v>
      </c>
      <c r="Q12" s="2">
        <v>17.100000000000001</v>
      </c>
      <c r="R12" s="2">
        <f t="shared" si="1"/>
        <v>0.17100000000000001</v>
      </c>
      <c r="S12" s="2">
        <f t="shared" si="2"/>
        <v>1.1002136752136753E-2</v>
      </c>
    </row>
    <row r="13" spans="1:26" ht="18" x14ac:dyDescent="0.35">
      <c r="A13" s="41" t="s">
        <v>152</v>
      </c>
      <c r="B13" s="48">
        <v>0</v>
      </c>
      <c r="C13" s="2" t="s">
        <v>152</v>
      </c>
      <c r="D13" s="42">
        <f>MIN(TDM!U11,TDM!AA11,TDM!AG11)</f>
        <v>64.282499999999999</v>
      </c>
      <c r="E13" s="17"/>
      <c r="N13" s="2">
        <v>6.2560000000000002</v>
      </c>
      <c r="O13" s="2">
        <v>6.2629999999999999</v>
      </c>
      <c r="P13" s="2">
        <f t="shared" si="0"/>
        <v>6.9999999999996732E-3</v>
      </c>
      <c r="Q13" s="2">
        <v>26</v>
      </c>
      <c r="R13" s="2">
        <f t="shared" si="1"/>
        <v>0.26</v>
      </c>
      <c r="S13" s="2">
        <f t="shared" si="2"/>
        <v>1.0802469135801963E-4</v>
      </c>
    </row>
    <row r="14" spans="1:26" x14ac:dyDescent="0.25">
      <c r="A14" s="41" t="s">
        <v>153</v>
      </c>
      <c r="B14" s="48">
        <v>0</v>
      </c>
      <c r="C14" s="2" t="s">
        <v>153</v>
      </c>
      <c r="D14" s="43">
        <f>TDM!J11</f>
        <v>10.114229999999999</v>
      </c>
      <c r="E14" s="17"/>
      <c r="N14" s="2">
        <v>3.8639999999999999</v>
      </c>
      <c r="O14" s="2">
        <v>3.8959999999999999</v>
      </c>
      <c r="P14" s="2">
        <f t="shared" si="0"/>
        <v>3.2000000000000028E-2</v>
      </c>
      <c r="Q14" s="2">
        <v>17.100000000000001</v>
      </c>
      <c r="R14" s="2">
        <f t="shared" si="1"/>
        <v>0.17100000000000001</v>
      </c>
      <c r="S14" s="2">
        <f t="shared" si="2"/>
        <v>3.2478632478632504E-4</v>
      </c>
    </row>
    <row r="15" spans="1:26" ht="18" x14ac:dyDescent="0.35">
      <c r="A15" s="41" t="s">
        <v>154</v>
      </c>
      <c r="B15" s="49">
        <v>0</v>
      </c>
      <c r="C15" s="2" t="s">
        <v>154</v>
      </c>
      <c r="D15" s="44">
        <f>D14/D13</f>
        <v>0.15734033368335082</v>
      </c>
      <c r="E15" s="17"/>
      <c r="N15" s="2">
        <v>3.9830000000000001</v>
      </c>
      <c r="O15" s="2">
        <v>5.359</v>
      </c>
      <c r="P15" s="2">
        <f t="shared" si="0"/>
        <v>1.3759999999999999</v>
      </c>
      <c r="Q15" s="2">
        <v>16.7</v>
      </c>
      <c r="R15" s="2">
        <f t="shared" si="1"/>
        <v>0.16699999999999998</v>
      </c>
      <c r="S15" s="2">
        <f t="shared" si="2"/>
        <v>1.3639126305792969E-2</v>
      </c>
    </row>
    <row r="16" spans="1:26" ht="18" x14ac:dyDescent="0.35">
      <c r="A16" s="41" t="s">
        <v>155</v>
      </c>
      <c r="B16" s="48">
        <v>0</v>
      </c>
      <c r="C16" s="2" t="s">
        <v>155</v>
      </c>
      <c r="D16" s="42">
        <f>TDM!P11</f>
        <v>67.5</v>
      </c>
      <c r="E16" s="17"/>
      <c r="N16" s="2">
        <v>1.1559999999999999</v>
      </c>
      <c r="O16" s="2">
        <v>1.5640000000000001</v>
      </c>
      <c r="P16" s="2">
        <f t="shared" si="0"/>
        <v>0.40800000000000014</v>
      </c>
      <c r="Q16" s="2">
        <v>14.3</v>
      </c>
      <c r="R16" s="2">
        <f t="shared" si="1"/>
        <v>0.14300000000000002</v>
      </c>
      <c r="S16" s="2">
        <f t="shared" si="2"/>
        <v>3.4629629629629641E-3</v>
      </c>
    </row>
    <row r="17" spans="1:19" ht="18" x14ac:dyDescent="0.35">
      <c r="A17" s="41" t="s">
        <v>156</v>
      </c>
      <c r="B17" s="49">
        <v>0</v>
      </c>
      <c r="C17" s="2" t="s">
        <v>156</v>
      </c>
      <c r="D17" s="44">
        <f>D14/D16</f>
        <v>0.14984044444444444</v>
      </c>
      <c r="E17" s="17"/>
      <c r="N17" s="2">
        <v>0</v>
      </c>
      <c r="O17" s="2">
        <v>2E-3</v>
      </c>
      <c r="P17" s="2">
        <f t="shared" si="0"/>
        <v>2E-3</v>
      </c>
      <c r="Q17" s="2">
        <v>17.399999999999999</v>
      </c>
      <c r="R17" s="2">
        <f t="shared" si="1"/>
        <v>0.17399999999999999</v>
      </c>
      <c r="S17" s="2">
        <f t="shared" si="2"/>
        <v>2.0655270655270651E-5</v>
      </c>
    </row>
    <row r="18" spans="1:19" ht="15.75" thickBot="1" x14ac:dyDescent="0.3">
      <c r="A18" s="45" t="s">
        <v>157</v>
      </c>
      <c r="B18" s="46">
        <v>0</v>
      </c>
      <c r="C18" s="30" t="s">
        <v>157</v>
      </c>
      <c r="D18" s="47">
        <f>D15/D17</f>
        <v>1.0500525026251313</v>
      </c>
      <c r="E18" s="17"/>
      <c r="N18" s="2">
        <v>0.495</v>
      </c>
      <c r="O18" s="2">
        <v>0.51900000000000002</v>
      </c>
      <c r="P18" s="2">
        <f t="shared" si="0"/>
        <v>2.4000000000000021E-2</v>
      </c>
      <c r="Q18" s="2">
        <v>17.399999999999999</v>
      </c>
      <c r="R18" s="2">
        <f t="shared" si="1"/>
        <v>0.17399999999999999</v>
      </c>
      <c r="S18" s="2">
        <f t="shared" si="2"/>
        <v>2.4786324786324807E-4</v>
      </c>
    </row>
    <row r="19" spans="1:19" x14ac:dyDescent="0.25">
      <c r="N19" s="2">
        <v>3.669</v>
      </c>
      <c r="O19" s="2">
        <v>3.8149999999999999</v>
      </c>
      <c r="P19" s="2">
        <f t="shared" si="0"/>
        <v>0.14599999999999991</v>
      </c>
      <c r="Q19" s="2">
        <v>17.100000000000001</v>
      </c>
      <c r="R19" s="2">
        <f t="shared" si="1"/>
        <v>0.17100000000000001</v>
      </c>
      <c r="S19" s="2">
        <f t="shared" si="2"/>
        <v>1.4818376068376057E-3</v>
      </c>
    </row>
    <row r="20" spans="1:19" x14ac:dyDescent="0.25">
      <c r="N20" s="2">
        <v>5.359</v>
      </c>
      <c r="O20" s="2">
        <v>5.4169999999999998</v>
      </c>
      <c r="P20" s="2">
        <f t="shared" si="0"/>
        <v>5.7999999999999829E-2</v>
      </c>
      <c r="Q20" s="2">
        <v>16.7</v>
      </c>
      <c r="R20" s="2">
        <f t="shared" si="1"/>
        <v>0.16699999999999998</v>
      </c>
      <c r="S20" s="2">
        <f t="shared" si="2"/>
        <v>5.7490503323836466E-4</v>
      </c>
    </row>
    <row r="21" spans="1:19" x14ac:dyDescent="0.25">
      <c r="N21" s="2">
        <v>3.8959999999999999</v>
      </c>
      <c r="O21" s="2">
        <v>4.5410000000000004</v>
      </c>
      <c r="P21" s="2">
        <f t="shared" si="0"/>
        <v>0.64500000000000046</v>
      </c>
      <c r="Q21" s="2">
        <v>17.100000000000001</v>
      </c>
      <c r="R21" s="2">
        <f t="shared" si="1"/>
        <v>0.17100000000000001</v>
      </c>
      <c r="S21" s="2">
        <f t="shared" si="2"/>
        <v>6.5464743589743624E-3</v>
      </c>
    </row>
    <row r="22" spans="1:19" x14ac:dyDescent="0.25">
      <c r="N22" s="2">
        <v>5.9729999999999999</v>
      </c>
      <c r="O22" s="2">
        <v>6.2430000000000003</v>
      </c>
      <c r="P22" s="2">
        <f t="shared" si="0"/>
        <v>0.27000000000000046</v>
      </c>
      <c r="Q22" s="2">
        <v>19.399999999999999</v>
      </c>
      <c r="R22" s="2">
        <f t="shared" si="1"/>
        <v>0.19399999999999998</v>
      </c>
      <c r="S22" s="2">
        <f t="shared" si="2"/>
        <v>3.1089743589743637E-3</v>
      </c>
    </row>
    <row r="23" spans="1:19" x14ac:dyDescent="0.25">
      <c r="N23" s="2">
        <v>0.54400000000000004</v>
      </c>
      <c r="O23" s="2">
        <v>1.1559999999999999</v>
      </c>
      <c r="P23" s="2">
        <f t="shared" si="0"/>
        <v>0.61199999999999988</v>
      </c>
      <c r="Q23" s="2">
        <v>14.3</v>
      </c>
      <c r="R23" s="2">
        <f t="shared" si="1"/>
        <v>0.14300000000000002</v>
      </c>
      <c r="S23" s="2">
        <f t="shared" si="2"/>
        <v>5.1944444444444434E-3</v>
      </c>
    </row>
    <row r="24" spans="1:19" x14ac:dyDescent="0.25">
      <c r="N24" s="2">
        <v>6.2629999999999999</v>
      </c>
      <c r="O24" s="2">
        <v>6.2690000000000001</v>
      </c>
      <c r="P24" s="2">
        <f t="shared" si="0"/>
        <v>6.0000000000002274E-3</v>
      </c>
      <c r="Q24" s="2">
        <v>26</v>
      </c>
      <c r="R24" s="2">
        <f t="shared" si="1"/>
        <v>0.26</v>
      </c>
      <c r="S24" s="2">
        <f t="shared" si="2"/>
        <v>9.2592592592596098E-5</v>
      </c>
    </row>
    <row r="25" spans="1:19" x14ac:dyDescent="0.25">
      <c r="N25" s="2">
        <v>3.9489999999999998</v>
      </c>
      <c r="O25" s="2">
        <v>3.9830000000000001</v>
      </c>
      <c r="P25" s="2">
        <f t="shared" si="0"/>
        <v>3.4000000000000252E-2</v>
      </c>
      <c r="Q25" s="2">
        <v>16.7</v>
      </c>
      <c r="R25" s="2">
        <f t="shared" si="1"/>
        <v>0.16699999999999998</v>
      </c>
      <c r="S25" s="2">
        <f t="shared" si="2"/>
        <v>3.3701329534663104E-4</v>
      </c>
    </row>
    <row r="26" spans="1:19" x14ac:dyDescent="0.25">
      <c r="N26" s="2">
        <v>1.5640000000000001</v>
      </c>
      <c r="O26" s="2">
        <v>3.9489999999999998</v>
      </c>
      <c r="P26" s="2">
        <f t="shared" si="0"/>
        <v>2.3849999999999998</v>
      </c>
      <c r="Q26" s="2">
        <v>16.7</v>
      </c>
      <c r="R26" s="2">
        <f t="shared" si="1"/>
        <v>0.16699999999999998</v>
      </c>
      <c r="S26" s="2">
        <f t="shared" si="2"/>
        <v>2.3640491452991446E-2</v>
      </c>
    </row>
    <row r="27" spans="1:19" x14ac:dyDescent="0.25">
      <c r="N27" s="2">
        <v>2E-3</v>
      </c>
      <c r="O27" s="2">
        <v>0.495</v>
      </c>
      <c r="P27" s="2">
        <f t="shared" si="0"/>
        <v>0.49299999999999999</v>
      </c>
      <c r="Q27" s="2">
        <v>17.399999999999999</v>
      </c>
      <c r="R27" s="2">
        <f t="shared" si="1"/>
        <v>0.17399999999999999</v>
      </c>
      <c r="S27" s="2">
        <f t="shared" si="2"/>
        <v>5.0915242165242153E-3</v>
      </c>
    </row>
    <row r="28" spans="1:19" x14ac:dyDescent="0.25">
      <c r="N28" s="2">
        <v>1.3420000000000001</v>
      </c>
      <c r="O28" s="2">
        <v>1.35</v>
      </c>
      <c r="P28" s="2">
        <f t="shared" si="0"/>
        <v>8.0000000000000071E-3</v>
      </c>
      <c r="Q28" s="2">
        <v>17.100000000000001</v>
      </c>
      <c r="R28" s="2">
        <f t="shared" si="1"/>
        <v>0.17100000000000001</v>
      </c>
      <c r="S28" s="2">
        <f t="shared" si="2"/>
        <v>8.1196581196581259E-5</v>
      </c>
    </row>
    <row r="29" spans="1:19" x14ac:dyDescent="0.25">
      <c r="N29" s="2">
        <v>2.7210000000000001</v>
      </c>
      <c r="O29" s="2">
        <v>2.7450000000000001</v>
      </c>
      <c r="P29" s="2">
        <f t="shared" si="0"/>
        <v>2.4000000000000021E-2</v>
      </c>
      <c r="Q29" s="2">
        <v>17.100000000000001</v>
      </c>
      <c r="R29" s="2">
        <f t="shared" si="1"/>
        <v>0.17100000000000001</v>
      </c>
      <c r="S29" s="2">
        <f t="shared" si="2"/>
        <v>2.4358974358974382E-4</v>
      </c>
    </row>
    <row r="30" spans="1:19" x14ac:dyDescent="0.25">
      <c r="N30" s="2">
        <v>0.51900000000000002</v>
      </c>
      <c r="O30" s="2">
        <v>0.52400000000000002</v>
      </c>
      <c r="P30" s="2">
        <f t="shared" si="0"/>
        <v>5.0000000000000044E-3</v>
      </c>
      <c r="Q30" s="2">
        <v>14.3</v>
      </c>
      <c r="R30" s="2">
        <f t="shared" si="1"/>
        <v>0.14300000000000002</v>
      </c>
      <c r="S30" s="2">
        <f t="shared" si="2"/>
        <v>4.2438271604938304E-5</v>
      </c>
    </row>
    <row r="31" spans="1:19" x14ac:dyDescent="0.25">
      <c r="N31" s="2">
        <v>6.2690000000000001</v>
      </c>
      <c r="O31" s="2">
        <v>7.3849999999999998</v>
      </c>
      <c r="P31" s="2">
        <f t="shared" si="0"/>
        <v>1.1159999999999997</v>
      </c>
      <c r="Q31" s="2">
        <v>26</v>
      </c>
      <c r="R31" s="2">
        <f t="shared" si="1"/>
        <v>0.26</v>
      </c>
      <c r="S31" s="2">
        <f t="shared" si="2"/>
        <v>1.7222222222222215E-2</v>
      </c>
    </row>
    <row r="32" spans="1:19" x14ac:dyDescent="0.25">
      <c r="N32" s="2">
        <v>1</v>
      </c>
      <c r="O32" s="2">
        <v>1.2430000000000001</v>
      </c>
      <c r="P32" s="2">
        <f t="shared" si="0"/>
        <v>0.2430000000000001</v>
      </c>
      <c r="Q32" s="2">
        <v>16.7</v>
      </c>
      <c r="R32" s="2">
        <f t="shared" si="1"/>
        <v>0.16699999999999998</v>
      </c>
      <c r="S32" s="2">
        <f t="shared" si="2"/>
        <v>2.4086538461538464E-3</v>
      </c>
    </row>
    <row r="33" spans="14:19" x14ac:dyDescent="0.25">
      <c r="N33" s="2"/>
      <c r="O33" s="2"/>
      <c r="P33" s="2">
        <f>SUM(P2:P32)</f>
        <v>16.848000000000003</v>
      </c>
      <c r="Q33" s="2">
        <f>AVERAGE(Q2:Q32)</f>
        <v>18.574193548387097</v>
      </c>
      <c r="R33" s="11">
        <f>AVERAGE(R2:R32)</f>
        <v>0.18574193548387094</v>
      </c>
      <c r="S33" s="11">
        <f>SUM(S2:S32)</f>
        <v>0.18458036562203228</v>
      </c>
    </row>
  </sheetData>
  <mergeCells count="9">
    <mergeCell ref="A12:B12"/>
    <mergeCell ref="C12:D12"/>
    <mergeCell ref="A1:B1"/>
    <mergeCell ref="U1:Z1"/>
    <mergeCell ref="W2:X2"/>
    <mergeCell ref="Y2:Z2"/>
    <mergeCell ref="A11:D11"/>
    <mergeCell ref="A9:H9"/>
    <mergeCell ref="A6:H6"/>
  </mergeCells>
  <phoneticPr fontId="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17491-2C87-4A95-AE06-B496D1B6A78D}">
  <dimension ref="A1:R41"/>
  <sheetViews>
    <sheetView workbookViewId="0">
      <selection activeCell="H25" sqref="H25"/>
    </sheetView>
  </sheetViews>
  <sheetFormatPr defaultRowHeight="15" x14ac:dyDescent="0.25"/>
  <cols>
    <col min="2" max="2" width="57" customWidth="1"/>
    <col min="3" max="3" width="16" customWidth="1"/>
    <col min="4" max="4" width="5.28515625" customWidth="1"/>
    <col min="5" max="5" width="5.7109375" customWidth="1"/>
  </cols>
  <sheetData>
    <row r="1" spans="1:18" x14ac:dyDescent="0.25">
      <c r="A1" s="29"/>
      <c r="B1" s="29"/>
      <c r="C1" s="50"/>
      <c r="D1" s="29"/>
      <c r="E1" s="29"/>
      <c r="F1" s="29"/>
      <c r="G1" s="29"/>
      <c r="H1" s="29"/>
      <c r="I1" s="29"/>
      <c r="J1" s="29"/>
      <c r="K1" s="29"/>
    </row>
    <row r="2" spans="1:18" ht="18.75" x14ac:dyDescent="0.25">
      <c r="A2" s="29"/>
      <c r="B2" s="51" t="s">
        <v>164</v>
      </c>
      <c r="C2" s="52"/>
      <c r="D2" s="53"/>
      <c r="E2" s="29"/>
      <c r="F2" s="29"/>
      <c r="G2" s="29"/>
      <c r="H2" s="29"/>
      <c r="I2" s="29"/>
      <c r="J2" s="29"/>
      <c r="K2" s="85" t="s">
        <v>194</v>
      </c>
      <c r="L2" s="85"/>
      <c r="M2" s="85"/>
      <c r="N2" s="85"/>
      <c r="O2" s="85"/>
      <c r="P2" s="85"/>
      <c r="Q2" s="85"/>
      <c r="R2" s="85"/>
    </row>
    <row r="3" spans="1:18" x14ac:dyDescent="0.25">
      <c r="A3" s="29"/>
      <c r="B3" s="29"/>
      <c r="C3" s="50"/>
      <c r="D3" s="29"/>
      <c r="E3" s="29"/>
      <c r="F3" s="29"/>
      <c r="G3" s="29"/>
      <c r="H3" s="29"/>
      <c r="I3" s="29"/>
      <c r="J3" s="29"/>
      <c r="K3" s="86"/>
      <c r="L3" s="86"/>
      <c r="M3" s="86"/>
      <c r="N3" s="86"/>
      <c r="O3" s="19" t="s">
        <v>195</v>
      </c>
      <c r="P3" s="19" t="s">
        <v>196</v>
      </c>
      <c r="Q3" s="19" t="s">
        <v>197</v>
      </c>
      <c r="R3" s="19" t="s">
        <v>198</v>
      </c>
    </row>
    <row r="4" spans="1:18" x14ac:dyDescent="0.25">
      <c r="A4" s="29"/>
      <c r="B4" s="54" t="s">
        <v>165</v>
      </c>
      <c r="C4" s="50"/>
      <c r="D4" s="29"/>
      <c r="E4" s="29"/>
      <c r="F4" s="29"/>
      <c r="G4" s="29"/>
      <c r="H4" s="29"/>
      <c r="I4" s="29"/>
      <c r="J4" s="29"/>
      <c r="K4" s="86" t="s">
        <v>199</v>
      </c>
      <c r="L4" s="86"/>
      <c r="M4" s="86"/>
      <c r="N4" s="86"/>
      <c r="O4" s="2">
        <v>0</v>
      </c>
      <c r="P4" s="2">
        <v>0</v>
      </c>
      <c r="Q4" s="2">
        <v>0</v>
      </c>
      <c r="R4" s="15">
        <f>AVERAGE(O4:Q4)</f>
        <v>0</v>
      </c>
    </row>
    <row r="5" spans="1:18" x14ac:dyDescent="0.25">
      <c r="A5" s="29"/>
      <c r="B5" s="55" t="s">
        <v>166</v>
      </c>
      <c r="C5" s="56" t="s">
        <v>162</v>
      </c>
      <c r="D5" s="29"/>
      <c r="E5" s="55"/>
      <c r="F5" s="29" t="s">
        <v>167</v>
      </c>
      <c r="G5" s="29"/>
      <c r="H5" s="29"/>
      <c r="I5" s="29"/>
      <c r="J5" s="29"/>
      <c r="K5" s="86" t="s">
        <v>200</v>
      </c>
      <c r="L5" s="86"/>
      <c r="M5" s="86"/>
      <c r="N5" s="86"/>
      <c r="O5" s="2">
        <f>TDM!U11</f>
        <v>64.282499999999999</v>
      </c>
      <c r="P5" s="2">
        <f>TDM!AA11</f>
        <v>67.377499999999998</v>
      </c>
      <c r="Q5" s="2">
        <f>TDM!AG11</f>
        <v>65.864999999999995</v>
      </c>
      <c r="R5" s="15">
        <f>AVERAGE(O5:Q5)</f>
        <v>65.841666666666654</v>
      </c>
    </row>
    <row r="6" spans="1:18" x14ac:dyDescent="0.25">
      <c r="A6" s="29"/>
      <c r="B6" s="55" t="s">
        <v>168</v>
      </c>
      <c r="C6" s="57">
        <v>789</v>
      </c>
      <c r="D6" s="29"/>
      <c r="E6" s="58"/>
      <c r="F6" s="29" t="s">
        <v>169</v>
      </c>
      <c r="G6" s="29"/>
      <c r="H6" s="29"/>
      <c r="I6" s="29"/>
      <c r="J6" s="29"/>
      <c r="K6" s="29"/>
    </row>
    <row r="7" spans="1:18" x14ac:dyDescent="0.25">
      <c r="A7" s="29"/>
      <c r="B7" s="55" t="s">
        <v>170</v>
      </c>
      <c r="C7" s="57"/>
      <c r="D7" s="29"/>
      <c r="E7" s="59"/>
      <c r="F7" s="29" t="s">
        <v>171</v>
      </c>
      <c r="G7" s="29"/>
      <c r="H7" s="29"/>
      <c r="I7" s="29"/>
      <c r="J7" s="29"/>
      <c r="K7" s="29"/>
    </row>
    <row r="8" spans="1:18" x14ac:dyDescent="0.25">
      <c r="A8" s="29"/>
      <c r="B8" s="55" t="s">
        <v>172</v>
      </c>
      <c r="C8" s="57" t="s">
        <v>173</v>
      </c>
      <c r="D8" s="29"/>
      <c r="E8" s="29"/>
      <c r="F8" s="29"/>
      <c r="G8" s="29"/>
      <c r="H8" s="29"/>
      <c r="I8" s="29"/>
      <c r="J8" s="29"/>
      <c r="K8" s="29"/>
    </row>
    <row r="9" spans="1:18" x14ac:dyDescent="0.25">
      <c r="A9" s="29"/>
      <c r="B9" s="29"/>
      <c r="C9" s="50"/>
      <c r="D9" s="29"/>
      <c r="E9" s="29"/>
      <c r="F9" s="29"/>
      <c r="G9" s="29"/>
      <c r="H9" s="29"/>
      <c r="I9" s="29"/>
      <c r="J9" s="29"/>
      <c r="K9" s="29"/>
    </row>
    <row r="10" spans="1:18" x14ac:dyDescent="0.25">
      <c r="A10" s="29"/>
      <c r="B10" s="29"/>
      <c r="C10" s="50"/>
      <c r="D10" s="29"/>
      <c r="E10" s="29"/>
      <c r="F10" s="29"/>
      <c r="G10" s="29"/>
      <c r="H10" s="29"/>
      <c r="I10" s="29"/>
      <c r="J10" s="29"/>
      <c r="K10" s="29"/>
    </row>
    <row r="11" spans="1:18" x14ac:dyDescent="0.25">
      <c r="A11" s="29"/>
      <c r="B11" s="54" t="s">
        <v>174</v>
      </c>
      <c r="C11" s="50"/>
      <c r="D11" s="29"/>
      <c r="E11" s="29"/>
      <c r="F11" s="29"/>
      <c r="G11" s="29"/>
      <c r="H11" s="29"/>
      <c r="I11" s="29"/>
      <c r="J11" s="29"/>
      <c r="K11" s="29"/>
    </row>
    <row r="12" spans="1:18" x14ac:dyDescent="0.25">
      <c r="A12" s="29"/>
      <c r="B12" s="55" t="s">
        <v>175</v>
      </c>
      <c r="C12" s="57">
        <v>2025</v>
      </c>
      <c r="D12" s="29"/>
      <c r="E12" s="29"/>
      <c r="F12" s="29"/>
      <c r="G12" s="29"/>
      <c r="H12" s="29"/>
      <c r="I12" s="29"/>
      <c r="J12" s="29"/>
      <c r="K12" s="29"/>
    </row>
    <row r="13" spans="1:18" x14ac:dyDescent="0.25">
      <c r="A13" s="29"/>
      <c r="B13" s="55" t="s">
        <v>176</v>
      </c>
      <c r="C13" s="57" t="s">
        <v>177</v>
      </c>
      <c r="D13" s="29"/>
      <c r="E13" s="29"/>
      <c r="F13" s="29"/>
      <c r="G13" s="29"/>
      <c r="H13" s="29"/>
      <c r="I13" s="29"/>
      <c r="J13" s="29"/>
      <c r="K13" s="29"/>
    </row>
    <row r="14" spans="1:18" x14ac:dyDescent="0.25">
      <c r="A14" s="29"/>
      <c r="B14" s="60" t="s">
        <v>178</v>
      </c>
      <c r="C14" s="61" t="s">
        <v>201</v>
      </c>
      <c r="D14" s="29"/>
      <c r="E14" s="29"/>
      <c r="F14" s="29"/>
      <c r="G14" s="29"/>
      <c r="H14" s="29"/>
      <c r="I14" s="29"/>
      <c r="J14" s="29"/>
      <c r="K14" s="29"/>
    </row>
    <row r="15" spans="1:18" x14ac:dyDescent="0.25">
      <c r="A15" s="29"/>
      <c r="B15" s="60" t="s">
        <v>179</v>
      </c>
      <c r="C15" s="62">
        <v>10.1</v>
      </c>
      <c r="D15" s="29"/>
      <c r="E15" s="29"/>
      <c r="F15" s="29"/>
      <c r="G15" s="29"/>
      <c r="H15" s="29"/>
      <c r="I15" s="29"/>
      <c r="J15" s="29"/>
      <c r="K15" s="29"/>
    </row>
    <row r="16" spans="1:18" x14ac:dyDescent="0.25">
      <c r="A16" s="29"/>
      <c r="B16" s="60" t="s">
        <v>180</v>
      </c>
      <c r="C16" s="61">
        <v>0</v>
      </c>
      <c r="D16" s="29"/>
      <c r="E16" s="29"/>
      <c r="F16" s="29"/>
      <c r="G16" s="29"/>
      <c r="H16" s="29"/>
      <c r="I16" s="29"/>
      <c r="J16" s="29"/>
      <c r="K16" s="29"/>
    </row>
    <row r="17" spans="1:11" x14ac:dyDescent="0.25">
      <c r="A17" s="29"/>
      <c r="B17" s="63" t="s">
        <v>181</v>
      </c>
      <c r="C17" s="61">
        <v>65.84</v>
      </c>
      <c r="D17" s="29"/>
      <c r="E17" s="29"/>
      <c r="F17" s="29"/>
      <c r="G17" s="29"/>
      <c r="H17" s="29"/>
      <c r="I17" s="29"/>
      <c r="J17" s="29"/>
      <c r="K17" s="29"/>
    </row>
    <row r="18" spans="1:11" x14ac:dyDescent="0.25">
      <c r="A18" s="29"/>
      <c r="B18" s="64" t="s">
        <v>182</v>
      </c>
      <c r="C18" s="65">
        <f>VLOOKUP(C13,'[1]Service Life'!C6:D12,2,FALSE)</f>
        <v>20</v>
      </c>
      <c r="D18" s="29"/>
      <c r="E18" s="29"/>
      <c r="F18" s="29"/>
      <c r="G18" s="29"/>
      <c r="H18" s="29"/>
      <c r="I18" s="29"/>
      <c r="J18" s="29"/>
      <c r="K18" s="29"/>
    </row>
    <row r="19" spans="1:11" x14ac:dyDescent="0.25">
      <c r="A19" s="29"/>
      <c r="B19" s="29"/>
      <c r="C19" s="50"/>
      <c r="D19" s="29"/>
      <c r="E19" s="29"/>
      <c r="F19" s="29"/>
      <c r="G19" s="29"/>
      <c r="H19" s="29"/>
      <c r="I19" s="29"/>
      <c r="J19" s="29"/>
      <c r="K19" s="29"/>
    </row>
    <row r="20" spans="1:11" x14ac:dyDescent="0.25">
      <c r="A20" s="29"/>
      <c r="B20" s="54" t="s">
        <v>183</v>
      </c>
      <c r="C20" s="50"/>
      <c r="D20" s="29"/>
      <c r="E20" s="29"/>
      <c r="F20" s="29"/>
      <c r="G20" s="29"/>
      <c r="H20" s="29"/>
      <c r="I20" s="29"/>
      <c r="J20" s="29"/>
      <c r="K20" s="29"/>
    </row>
    <row r="21" spans="1:11" ht="30" x14ac:dyDescent="0.25">
      <c r="A21" s="29"/>
      <c r="B21" s="63" t="s">
        <v>184</v>
      </c>
      <c r="C21" s="61">
        <v>18841</v>
      </c>
      <c r="D21" s="29"/>
      <c r="E21" s="29"/>
      <c r="F21" s="29"/>
      <c r="G21" s="29"/>
      <c r="H21" s="29"/>
      <c r="I21" s="29"/>
      <c r="J21" s="29"/>
      <c r="K21" s="29"/>
    </row>
    <row r="22" spans="1:11" x14ac:dyDescent="0.25">
      <c r="A22" s="29"/>
      <c r="B22" s="66"/>
      <c r="C22" s="67"/>
      <c r="D22" s="29"/>
      <c r="E22" s="29"/>
      <c r="F22" s="29"/>
      <c r="G22" s="29"/>
      <c r="H22" s="29"/>
      <c r="I22" s="29"/>
      <c r="J22" s="29"/>
      <c r="K22" s="29"/>
    </row>
    <row r="23" spans="1:11" x14ac:dyDescent="0.25">
      <c r="A23" s="29"/>
      <c r="B23" s="29"/>
      <c r="C23" s="50"/>
      <c r="D23" s="29"/>
      <c r="E23" s="29"/>
      <c r="F23" s="29"/>
      <c r="G23" s="29"/>
      <c r="H23" s="29"/>
      <c r="I23" s="29"/>
      <c r="J23" s="29"/>
      <c r="K23" s="29"/>
    </row>
    <row r="24" spans="1:11" x14ac:dyDescent="0.25">
      <c r="A24" s="29"/>
      <c r="B24" s="29"/>
      <c r="C24" s="50"/>
      <c r="D24" s="29"/>
      <c r="E24" s="29"/>
      <c r="F24" s="29"/>
      <c r="G24" s="29"/>
      <c r="H24" s="29"/>
      <c r="I24" s="29"/>
      <c r="J24" s="29"/>
      <c r="K24" s="29"/>
    </row>
    <row r="25" spans="1:11" ht="18.75" x14ac:dyDescent="0.25">
      <c r="A25" s="29"/>
      <c r="B25" s="51" t="s">
        <v>185</v>
      </c>
      <c r="C25" s="52"/>
      <c r="D25" s="29"/>
      <c r="E25" s="29"/>
      <c r="F25" s="29"/>
      <c r="G25" s="29"/>
      <c r="H25" s="29"/>
      <c r="I25" s="29"/>
      <c r="J25" s="29"/>
      <c r="K25" s="29"/>
    </row>
    <row r="26" spans="1:11" x14ac:dyDescent="0.25">
      <c r="A26" s="29"/>
      <c r="B26" s="29"/>
      <c r="C26" s="50"/>
      <c r="D26" s="29"/>
      <c r="E26" s="29"/>
      <c r="F26" s="29"/>
      <c r="G26" s="29"/>
      <c r="H26" s="29"/>
      <c r="I26" s="29"/>
      <c r="J26" s="29"/>
      <c r="K26" s="29"/>
    </row>
    <row r="27" spans="1:11" x14ac:dyDescent="0.25">
      <c r="A27" s="29"/>
      <c r="B27" s="68" t="s">
        <v>186</v>
      </c>
      <c r="C27" s="50"/>
      <c r="D27" s="29"/>
      <c r="E27" s="29"/>
      <c r="F27" s="29"/>
      <c r="G27" s="29"/>
      <c r="H27" s="29"/>
      <c r="I27" s="29"/>
      <c r="J27" s="29"/>
      <c r="K27" s="29"/>
    </row>
    <row r="28" spans="1:11" x14ac:dyDescent="0.25">
      <c r="A28" s="29"/>
      <c r="B28" s="59" t="s">
        <v>187</v>
      </c>
      <c r="C28" s="69">
        <f>'[1]Benefit Calculations'!M35</f>
        <v>913.91455373444137</v>
      </c>
      <c r="D28" s="29"/>
      <c r="E28" s="29"/>
      <c r="F28" s="29"/>
      <c r="G28" s="29"/>
      <c r="H28" s="29"/>
      <c r="I28" s="29"/>
      <c r="J28" s="29"/>
      <c r="K28" s="29"/>
    </row>
    <row r="29" spans="1:11" x14ac:dyDescent="0.25">
      <c r="A29" s="29"/>
      <c r="B29" s="59" t="s">
        <v>188</v>
      </c>
      <c r="C29" s="69">
        <f>'[1]Benefit Calculations'!Q35</f>
        <v>156772.62679864088</v>
      </c>
      <c r="D29" s="29"/>
      <c r="E29" s="29"/>
      <c r="F29" s="29"/>
      <c r="G29" s="29"/>
      <c r="H29" s="29"/>
      <c r="I29" s="29"/>
      <c r="J29" s="29"/>
      <c r="K29" s="29"/>
    </row>
    <row r="30" spans="1:11" x14ac:dyDescent="0.25">
      <c r="A30" s="29"/>
      <c r="B30" s="29"/>
      <c r="C30" s="70"/>
      <c r="D30" s="29"/>
      <c r="E30" s="29"/>
      <c r="F30" s="29"/>
      <c r="G30" s="29"/>
      <c r="H30" s="29"/>
      <c r="I30" s="29"/>
      <c r="J30" s="29"/>
      <c r="K30" s="29"/>
    </row>
    <row r="31" spans="1:11" x14ac:dyDescent="0.25">
      <c r="A31" s="29"/>
      <c r="B31" s="68" t="s">
        <v>189</v>
      </c>
      <c r="C31" s="70"/>
      <c r="D31" s="29"/>
      <c r="E31" s="29"/>
      <c r="F31" s="29"/>
      <c r="G31" s="29"/>
      <c r="H31" s="29"/>
      <c r="I31" s="29"/>
      <c r="J31" s="29"/>
      <c r="K31" s="29"/>
    </row>
    <row r="32" spans="1:11" x14ac:dyDescent="0.25">
      <c r="A32" s="29"/>
      <c r="B32" s="59" t="s">
        <v>190</v>
      </c>
      <c r="C32" s="69">
        <f>$C$28+$C$29</f>
        <v>157686.54135237532</v>
      </c>
      <c r="D32" s="29"/>
      <c r="E32" s="29"/>
      <c r="F32" s="29"/>
      <c r="G32" s="29"/>
      <c r="H32" s="29"/>
      <c r="I32" s="29"/>
      <c r="J32" s="29"/>
      <c r="K32" s="29"/>
    </row>
    <row r="33" spans="1:11" x14ac:dyDescent="0.25">
      <c r="A33" s="29"/>
      <c r="B33" s="29"/>
      <c r="C33" s="50"/>
      <c r="D33" s="29"/>
      <c r="E33" s="29"/>
      <c r="F33" s="29"/>
      <c r="G33" s="29"/>
      <c r="H33" s="29"/>
      <c r="I33" s="29"/>
      <c r="J33" s="71"/>
      <c r="K33" s="29"/>
    </row>
    <row r="34" spans="1:11" x14ac:dyDescent="0.25">
      <c r="A34" s="29"/>
      <c r="B34" s="68" t="s">
        <v>191</v>
      </c>
      <c r="C34" s="50"/>
      <c r="D34" s="29"/>
      <c r="E34" s="29"/>
      <c r="F34" s="29"/>
      <c r="G34" s="29"/>
      <c r="H34" s="29"/>
      <c r="I34" s="29"/>
      <c r="J34" s="29"/>
      <c r="K34" s="29"/>
    </row>
    <row r="35" spans="1:11" x14ac:dyDescent="0.25">
      <c r="A35" s="29"/>
      <c r="B35" s="59" t="s">
        <v>192</v>
      </c>
      <c r="C35" s="72">
        <f>'[1]Benefit Calculations'!K35</f>
        <v>0.12857436324939236</v>
      </c>
      <c r="D35" s="29"/>
      <c r="E35" s="29"/>
      <c r="F35" s="29"/>
      <c r="G35" s="29"/>
      <c r="H35" s="29"/>
      <c r="I35" s="29"/>
      <c r="J35" s="29"/>
      <c r="K35" s="29"/>
    </row>
    <row r="36" spans="1:11" x14ac:dyDescent="0.25">
      <c r="A36" s="29"/>
      <c r="B36" s="59" t="s">
        <v>193</v>
      </c>
      <c r="C36" s="72">
        <f>'[1]Benefit Calculations'!O35</f>
        <v>0.46539341039911619</v>
      </c>
      <c r="D36" s="29"/>
      <c r="E36" s="29"/>
      <c r="F36" s="29"/>
      <c r="G36" s="29"/>
      <c r="H36" s="29"/>
      <c r="I36" s="29"/>
      <c r="J36" s="29"/>
      <c r="K36" s="29"/>
    </row>
    <row r="37" spans="1:11" x14ac:dyDescent="0.25">
      <c r="A37" s="29"/>
      <c r="B37" s="29"/>
      <c r="C37" s="50"/>
      <c r="D37" s="29"/>
      <c r="E37" s="29"/>
      <c r="F37" s="29"/>
      <c r="G37" s="29"/>
      <c r="H37" s="29"/>
      <c r="I37" s="29"/>
      <c r="J37" s="29"/>
      <c r="K37" s="29"/>
    </row>
    <row r="38" spans="1:11" x14ac:dyDescent="0.25">
      <c r="A38" s="29"/>
      <c r="B38" s="29"/>
      <c r="C38" s="50"/>
      <c r="D38" s="29"/>
      <c r="E38" s="29"/>
      <c r="F38" s="29"/>
      <c r="G38" s="29"/>
      <c r="H38" s="29"/>
      <c r="I38" s="29"/>
      <c r="J38" s="29"/>
      <c r="K38" s="29"/>
    </row>
    <row r="39" spans="1:11" x14ac:dyDescent="0.25">
      <c r="A39" s="29"/>
      <c r="B39" s="29"/>
      <c r="C39" s="50"/>
      <c r="D39" s="29"/>
      <c r="E39" s="29"/>
      <c r="F39" s="29"/>
      <c r="G39" s="29"/>
      <c r="H39" s="29"/>
      <c r="I39" s="29"/>
      <c r="J39" s="29"/>
      <c r="K39" s="29"/>
    </row>
    <row r="40" spans="1:11" x14ac:dyDescent="0.25">
      <c r="A40" s="29"/>
      <c r="B40" s="29"/>
      <c r="C40" s="50"/>
      <c r="D40" s="29"/>
      <c r="E40" s="29"/>
      <c r="F40" s="29"/>
      <c r="G40" s="29"/>
      <c r="H40" s="29"/>
      <c r="I40" s="29"/>
      <c r="J40" s="29"/>
      <c r="K40" s="29"/>
    </row>
    <row r="41" spans="1:11" x14ac:dyDescent="0.25">
      <c r="A41" s="29"/>
      <c r="B41" s="29"/>
      <c r="C41" s="50"/>
      <c r="D41" s="29"/>
      <c r="E41" s="29"/>
      <c r="F41" s="29"/>
      <c r="G41" s="29"/>
      <c r="H41" s="29"/>
      <c r="I41" s="29"/>
      <c r="J41" s="29"/>
      <c r="K41" s="29"/>
    </row>
  </sheetData>
  <mergeCells count="4">
    <mergeCell ref="K2:R2"/>
    <mergeCell ref="K3:N3"/>
    <mergeCell ref="K4:N4"/>
    <mergeCell ref="K5:N5"/>
  </mergeCells>
  <dataValidations count="1">
    <dataValidation operator="lessThanOrEqual" allowBlank="1" showInputMessage="1" showErrorMessage="1" error="Volume Must Be Less Than Stated Capacity" sqref="C15" xr:uid="{D6D541DB-904C-4932-9A6B-860A77A70C28}"/>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73323-91C7-4765-9C22-F1F44B92B76D}">
  <dimension ref="A1:T47"/>
  <sheetViews>
    <sheetView workbookViewId="0">
      <selection activeCell="H9" sqref="H9"/>
    </sheetView>
  </sheetViews>
  <sheetFormatPr defaultRowHeight="15" x14ac:dyDescent="0.25"/>
  <cols>
    <col min="1" max="1" width="33.5703125" bestFit="1" customWidth="1"/>
    <col min="2" max="2" width="21" customWidth="1"/>
    <col min="4" max="4" width="33.5703125" bestFit="1" customWidth="1"/>
    <col min="5" max="5" width="21" customWidth="1"/>
    <col min="7" max="7" width="2" bestFit="1" customWidth="1"/>
    <col min="8" max="8" width="16.28515625" bestFit="1" customWidth="1"/>
    <col min="9" max="9" width="22.7109375" bestFit="1" customWidth="1"/>
    <col min="10" max="10" width="37.140625" customWidth="1"/>
  </cols>
  <sheetData>
    <row r="1" spans="1:20" ht="15.75" thickBot="1" x14ac:dyDescent="0.3">
      <c r="A1" s="9" t="s">
        <v>61</v>
      </c>
      <c r="B1" s="10" t="s">
        <v>53</v>
      </c>
      <c r="G1" s="87" t="s">
        <v>207</v>
      </c>
      <c r="H1" s="88"/>
      <c r="I1" s="88"/>
      <c r="J1" s="89"/>
    </row>
    <row r="2" spans="1:20" x14ac:dyDescent="0.25">
      <c r="A2" s="6" t="s">
        <v>52</v>
      </c>
      <c r="B2" s="6" t="s">
        <v>53</v>
      </c>
      <c r="C2" s="6" t="s">
        <v>54</v>
      </c>
      <c r="D2" s="6" t="s">
        <v>57</v>
      </c>
      <c r="G2" s="48" t="s">
        <v>89</v>
      </c>
      <c r="H2" s="12" t="s">
        <v>208</v>
      </c>
      <c r="I2" s="12" t="s">
        <v>209</v>
      </c>
      <c r="J2" s="12" t="s">
        <v>210</v>
      </c>
      <c r="T2" t="s">
        <v>55</v>
      </c>
    </row>
    <row r="3" spans="1:20" ht="36.75" customHeight="1" x14ac:dyDescent="0.25">
      <c r="A3" t="e" vm="1">
        <v>#VALUE!</v>
      </c>
      <c r="B3">
        <v>110272</v>
      </c>
      <c r="C3">
        <v>2021</v>
      </c>
      <c r="D3" t="s">
        <v>59</v>
      </c>
      <c r="G3" s="19">
        <v>1</v>
      </c>
      <c r="H3" s="75"/>
      <c r="I3" s="75"/>
      <c r="J3" s="76" t="s">
        <v>211</v>
      </c>
    </row>
    <row r="4" spans="1:20" x14ac:dyDescent="0.25">
      <c r="A4" t="e" vm="2">
        <v>#VALUE!</v>
      </c>
      <c r="B4" cm="1" vm="3">
        <f t="array" ref="B4">_FV(A4,"Population")</f>
        <v>36914</v>
      </c>
      <c r="C4">
        <v>2021</v>
      </c>
      <c r="D4" t="s">
        <v>58</v>
      </c>
    </row>
    <row r="5" spans="1:20" x14ac:dyDescent="0.25">
      <c r="A5" t="e" vm="4">
        <v>#VALUE!</v>
      </c>
      <c r="B5">
        <v>73682</v>
      </c>
      <c r="C5">
        <v>2021</v>
      </c>
      <c r="D5" t="s">
        <v>58</v>
      </c>
    </row>
    <row r="6" spans="1:20" x14ac:dyDescent="0.25">
      <c r="A6" t="e" vm="5">
        <v>#VALUE!</v>
      </c>
      <c r="B6">
        <v>4755</v>
      </c>
      <c r="C6">
        <v>2021</v>
      </c>
      <c r="D6" t="s">
        <v>60</v>
      </c>
    </row>
    <row r="7" spans="1:20" x14ac:dyDescent="0.25">
      <c r="A7" t="s">
        <v>56</v>
      </c>
      <c r="B7">
        <v>22980</v>
      </c>
      <c r="C7">
        <v>2021</v>
      </c>
      <c r="D7" t="s">
        <v>58</v>
      </c>
    </row>
    <row r="8" spans="1:20" x14ac:dyDescent="0.25">
      <c r="B8">
        <f>SUM(B3:B7)</f>
        <v>248603</v>
      </c>
    </row>
    <row r="9" spans="1:20" ht="15.75" thickBot="1" x14ac:dyDescent="0.3"/>
    <row r="10" spans="1:20" ht="15.75" thickBot="1" x14ac:dyDescent="0.3">
      <c r="A10" s="9" t="s">
        <v>61</v>
      </c>
      <c r="B10" s="10" t="s">
        <v>62</v>
      </c>
      <c r="D10" s="9" t="s">
        <v>88</v>
      </c>
      <c r="E10" s="10" t="s">
        <v>62</v>
      </c>
    </row>
    <row r="11" spans="1:20" x14ac:dyDescent="0.25">
      <c r="A11" s="93" t="s">
        <v>63</v>
      </c>
      <c r="B11" s="93"/>
      <c r="D11" s="93" t="s">
        <v>63</v>
      </c>
      <c r="E11" s="93"/>
    </row>
    <row r="12" spans="1:20" x14ac:dyDescent="0.25">
      <c r="A12" s="7" t="s">
        <v>64</v>
      </c>
      <c r="B12" s="7" t="s">
        <v>65</v>
      </c>
      <c r="D12" s="7" t="s">
        <v>64</v>
      </c>
      <c r="E12" s="7" t="s">
        <v>65</v>
      </c>
    </row>
    <row r="13" spans="1:20" x14ac:dyDescent="0.25">
      <c r="A13" t="s">
        <v>66</v>
      </c>
      <c r="B13">
        <f>357+357</f>
        <v>714</v>
      </c>
      <c r="D13" t="s">
        <v>66</v>
      </c>
      <c r="E13">
        <f>344+211</f>
        <v>555</v>
      </c>
    </row>
    <row r="14" spans="1:20" x14ac:dyDescent="0.25">
      <c r="A14" t="s">
        <v>67</v>
      </c>
      <c r="B14">
        <f>2032+11431</f>
        <v>13463</v>
      </c>
      <c r="D14" t="s">
        <v>67</v>
      </c>
      <c r="E14">
        <f>1620+8777</f>
        <v>10397</v>
      </c>
    </row>
    <row r="15" spans="1:20" x14ac:dyDescent="0.25">
      <c r="A15" t="s">
        <v>68</v>
      </c>
      <c r="B15">
        <v>392</v>
      </c>
      <c r="D15" t="s">
        <v>68</v>
      </c>
      <c r="E15">
        <v>351</v>
      </c>
    </row>
    <row r="16" spans="1:20" x14ac:dyDescent="0.25">
      <c r="A16" t="s">
        <v>69</v>
      </c>
      <c r="B16">
        <v>704</v>
      </c>
      <c r="D16" t="s">
        <v>69</v>
      </c>
      <c r="E16">
        <v>685</v>
      </c>
    </row>
    <row r="17" spans="1:5" x14ac:dyDescent="0.25">
      <c r="A17" t="s">
        <v>70</v>
      </c>
      <c r="B17">
        <v>575</v>
      </c>
      <c r="D17" t="s">
        <v>70</v>
      </c>
      <c r="E17">
        <v>561</v>
      </c>
    </row>
    <row r="18" spans="1:5" x14ac:dyDescent="0.25">
      <c r="A18" t="s">
        <v>71</v>
      </c>
      <c r="B18">
        <v>871</v>
      </c>
      <c r="D18" t="s">
        <v>71</v>
      </c>
      <c r="E18">
        <v>820</v>
      </c>
    </row>
    <row r="19" spans="1:5" x14ac:dyDescent="0.25">
      <c r="A19" t="s">
        <v>72</v>
      </c>
      <c r="B19">
        <v>19389</v>
      </c>
      <c r="D19" t="s">
        <v>72</v>
      </c>
      <c r="E19">
        <v>15592</v>
      </c>
    </row>
    <row r="20" spans="1:5" x14ac:dyDescent="0.25">
      <c r="A20" t="s">
        <v>73</v>
      </c>
      <c r="B20" s="8">
        <f>B13/B19</f>
        <v>3.6825003868172675E-2</v>
      </c>
      <c r="D20" t="s">
        <v>73</v>
      </c>
      <c r="E20" s="8">
        <f>E13/E19</f>
        <v>3.5595177013853257E-2</v>
      </c>
    </row>
    <row r="21" spans="1:5" x14ac:dyDescent="0.25">
      <c r="A21" t="s">
        <v>74</v>
      </c>
      <c r="B21" s="8">
        <f>B14/B19</f>
        <v>0.69436278302130072</v>
      </c>
      <c r="D21" t="s">
        <v>74</v>
      </c>
      <c r="E21" s="8">
        <f>E14/E19</f>
        <v>0.66681631605951774</v>
      </c>
    </row>
    <row r="22" spans="1:5" x14ac:dyDescent="0.25">
      <c r="A22" s="93" t="s">
        <v>75</v>
      </c>
      <c r="B22" s="93"/>
      <c r="D22" s="93" t="s">
        <v>75</v>
      </c>
      <c r="E22" s="93"/>
    </row>
    <row r="23" spans="1:5" x14ac:dyDescent="0.25">
      <c r="A23" t="s">
        <v>76</v>
      </c>
      <c r="B23">
        <v>9.6</v>
      </c>
      <c r="D23" t="s">
        <v>76</v>
      </c>
      <c r="E23">
        <v>9.3000000000000007</v>
      </c>
    </row>
    <row r="25" spans="1:5" x14ac:dyDescent="0.25">
      <c r="A25" s="92" t="s">
        <v>112</v>
      </c>
      <c r="B25" s="92"/>
    </row>
    <row r="26" spans="1:5" x14ac:dyDescent="0.25">
      <c r="A26">
        <v>2020</v>
      </c>
      <c r="B26">
        <v>285</v>
      </c>
    </row>
    <row r="27" spans="1:5" x14ac:dyDescent="0.25">
      <c r="A27">
        <v>2019</v>
      </c>
      <c r="B27">
        <v>288</v>
      </c>
    </row>
    <row r="28" spans="1:5" x14ac:dyDescent="0.25">
      <c r="A28">
        <v>2018</v>
      </c>
      <c r="B28">
        <v>230</v>
      </c>
    </row>
    <row r="29" spans="1:5" ht="15.75" thickBot="1" x14ac:dyDescent="0.3"/>
    <row r="30" spans="1:5" ht="15.75" thickBot="1" x14ac:dyDescent="0.3">
      <c r="A30" s="33" t="s">
        <v>205</v>
      </c>
      <c r="B30" s="90" t="s">
        <v>118</v>
      </c>
      <c r="C30" s="91"/>
    </row>
    <row r="31" spans="1:5" x14ac:dyDescent="0.25">
      <c r="A31" s="92" t="s">
        <v>119</v>
      </c>
      <c r="B31" s="92"/>
    </row>
    <row r="32" spans="1:5" x14ac:dyDescent="0.25">
      <c r="A32" s="34" t="s">
        <v>64</v>
      </c>
      <c r="B32" s="34" t="s">
        <v>79</v>
      </c>
      <c r="C32" s="35" t="s">
        <v>120</v>
      </c>
    </row>
    <row r="33" spans="1:4" x14ac:dyDescent="0.25">
      <c r="A33" s="2" t="s">
        <v>121</v>
      </c>
      <c r="B33" s="2">
        <v>52612</v>
      </c>
      <c r="C33" s="2"/>
    </row>
    <row r="34" spans="1:4" x14ac:dyDescent="0.25">
      <c r="A34" s="2" t="s">
        <v>122</v>
      </c>
      <c r="B34" s="2">
        <v>37931</v>
      </c>
      <c r="C34" s="2"/>
    </row>
    <row r="35" spans="1:4" x14ac:dyDescent="0.25">
      <c r="A35" s="2" t="s">
        <v>123</v>
      </c>
      <c r="B35" s="2">
        <v>180837</v>
      </c>
      <c r="C35" s="4">
        <f>(B35-B34)/B34</f>
        <v>3.7675252432047666</v>
      </c>
    </row>
    <row r="36" spans="1:4" x14ac:dyDescent="0.25">
      <c r="A36" s="2" t="s">
        <v>124</v>
      </c>
      <c r="B36" s="2">
        <v>4189</v>
      </c>
      <c r="C36" s="2"/>
    </row>
    <row r="37" spans="1:4" x14ac:dyDescent="0.25">
      <c r="A37" s="2" t="s">
        <v>125</v>
      </c>
      <c r="B37" s="2">
        <v>17593</v>
      </c>
      <c r="C37" s="4">
        <f>(B37-B36)/B36</f>
        <v>3.1998090236333252</v>
      </c>
    </row>
    <row r="38" spans="1:4" x14ac:dyDescent="0.25">
      <c r="A38" s="2" t="s">
        <v>126</v>
      </c>
      <c r="B38" s="2">
        <v>13261</v>
      </c>
      <c r="C38" s="2"/>
    </row>
    <row r="39" spans="1:4" x14ac:dyDescent="0.25">
      <c r="A39" s="2" t="s">
        <v>127</v>
      </c>
      <c r="B39" s="2">
        <v>66839</v>
      </c>
      <c r="C39" s="4">
        <f>(B39-B38)/B38</f>
        <v>4.0402684563758386</v>
      </c>
    </row>
    <row r="42" spans="1:4" x14ac:dyDescent="0.25">
      <c r="A42" s="78" t="s">
        <v>203</v>
      </c>
      <c r="B42" s="78"/>
      <c r="C42" s="78"/>
      <c r="D42" s="78"/>
    </row>
    <row r="43" spans="1:4" x14ac:dyDescent="0.25">
      <c r="A43" s="2" t="s">
        <v>64</v>
      </c>
      <c r="B43" s="2" t="s">
        <v>129</v>
      </c>
      <c r="C43" s="2">
        <v>2045</v>
      </c>
      <c r="D43" s="2" t="s">
        <v>118</v>
      </c>
    </row>
    <row r="44" spans="1:4" x14ac:dyDescent="0.25">
      <c r="A44" s="2" t="s">
        <v>128</v>
      </c>
      <c r="B44" s="2">
        <v>2864.67</v>
      </c>
      <c r="C44" s="2">
        <v>7284.37</v>
      </c>
      <c r="D44" s="74">
        <f>(C44-B44)/B44</f>
        <v>1.5428304132762236</v>
      </c>
    </row>
    <row r="45" spans="1:4" x14ac:dyDescent="0.25">
      <c r="A45" s="2" t="s">
        <v>130</v>
      </c>
      <c r="B45" s="2">
        <v>245.93</v>
      </c>
      <c r="C45" s="2">
        <v>305.23</v>
      </c>
      <c r="D45" s="74">
        <f t="shared" ref="D45:D47" si="0">(C45-B45)/B45</f>
        <v>0.24112552352295372</v>
      </c>
    </row>
    <row r="46" spans="1:4" x14ac:dyDescent="0.25">
      <c r="A46" s="2" t="s">
        <v>204</v>
      </c>
      <c r="B46" s="2">
        <v>685.29</v>
      </c>
      <c r="C46" s="2">
        <v>823.16</v>
      </c>
      <c r="D46" s="74">
        <f t="shared" si="0"/>
        <v>0.20118489982343243</v>
      </c>
    </row>
    <row r="47" spans="1:4" x14ac:dyDescent="0.25">
      <c r="A47" s="2" t="s">
        <v>131</v>
      </c>
      <c r="B47" s="2">
        <v>949.54</v>
      </c>
      <c r="C47" s="2">
        <v>9170.17</v>
      </c>
      <c r="D47" s="74">
        <f t="shared" si="0"/>
        <v>8.6574867830739102</v>
      </c>
    </row>
  </sheetData>
  <mergeCells count="9">
    <mergeCell ref="G1:J1"/>
    <mergeCell ref="B30:C30"/>
    <mergeCell ref="A31:B31"/>
    <mergeCell ref="A42:D42"/>
    <mergeCell ref="A11:B11"/>
    <mergeCell ref="A22:B22"/>
    <mergeCell ref="D11:E11"/>
    <mergeCell ref="D22:E22"/>
    <mergeCell ref="A25:B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7D940-D952-4DFC-8C86-AAE100EE4F51}">
  <dimension ref="A1:G11"/>
  <sheetViews>
    <sheetView topLeftCell="B1" workbookViewId="0">
      <selection activeCell="D12" sqref="D12"/>
    </sheetView>
  </sheetViews>
  <sheetFormatPr defaultRowHeight="15" x14ac:dyDescent="0.25"/>
  <cols>
    <col min="2" max="2" width="51" customWidth="1"/>
    <col min="3" max="3" width="12.28515625" customWidth="1"/>
    <col min="4" max="4" width="21.5703125" bestFit="1" customWidth="1"/>
    <col min="5" max="5" width="27.7109375" customWidth="1"/>
    <col min="6" max="6" width="44.5703125" customWidth="1"/>
    <col min="7" max="7" width="48.7109375" customWidth="1"/>
  </cols>
  <sheetData>
    <row r="1" spans="1:7" x14ac:dyDescent="0.25">
      <c r="A1" t="s">
        <v>89</v>
      </c>
      <c r="B1" s="20" t="s">
        <v>90</v>
      </c>
      <c r="C1" s="20" t="s">
        <v>91</v>
      </c>
      <c r="D1" s="20" t="s">
        <v>92</v>
      </c>
      <c r="E1" s="20" t="s">
        <v>93</v>
      </c>
      <c r="F1" s="21" t="s">
        <v>94</v>
      </c>
      <c r="G1" s="22" t="s">
        <v>95</v>
      </c>
    </row>
    <row r="2" spans="1:7" x14ac:dyDescent="0.25">
      <c r="A2">
        <v>1</v>
      </c>
      <c r="B2" s="26" t="s">
        <v>103</v>
      </c>
      <c r="C2" s="19">
        <v>119</v>
      </c>
      <c r="D2" s="24">
        <v>0.2</v>
      </c>
      <c r="E2" s="19">
        <v>6</v>
      </c>
      <c r="F2" s="25" t="s">
        <v>97</v>
      </c>
      <c r="G2" s="26" t="s">
        <v>100</v>
      </c>
    </row>
    <row r="3" spans="1:7" x14ac:dyDescent="0.25">
      <c r="A3">
        <v>2</v>
      </c>
      <c r="B3" s="23" t="s">
        <v>104</v>
      </c>
      <c r="C3" s="19">
        <v>201</v>
      </c>
      <c r="D3" s="24">
        <v>0.75</v>
      </c>
      <c r="E3" s="19">
        <v>15</v>
      </c>
      <c r="F3" s="25" t="s">
        <v>97</v>
      </c>
      <c r="G3" s="26" t="s">
        <v>100</v>
      </c>
    </row>
    <row r="4" spans="1:7" x14ac:dyDescent="0.25">
      <c r="A4">
        <v>3</v>
      </c>
      <c r="B4" s="26" t="s">
        <v>105</v>
      </c>
      <c r="C4" s="19">
        <v>304</v>
      </c>
      <c r="D4" s="24">
        <v>0.49</v>
      </c>
      <c r="E4" s="19">
        <v>15</v>
      </c>
      <c r="F4" s="25" t="s">
        <v>97</v>
      </c>
      <c r="G4" s="26" t="s">
        <v>106</v>
      </c>
    </row>
    <row r="5" spans="1:7" ht="30" x14ac:dyDescent="0.25">
      <c r="A5">
        <v>4</v>
      </c>
      <c r="B5" s="23" t="s">
        <v>96</v>
      </c>
      <c r="C5" s="19">
        <v>401</v>
      </c>
      <c r="D5" s="24">
        <v>0.2</v>
      </c>
      <c r="E5" s="19">
        <v>2</v>
      </c>
      <c r="F5" s="25" t="s">
        <v>97</v>
      </c>
      <c r="G5" s="26" t="s">
        <v>98</v>
      </c>
    </row>
    <row r="6" spans="1:7" x14ac:dyDescent="0.25">
      <c r="A6">
        <v>5</v>
      </c>
      <c r="B6" s="23" t="s">
        <v>107</v>
      </c>
      <c r="C6" s="19">
        <v>402</v>
      </c>
      <c r="D6" s="24">
        <v>0.25</v>
      </c>
      <c r="E6" s="19">
        <v>2</v>
      </c>
      <c r="F6" s="25" t="s">
        <v>97</v>
      </c>
      <c r="G6" s="26" t="s">
        <v>108</v>
      </c>
    </row>
    <row r="7" spans="1:7" x14ac:dyDescent="0.25">
      <c r="A7">
        <v>6</v>
      </c>
      <c r="B7" s="23" t="s">
        <v>109</v>
      </c>
      <c r="C7" s="19">
        <v>514</v>
      </c>
      <c r="D7" s="24">
        <v>0.8</v>
      </c>
      <c r="E7" s="19">
        <v>30</v>
      </c>
      <c r="F7" s="28" t="s">
        <v>101</v>
      </c>
      <c r="G7" s="26" t="s">
        <v>101</v>
      </c>
    </row>
    <row r="8" spans="1:7" x14ac:dyDescent="0.25">
      <c r="A8">
        <v>7</v>
      </c>
      <c r="B8" s="23" t="s">
        <v>99</v>
      </c>
      <c r="C8" s="19">
        <v>517</v>
      </c>
      <c r="D8" s="27">
        <v>0.28000000000000003</v>
      </c>
      <c r="E8" s="19">
        <v>20</v>
      </c>
      <c r="F8" s="25" t="s">
        <v>97</v>
      </c>
      <c r="G8" s="26" t="s">
        <v>100</v>
      </c>
    </row>
    <row r="9" spans="1:7" x14ac:dyDescent="0.25">
      <c r="A9">
        <v>8</v>
      </c>
      <c r="B9" s="23" t="s">
        <v>110</v>
      </c>
      <c r="C9" s="19">
        <v>537</v>
      </c>
      <c r="D9" s="24">
        <v>0.4</v>
      </c>
      <c r="E9" s="19">
        <v>20</v>
      </c>
      <c r="F9" s="25" t="s">
        <v>97</v>
      </c>
      <c r="G9" s="26" t="s">
        <v>111</v>
      </c>
    </row>
    <row r="10" spans="1:7" x14ac:dyDescent="0.25">
      <c r="A10">
        <v>9</v>
      </c>
      <c r="B10" s="23" t="s">
        <v>202</v>
      </c>
      <c r="C10" s="19">
        <v>209</v>
      </c>
      <c r="D10" s="27">
        <v>0.5</v>
      </c>
      <c r="E10" s="19">
        <v>20</v>
      </c>
      <c r="F10" s="25" t="s">
        <v>97</v>
      </c>
      <c r="G10" s="26" t="s">
        <v>111</v>
      </c>
    </row>
    <row r="11" spans="1:7" x14ac:dyDescent="0.25">
      <c r="B11" s="29" t="s">
        <v>102</v>
      </c>
      <c r="D11" s="73">
        <f>1-((1-D2)*(1-D3)*(1-D4)*(1-D5)*(1-D6)*(1-D7)*(1-D8)*(1-D9)*(1-D10))</f>
        <v>0.99735616000000005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TDM</vt:lpstr>
      <vt:lpstr>Traffic</vt:lpstr>
      <vt:lpstr>Emissions</vt:lpstr>
      <vt:lpstr>Demographics</vt:lpstr>
      <vt:lpstr>CRF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Manthan Gajera</dc:creator>
  <cp:lastModifiedBy>Manthan Gajera</cp:lastModifiedBy>
  <dcterms:created xsi:type="dcterms:W3CDTF">2015-06-05T18:17:20Z</dcterms:created>
  <dcterms:modified xsi:type="dcterms:W3CDTF">2024-02-12T22:36:29Z</dcterms:modified>
</cp:coreProperties>
</file>