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1-4,19/"/>
    </mc:Choice>
  </mc:AlternateContent>
  <xr:revisionPtr revIDLastSave="1112" documentId="11_F25DC773A252ABDACC10480171DC540E5BDE58ED" xr6:coauthVersionLast="47" xr6:coauthVersionMax="47" xr10:uidLastSave="{7C3C0928-C00D-4CF7-B09D-67A4F7506CE7}"/>
  <bookViews>
    <workbookView xWindow="-120" yWindow="-120" windowWidth="29040" windowHeight="15720" activeTab="2" xr2:uid="{00000000-000D-0000-FFFF-FFFF00000000}"/>
  </bookViews>
  <sheets>
    <sheet name="TDM" sheetId="2" r:id="rId1"/>
    <sheet name="Volumes" sheetId="3" r:id="rId2"/>
    <sheet name="Traffic" sheetId="1" r:id="rId3"/>
    <sheet name="Emissions" sheetId="6" r:id="rId4"/>
    <sheet name="Demographics" sheetId="4" r:id="rId5"/>
    <sheet name="CRF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4" l="1"/>
  <c r="D33" i="4"/>
  <c r="D32" i="4"/>
  <c r="D31" i="4"/>
  <c r="J39" i="1" l="1"/>
  <c r="H39" i="1"/>
  <c r="K39" i="1"/>
  <c r="G39" i="1"/>
  <c r="E39" i="1"/>
  <c r="L3" i="1" l="1"/>
  <c r="L2" i="1"/>
  <c r="Q5" i="6"/>
  <c r="P5" i="6"/>
  <c r="O5" i="6"/>
  <c r="H50" i="1"/>
  <c r="H48" i="1"/>
  <c r="H47" i="1"/>
  <c r="F50" i="1"/>
  <c r="F47" i="1"/>
  <c r="D50" i="1"/>
  <c r="D48" i="1"/>
  <c r="D47" i="1"/>
  <c r="B50" i="1"/>
  <c r="B48" i="1"/>
  <c r="B47" i="1"/>
  <c r="B15" i="1"/>
  <c r="B14" i="1"/>
  <c r="B13" i="1"/>
  <c r="C32" i="6" l="1"/>
  <c r="R5" i="6"/>
  <c r="R4" i="6"/>
  <c r="F49" i="1"/>
  <c r="H51" i="1"/>
  <c r="H49" i="1"/>
  <c r="F51" i="1"/>
  <c r="D49" i="1"/>
  <c r="B51" i="1"/>
  <c r="B49" i="1"/>
  <c r="B52" i="1" s="1"/>
  <c r="D51" i="1"/>
  <c r="D52" i="1" s="1"/>
  <c r="B16" i="1"/>
  <c r="F52" i="1" l="1"/>
  <c r="H52" i="1"/>
  <c r="D8" i="5"/>
  <c r="B46" i="4"/>
  <c r="C23" i="4" l="1"/>
  <c r="C27" i="4"/>
  <c r="C25" i="4"/>
  <c r="B8" i="4"/>
  <c r="B15" i="4" s="1"/>
  <c r="B16" i="4"/>
  <c r="B9" i="4"/>
  <c r="E34" i="1" l="1"/>
  <c r="E33" i="1"/>
  <c r="E32" i="1"/>
  <c r="C53" i="3"/>
  <c r="C55" i="3" s="1"/>
  <c r="C41" i="3"/>
  <c r="C43" i="3" s="1"/>
  <c r="C29" i="3"/>
  <c r="C31" i="3" s="1"/>
  <c r="C19" i="3"/>
  <c r="C17" i="3"/>
  <c r="C3" i="3"/>
  <c r="C35" i="3"/>
  <c r="C59" i="3" s="1"/>
  <c r="C7" i="3"/>
  <c r="C5" i="3" s="1"/>
  <c r="E35" i="1" l="1"/>
  <c r="C47" i="3"/>
  <c r="L4" i="1" l="1"/>
</calcChain>
</file>

<file path=xl/sharedStrings.xml><?xml version="1.0" encoding="utf-8"?>
<sst xmlns="http://schemas.openxmlformats.org/spreadsheetml/2006/main" count="436" uniqueCount="232">
  <si>
    <t>AADT</t>
  </si>
  <si>
    <t>Volume Growth</t>
  </si>
  <si>
    <t>Total Volume</t>
  </si>
  <si>
    <t>HGAC TDM 2023</t>
  </si>
  <si>
    <t>HGAC TDM 2045</t>
  </si>
  <si>
    <t>% growth</t>
  </si>
  <si>
    <t>OBJECTID *</t>
  </si>
  <si>
    <t>Shape *</t>
  </si>
  <si>
    <t>FUNCL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</si>
  <si>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</si>
  <si>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</si>
  <si>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</si>
  <si>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</si>
  <si>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</si>
  <si>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</si>
  <si>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</si>
  <si>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</si>
  <si>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C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</si>
  <si>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</si>
  <si>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</si>
  <si>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</si>
  <si>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</si>
  <si>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</si>
  <si>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</si>
  <si>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</si>
  <si>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</si>
  <si>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</si>
  <si>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</si>
  <si>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</si>
  <si>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</si>
  <si>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</si>
  <si>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</si>
  <si>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</si>
  <si>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</si>
  <si>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</si>
  <si>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</si>
  <si>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</si>
  <si>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</si>
  <si>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</si>
  <si>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</si>
  <si>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</si>
  <si>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TRUCK_VMT</t>
  </si>
  <si>
    <t>AM3HRVHT</t>
  </si>
  <si>
    <t>MD6HRVHT</t>
  </si>
  <si>
    <t>PM4HRVHT</t>
  </si>
  <si>
    <t>OV11HRVHT</t>
  </si>
  <si>
    <t>HR24VHT</t>
  </si>
  <si>
    <t>TRUCKHRVHT</t>
  </si>
  <si>
    <t>TOTVOL_T</t>
  </si>
  <si>
    <t>TRUCKVHT</t>
  </si>
  <si>
    <t>Shape_Length</t>
  </si>
  <si>
    <t>Polyline</t>
  </si>
  <si>
    <t>SH 99</t>
  </si>
  <si>
    <t>22676-26027</t>
  </si>
  <si>
    <t>Mainlanes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</si>
  <si>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</si>
  <si>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</si>
  <si>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</si>
  <si>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</si>
  <si>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</si>
  <si>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</si>
  <si>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Cinco Ranch to Westheimer Pkwy (NB)</t>
  </si>
  <si>
    <t>33877-40665</t>
  </si>
  <si>
    <t>Travel Time Index (SB)</t>
  </si>
  <si>
    <t>Traffic operations</t>
  </si>
  <si>
    <t>Source</t>
  </si>
  <si>
    <t>Top 100 congested roadways of Texas</t>
  </si>
  <si>
    <t>Most congested roadways in texas 2022 spreadsheet</t>
  </si>
  <si>
    <t>TxDOT Roadway Inventory</t>
  </si>
  <si>
    <t>K factor</t>
  </si>
  <si>
    <t>Value</t>
  </si>
  <si>
    <t>Year</t>
  </si>
  <si>
    <t>Rank 79</t>
  </si>
  <si>
    <t>annual person delay per mile (person hr)</t>
  </si>
  <si>
    <t xml:space="preserve">AADT </t>
  </si>
  <si>
    <t>Bay Hill Blvd</t>
  </si>
  <si>
    <t>Cinco Ranch Blvd</t>
  </si>
  <si>
    <t>NB Ramps</t>
  </si>
  <si>
    <t>SB Ramps</t>
  </si>
  <si>
    <t xml:space="preserve">Cross Street </t>
  </si>
  <si>
    <t>(AADT 2022, H-GAC TCDS)</t>
  </si>
  <si>
    <t xml:space="preserve">SH 99 ML </t>
  </si>
  <si>
    <t>(AADT 2021, H-GAC TCDS)</t>
  </si>
  <si>
    <t>(AADT 2020, H-GAC TCDS)</t>
  </si>
  <si>
    <t>(AADT 2019, H-GAC TCDS)</t>
  </si>
  <si>
    <t>(AADT 2018, H-GAC TCDS)</t>
  </si>
  <si>
    <t>(AADT 2022, H-GAC TCDS) k=8%</t>
  </si>
  <si>
    <t>Peak period</t>
  </si>
  <si>
    <t>Volume</t>
  </si>
  <si>
    <t>Peak hour %</t>
  </si>
  <si>
    <t>Average</t>
  </si>
  <si>
    <t xml:space="preserve">6:00 - 7:00 </t>
  </si>
  <si>
    <t>13:00 - 14:00</t>
  </si>
  <si>
    <t>17:00 - 18:00</t>
  </si>
  <si>
    <t>HCS Vehicle demand/hr Calculation</t>
  </si>
  <si>
    <t>Truck AADT percentage (2022)</t>
  </si>
  <si>
    <t>Data:</t>
  </si>
  <si>
    <t>Population</t>
  </si>
  <si>
    <t>Area</t>
  </si>
  <si>
    <t>block groups within 5 miles radius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</si>
  <si>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</si>
  <si>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</si>
  <si>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</si>
  <si>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</si>
  <si>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</si>
  <si>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</si>
  <si>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</si>
  <si>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</si>
  <si>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</si>
  <si>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</si>
  <si>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</si>
  <si>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</si>
  <si>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Activity Connectivity Explorer</t>
  </si>
  <si>
    <t>Population (2021)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</si>
  <si>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</si>
  <si>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</si>
  <si>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</si>
  <si>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</si>
  <si>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</si>
  <si>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</si>
  <si>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</si>
  <si>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</si>
  <si>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City</t>
  </si>
  <si>
    <t>Katy</t>
  </si>
  <si>
    <t>Fulshear</t>
  </si>
  <si>
    <t>Houston council district A</t>
  </si>
  <si>
    <t>Houston council district F</t>
  </si>
  <si>
    <t>Data: 1/4th mile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</si>
  <si>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</si>
  <si>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</si>
  <si>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</si>
  <si>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</si>
  <si>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</si>
  <si>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</si>
  <si>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</si>
  <si>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</si>
  <si>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</si>
  <si>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</si>
  <si>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Install Sidewalks</t>
  </si>
  <si>
    <t>Pedestrian, Cyclist</t>
  </si>
  <si>
    <t>Add Through Lane</t>
  </si>
  <si>
    <t>Vehicle Movements/Manner of Collision</t>
  </si>
  <si>
    <t>Add Right Turn Lane</t>
  </si>
  <si>
    <t>Intersection Related</t>
  </si>
  <si>
    <t>Vehicle Movements/Manner of Collision, Intersection Related</t>
  </si>
  <si>
    <t>Consolidated CRF</t>
  </si>
  <si>
    <t>Road</t>
  </si>
  <si>
    <t>Direction</t>
  </si>
  <si>
    <t>NB</t>
  </si>
  <si>
    <t>Limits</t>
  </si>
  <si>
    <t>Free flow Speed (2023)</t>
  </si>
  <si>
    <t>Free flow Speed (2045)</t>
  </si>
  <si>
    <t>Bay Hill Blvd to Cinco Ranch blvd</t>
  </si>
  <si>
    <t>Total</t>
  </si>
  <si>
    <t>2-way Volume</t>
  </si>
  <si>
    <t>LOS</t>
  </si>
  <si>
    <t xml:space="preserve">SH 99 Frontage Rd  LOS (TDM Volumes) </t>
  </si>
  <si>
    <t>2023 ML</t>
  </si>
  <si>
    <t>2045  ML No Build</t>
  </si>
  <si>
    <t>2045 ML Build</t>
  </si>
  <si>
    <t>2045 Frontage Rd</t>
  </si>
  <si>
    <t>2045 NB</t>
  </si>
  <si>
    <t>2045 B</t>
  </si>
  <si>
    <t>Frontage roads</t>
  </si>
  <si>
    <t>FID</t>
  </si>
  <si>
    <t>Shape</t>
  </si>
  <si>
    <t>PROJ_ID</t>
  </si>
  <si>
    <t>PROJ_IDA</t>
  </si>
  <si>
    <t>SH 99 FRONTAGE RD</t>
  </si>
  <si>
    <t>33876-41564</t>
  </si>
  <si>
    <t>INPUTS</t>
  </si>
  <si>
    <t>Project Information</t>
  </si>
  <si>
    <t>Project Title:</t>
  </si>
  <si>
    <t>SH 99 FR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</si>
  <si>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</si>
  <si>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</si>
  <si>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</si>
  <si>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</si>
  <si>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</si>
  <si>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</si>
  <si>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</si>
  <si>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</si>
  <si>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</si>
  <si>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</si>
  <si>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</si>
  <si>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</si>
  <si>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</si>
  <si>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</si>
  <si>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</si>
  <si>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</si>
  <si>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</si>
  <si>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</si>
  <si>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</si>
  <si>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</si>
  <si>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</si>
  <si>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</si>
  <si>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</si>
  <si>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</si>
  <si>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</si>
  <si>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</si>
  <si>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</si>
  <si>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Speed</t>
  </si>
  <si>
    <t>PM 4 Hr</t>
  </si>
  <si>
    <t>MD 6 Hr</t>
  </si>
  <si>
    <t>AM 3 Hr</t>
  </si>
  <si>
    <t>Avg. Spd</t>
  </si>
  <si>
    <t>Avg. Speed before improvements (2045 NB)</t>
  </si>
  <si>
    <t>Avg. Speed after improvements (2045 B)</t>
  </si>
  <si>
    <t>Non-Freeway</t>
  </si>
  <si>
    <t>SH 99 Frontage road</t>
  </si>
  <si>
    <t>Volume (2045 NB)</t>
  </si>
  <si>
    <t>Volume (2045 B)</t>
  </si>
  <si>
    <t>V/C Ratio</t>
  </si>
  <si>
    <t>TDM PM Peak 
V/C Ratio</t>
  </si>
  <si>
    <t>Volume*K-factor/# of lane</t>
  </si>
  <si>
    <t>Base capacity</t>
  </si>
  <si>
    <t>LOS B</t>
  </si>
  <si>
    <t>Data: 2 miles buffer</t>
  </si>
  <si>
    <t>Land Use Growth (2 miles buffer)</t>
  </si>
  <si>
    <t>Current</t>
  </si>
  <si>
    <t>Residential</t>
  </si>
  <si>
    <t>Commercial</t>
  </si>
  <si>
    <t>Industrial</t>
  </si>
  <si>
    <t>Multiple</t>
  </si>
  <si>
    <t>Assumed K factor= 0.1, D factor= 0.5, HCM 7 Exhibit 12-41</t>
  </si>
  <si>
    <t>Within 1/4 mile buffer</t>
  </si>
  <si>
    <t>Medical facilities</t>
  </si>
  <si>
    <t>Education facilities</t>
  </si>
  <si>
    <t>Social services facilities</t>
  </si>
  <si>
    <t>Monarch Medical Clinic;
One Medical: LaCenterra</t>
  </si>
  <si>
    <t>Cinco Ranch High School;
Prescolaire Early Learning Academy</t>
  </si>
  <si>
    <t>LG Counseling- Katy;
Resilience Counseling Services;
Healthier Minds Counseling, LLC;
Pearls of Change Wellness,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</si>
</sst>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0.0%"/>
    <numFmt numFmtId="166" formatCode="#,##0.0"/>
    <numFmt numFmtId="167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horizontal="center"/>
    </xf>
    <xf numFmtId="0" fontId="0" fillId="8" borderId="1" xfId="0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0" xfId="0" applyNumberFormat="1"/>
    <xf numFmtId="10" fontId="0" fillId="0" borderId="1" xfId="0" applyNumberFormat="1" applyBorder="1"/>
    <xf numFmtId="0" fontId="0" fillId="0" borderId="9" xfId="0" applyBorder="1"/>
    <xf numFmtId="2" fontId="0" fillId="0" borderId="1" xfId="0" applyNumberFormat="1" applyBorder="1"/>
    <xf numFmtId="0" fontId="0" fillId="0" borderId="12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10" borderId="10" xfId="0" applyFill="1" applyBorder="1"/>
    <xf numFmtId="0" fontId="0" fillId="10" borderId="1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0" fontId="0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0" xfId="0" applyNumberFormat="1"/>
    <xf numFmtId="0" fontId="2" fillId="0" borderId="19" xfId="0" applyFont="1" applyBorder="1"/>
    <xf numFmtId="0" fontId="2" fillId="0" borderId="20" xfId="0" applyFont="1" applyBorder="1"/>
    <xf numFmtId="0" fontId="2" fillId="11" borderId="0" xfId="0" applyFont="1" applyFill="1"/>
    <xf numFmtId="0" fontId="2" fillId="11" borderId="0" xfId="0" applyFont="1" applyFill="1" applyAlignment="1">
      <alignment horizontal="center"/>
    </xf>
    <xf numFmtId="0" fontId="0" fillId="0" borderId="22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0" fillId="0" borderId="0" xfId="0" applyNumberForma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right"/>
    </xf>
    <xf numFmtId="2" fontId="2" fillId="0" borderId="25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1" fillId="0" borderId="23" xfId="0" applyFont="1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1" xfId="0" applyFill="1" applyBorder="1" applyAlignment="1" applyProtection="1">
      <alignment horizontal="left" vertical="center" wrapText="1"/>
      <protection locked="0"/>
    </xf>
    <xf numFmtId="0" fontId="0" fillId="13" borderId="1" xfId="0" applyFill="1" applyBorder="1" applyAlignment="1" applyProtection="1">
      <alignment horizontal="left" vertical="center"/>
      <protection locked="0"/>
    </xf>
    <xf numFmtId="0" fontId="0" fillId="14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3" borderId="1" xfId="0" applyFill="1" applyBorder="1" applyAlignment="1">
      <alignment horizontal="left" vertical="center"/>
    </xf>
    <xf numFmtId="3" fontId="0" fillId="13" borderId="1" xfId="0" applyNumberFormat="1" applyFill="1" applyBorder="1" applyAlignment="1" applyProtection="1">
      <alignment horizontal="left" vertical="center"/>
      <protection locked="0"/>
    </xf>
    <xf numFmtId="166" fontId="0" fillId="13" borderId="1" xfId="0" applyNumberFormat="1" applyFill="1" applyBorder="1" applyAlignment="1" applyProtection="1">
      <alignment horizontal="left" vertical="center"/>
      <protection locked="0"/>
    </xf>
    <xf numFmtId="0" fontId="0" fillId="13" borderId="1" xfId="0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/>
    </xf>
    <xf numFmtId="0" fontId="0" fillId="14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10" fillId="9" borderId="1" xfId="0" applyFont="1" applyFill="1" applyBorder="1" applyAlignment="1">
      <alignment vertical="center"/>
    </xf>
    <xf numFmtId="167" fontId="0" fillId="6" borderId="1" xfId="0" applyNumberFormat="1" applyFill="1" applyBorder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43" fontId="0" fillId="6" borderId="1" xfId="2" applyFont="1" applyFill="1" applyBorder="1" applyAlignment="1" applyProtection="1">
      <alignment horizontal="left" vertical="center"/>
    </xf>
    <xf numFmtId="0" fontId="0" fillId="0" borderId="23" xfId="0" applyBorder="1" applyAlignment="1">
      <alignment horizontal="center" vertical="center"/>
    </xf>
    <xf numFmtId="165" fontId="0" fillId="0" borderId="0" xfId="1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top"/>
    </xf>
    <xf numFmtId="165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2" fillId="15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37</xdr:row>
      <xdr:rowOff>0</xdr:rowOff>
    </xdr:from>
    <xdr:to>
      <xdr:col>21</xdr:col>
      <xdr:colOff>111007</xdr:colOff>
      <xdr:row>61</xdr:row>
      <xdr:rowOff>72809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AB4BF799-8DE6-4BF1-ACDF-D6CFF38BC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0225" y="6896100"/>
          <a:ext cx="5972692" cy="4858169"/>
        </a:xfrm>
        <a:prstGeom prst="rect">
          <a:avLst/>
        </a:prstGeom>
      </xdr:spPr>
    </xdr:pic>
    <xdr:clientData/>
  </xdr:twoCellAnchor>
  <xdr:twoCellAnchor>
    <xdr:from>
      <xdr:col>14</xdr:col>
      <xdr:colOff>55245</xdr:colOff>
      <xdr:row>56</xdr:row>
      <xdr:rowOff>137160</xdr:rowOff>
    </xdr:from>
    <xdr:to>
      <xdr:col>20</xdr:col>
      <xdr:colOff>363855</xdr:colOff>
      <xdr:row>57</xdr:row>
      <xdr:rowOff>125730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8ABC2FD-4A67-4E91-AF91-6EC0C3FC6876}"/>
            </a:ext>
          </a:extLst>
        </xdr:cNvPr>
        <xdr:cNvSpPr/>
      </xdr:nvSpPr>
      <xdr:spPr>
        <a:xfrm>
          <a:off x="13047345" y="11529060"/>
          <a:ext cx="4895850" cy="17907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1695450</xdr:colOff>
      <xdr:row>52</xdr:row>
      <xdr:rowOff>57150</xdr:rowOff>
    </xdr:from>
    <xdr:to>
      <xdr:col>9</xdr:col>
      <xdr:colOff>336088</xdr:colOff>
      <xdr:row>87</xdr:row>
      <xdr:rowOff>86637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8A2C66-BB0F-44F7-AAEB-67044B46F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5450" y="10687050"/>
          <a:ext cx="6460663" cy="6696987"/>
        </a:xfrm>
        <a:prstGeom prst="rect">
          <a:avLst/>
        </a:prstGeom>
      </xdr:spPr>
    </xdr:pic>
    <xdr:clientData/>
  </xdr:twoCellAnchor>
  <xdr:twoCellAnchor>
    <xdr:from>
      <xdr:col>1</xdr:col>
      <xdr:colOff>98277</xdr:colOff>
      <xdr:row>71</xdr:row>
      <xdr:rowOff>100291</xdr:rowOff>
    </xdr:from>
    <xdr:to>
      <xdr:col>4</xdr:col>
      <xdr:colOff>319369</xdr:colOff>
      <xdr:row>72</xdr:row>
      <xdr:rowOff>120462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D03518C-5D83-40CC-87C7-C0602AE46CD2}"/>
            </a:ext>
          </a:extLst>
        </xdr:cNvPr>
        <xdr:cNvSpPr/>
      </xdr:nvSpPr>
      <xdr:spPr>
        <a:xfrm>
          <a:off x="1936602" y="14349691"/>
          <a:ext cx="2440417" cy="21067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27"/>
  <sheetViews>
    <sheetView workbookViewId="0">
      <selection activeCell="AP28" sqref="AP28"/>
    </sheetView>
  </sheetViews>
  <sheetFormatPr defaultRowHeight="15" x14ac:dyDescent="0.25"/>
  <sheetData>
    <row r="1" spans="1:45" x14ac:dyDescent="0.25">
      <c r="A1" s="6">
        <v>2023</v>
      </c>
      <c r="B1" s="7" t="s">
        <v>52</v>
      </c>
      <c r="C1" s="8" t="s">
        <v>54</v>
      </c>
      <c r="D1" s="8"/>
      <c r="E1" s="9" t="s">
        <v>61</v>
      </c>
      <c r="F1" s="9"/>
      <c r="G1" s="9"/>
      <c r="H1" s="9"/>
    </row>
    <row r="2" spans="1:45" x14ac:dyDescent="0.25">
      <c r="A2" s="5"/>
    </row>
    <row r="3" spans="1:45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2" t="s">
        <v>29</v>
      </c>
      <c r="Y3" s="2" t="s">
        <v>30</v>
      </c>
      <c r="Z3" s="2" t="s">
        <v>31</v>
      </c>
      <c r="AA3" s="2" t="s">
        <v>32</v>
      </c>
      <c r="AB3" s="2" t="s">
        <v>33</v>
      </c>
      <c r="AC3" s="2" t="s">
        <v>34</v>
      </c>
      <c r="AD3" s="2" t="s">
        <v>35</v>
      </c>
      <c r="AE3" s="2" t="s">
        <v>36</v>
      </c>
      <c r="AF3" s="2" t="s">
        <v>37</v>
      </c>
      <c r="AG3" s="2" t="s">
        <v>38</v>
      </c>
      <c r="AH3" s="2" t="s">
        <v>39</v>
      </c>
      <c r="AI3" s="2" t="s">
        <v>40</v>
      </c>
      <c r="AJ3" s="2" t="s">
        <v>41</v>
      </c>
      <c r="AK3" s="2" t="s">
        <v>42</v>
      </c>
      <c r="AL3" s="2" t="s">
        <v>43</v>
      </c>
      <c r="AM3" s="2" t="s">
        <v>44</v>
      </c>
      <c r="AN3" s="2" t="s">
        <v>45</v>
      </c>
      <c r="AO3" s="2" t="s">
        <v>46</v>
      </c>
      <c r="AP3" s="2" t="s">
        <v>47</v>
      </c>
      <c r="AQ3" s="2" t="s">
        <v>48</v>
      </c>
      <c r="AR3" s="2" t="s">
        <v>49</v>
      </c>
      <c r="AS3" s="2" t="s">
        <v>50</v>
      </c>
    </row>
    <row r="4" spans="1:45" x14ac:dyDescent="0.25">
      <c r="A4" s="2">
        <v>8660</v>
      </c>
      <c r="B4" s="2" t="s">
        <v>51</v>
      </c>
      <c r="C4" s="2">
        <v>11</v>
      </c>
      <c r="D4" s="2" t="s">
        <v>52</v>
      </c>
      <c r="E4" s="2" t="s">
        <v>53</v>
      </c>
      <c r="F4" s="2">
        <v>22676</v>
      </c>
      <c r="G4" s="2">
        <v>26027</v>
      </c>
      <c r="H4" s="2">
        <v>2</v>
      </c>
      <c r="I4" s="2">
        <v>0.27661999999999998</v>
      </c>
      <c r="J4" s="2">
        <v>3</v>
      </c>
      <c r="K4" s="2">
        <v>3</v>
      </c>
      <c r="L4" s="2">
        <v>100800</v>
      </c>
      <c r="M4" s="2">
        <v>61.79</v>
      </c>
      <c r="N4" s="2">
        <v>0.26861000000000002</v>
      </c>
      <c r="O4" s="2">
        <v>62</v>
      </c>
      <c r="P4" s="2">
        <v>15551.54004</v>
      </c>
      <c r="Q4" s="2">
        <v>0.43114000000000002</v>
      </c>
      <c r="R4" s="2">
        <v>0.92569000000000001</v>
      </c>
      <c r="S4" s="2">
        <v>15551.54004</v>
      </c>
      <c r="T4" s="11">
        <v>43.24</v>
      </c>
      <c r="U4" s="2">
        <v>0.38384000000000001</v>
      </c>
      <c r="V4" s="2">
        <v>15072.07617</v>
      </c>
      <c r="W4" s="2">
        <v>0.30313000000000001</v>
      </c>
      <c r="X4" s="2">
        <v>0.59809999999999997</v>
      </c>
      <c r="Y4" s="2">
        <v>15072.07617</v>
      </c>
      <c r="Z4" s="11">
        <v>56.21</v>
      </c>
      <c r="AA4" s="2">
        <v>0.29526999999999998</v>
      </c>
      <c r="AB4" s="2">
        <v>8553.2333999999992</v>
      </c>
      <c r="AC4" s="2">
        <v>0.32289000000000001</v>
      </c>
      <c r="AD4" s="2">
        <v>0.67883000000000004</v>
      </c>
      <c r="AE4" s="2">
        <v>8553.2333999999992</v>
      </c>
      <c r="AF4" s="11">
        <v>53.52</v>
      </c>
      <c r="AG4" s="2">
        <v>0.31011</v>
      </c>
      <c r="AH4" s="2">
        <v>49396.542970000002</v>
      </c>
      <c r="AI4" s="2">
        <v>13664.07129</v>
      </c>
      <c r="AJ4" s="2">
        <v>161.91281000000001</v>
      </c>
      <c r="AK4" s="2">
        <v>44.207689999999999</v>
      </c>
      <c r="AL4" s="2">
        <v>74.172520000000006</v>
      </c>
      <c r="AM4" s="2">
        <v>99.488140000000001</v>
      </c>
      <c r="AN4" s="2">
        <v>45.751280000000001</v>
      </c>
      <c r="AO4" s="2">
        <v>263.61962999999997</v>
      </c>
      <c r="AP4" s="2">
        <v>3.0737700000000001</v>
      </c>
      <c r="AQ4" s="2">
        <v>49396.542970000002</v>
      </c>
      <c r="AR4" s="2">
        <v>3.2372700000000001</v>
      </c>
      <c r="AS4" s="2">
        <v>1460.5370660000001</v>
      </c>
    </row>
    <row r="6" spans="1:45" x14ac:dyDescent="0.25">
      <c r="A6" s="6" t="s">
        <v>161</v>
      </c>
      <c r="B6" s="7" t="s">
        <v>52</v>
      </c>
      <c r="C6" s="8" t="s">
        <v>54</v>
      </c>
      <c r="D6" s="8"/>
      <c r="E6" s="9" t="s">
        <v>61</v>
      </c>
      <c r="F6" s="9"/>
      <c r="G6" s="9"/>
      <c r="H6" s="9"/>
    </row>
    <row r="8" spans="1:45" x14ac:dyDescent="0.25">
      <c r="A8" s="2" t="s">
        <v>164</v>
      </c>
      <c r="B8" s="2" t="s">
        <v>165</v>
      </c>
      <c r="C8" s="2" t="s">
        <v>9</v>
      </c>
      <c r="D8" s="2" t="s">
        <v>166</v>
      </c>
      <c r="E8" s="2" t="s">
        <v>167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  <c r="M8" s="2" t="s">
        <v>17</v>
      </c>
      <c r="N8" s="2" t="s">
        <v>18</v>
      </c>
      <c r="O8" s="2" t="s">
        <v>19</v>
      </c>
      <c r="P8" s="2" t="s">
        <v>20</v>
      </c>
      <c r="Q8" s="2" t="s">
        <v>21</v>
      </c>
      <c r="R8" s="2" t="s">
        <v>22</v>
      </c>
      <c r="S8" s="2" t="s">
        <v>23</v>
      </c>
      <c r="T8" s="2" t="s">
        <v>24</v>
      </c>
      <c r="U8" s="2" t="s">
        <v>25</v>
      </c>
      <c r="V8" s="2" t="s">
        <v>26</v>
      </c>
      <c r="W8" s="2" t="s">
        <v>27</v>
      </c>
      <c r="X8" s="2" t="s">
        <v>28</v>
      </c>
      <c r="Y8" s="2" t="s">
        <v>29</v>
      </c>
      <c r="Z8" s="2" t="s">
        <v>30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 t="s">
        <v>37</v>
      </c>
      <c r="AH8" s="2" t="s">
        <v>38</v>
      </c>
      <c r="AI8" s="2" t="s">
        <v>39</v>
      </c>
      <c r="AJ8" s="2" t="s">
        <v>40</v>
      </c>
      <c r="AK8" s="2" t="s">
        <v>42</v>
      </c>
      <c r="AL8" s="2" t="s">
        <v>43</v>
      </c>
      <c r="AM8" s="2" t="s">
        <v>44</v>
      </c>
      <c r="AN8" s="2" t="s">
        <v>45</v>
      </c>
      <c r="AO8" s="2" t="s">
        <v>46</v>
      </c>
      <c r="AP8" s="2" t="s">
        <v>48</v>
      </c>
      <c r="AQ8" s="2" t="s">
        <v>48</v>
      </c>
      <c r="AR8" s="2" t="s">
        <v>49</v>
      </c>
      <c r="AS8" s="2" t="s">
        <v>50</v>
      </c>
    </row>
    <row r="9" spans="1:45" x14ac:dyDescent="0.25">
      <c r="A9" s="2">
        <v>8845</v>
      </c>
      <c r="B9" s="2" t="s">
        <v>51</v>
      </c>
      <c r="C9" s="2" t="s">
        <v>52</v>
      </c>
      <c r="D9" s="2">
        <v>18022</v>
      </c>
      <c r="E9" s="2">
        <v>0</v>
      </c>
      <c r="F9" s="2" t="s">
        <v>62</v>
      </c>
      <c r="G9" s="2">
        <v>33877</v>
      </c>
      <c r="H9" s="2">
        <v>40665</v>
      </c>
      <c r="I9" s="2">
        <v>3</v>
      </c>
      <c r="J9" s="2">
        <v>0.27999000000000002</v>
      </c>
      <c r="K9" s="2">
        <v>3</v>
      </c>
      <c r="L9" s="2">
        <v>3</v>
      </c>
      <c r="M9" s="2">
        <v>151200</v>
      </c>
      <c r="N9" s="2">
        <v>61.89</v>
      </c>
      <c r="O9" s="2">
        <v>0.27144000000000001</v>
      </c>
      <c r="P9" s="2">
        <v>62</v>
      </c>
      <c r="Q9" s="2">
        <v>23482.568360000001</v>
      </c>
      <c r="R9" s="2">
        <v>0.44026999999999999</v>
      </c>
      <c r="S9" s="2">
        <v>0.93184999999999996</v>
      </c>
      <c r="T9" s="11">
        <v>23482.568360000001</v>
      </c>
      <c r="U9" s="2">
        <v>42.97</v>
      </c>
      <c r="V9" s="2">
        <v>0.39095999999999997</v>
      </c>
      <c r="W9" s="2">
        <v>26732.189450000002</v>
      </c>
      <c r="X9" s="2">
        <v>0.33543000000000001</v>
      </c>
      <c r="Y9" s="2">
        <v>0.70720000000000005</v>
      </c>
      <c r="Z9" s="11">
        <v>26732.189450000002</v>
      </c>
      <c r="AA9" s="2">
        <v>52.48</v>
      </c>
      <c r="AB9" s="2">
        <v>0.32011000000000001</v>
      </c>
      <c r="AC9" s="2">
        <v>16168.525390000001</v>
      </c>
      <c r="AD9" s="2">
        <v>0.39648</v>
      </c>
      <c r="AE9" s="2">
        <v>0.85548000000000002</v>
      </c>
      <c r="AF9" s="11">
        <v>16168.525390000001</v>
      </c>
      <c r="AG9" s="2">
        <v>46.33</v>
      </c>
      <c r="AH9" s="2">
        <v>0.36259999999999998</v>
      </c>
      <c r="AI9" s="2">
        <v>78930.6875</v>
      </c>
      <c r="AJ9" s="2">
        <v>22099.802729999999</v>
      </c>
      <c r="AK9" s="2">
        <v>97.712609999999998</v>
      </c>
      <c r="AL9" s="2">
        <v>142.62091000000001</v>
      </c>
      <c r="AM9" s="2">
        <v>153.01103000000001</v>
      </c>
      <c r="AN9" s="2">
        <v>56.764380000000003</v>
      </c>
      <c r="AO9" s="2">
        <v>450.10892000000001</v>
      </c>
      <c r="AP9" s="2">
        <v>78930.6875</v>
      </c>
      <c r="AQ9" s="2">
        <v>79884.835940000004</v>
      </c>
      <c r="AR9" s="2">
        <v>6.0119100000000003</v>
      </c>
      <c r="AS9" s="2">
        <v>1460.5370660000001</v>
      </c>
    </row>
    <row r="11" spans="1:45" x14ac:dyDescent="0.25">
      <c r="A11" s="6" t="s">
        <v>162</v>
      </c>
      <c r="B11" s="7" t="s">
        <v>52</v>
      </c>
      <c r="C11" s="8" t="s">
        <v>54</v>
      </c>
      <c r="D11" s="8"/>
      <c r="E11" s="9" t="s">
        <v>61</v>
      </c>
      <c r="F11" s="9"/>
      <c r="G11" s="9"/>
      <c r="H11" s="9"/>
    </row>
    <row r="13" spans="1:45" x14ac:dyDescent="0.25">
      <c r="A13" s="2" t="s">
        <v>164</v>
      </c>
      <c r="B13" s="2" t="s">
        <v>165</v>
      </c>
      <c r="C13" s="2" t="s">
        <v>9</v>
      </c>
      <c r="D13" s="2" t="s">
        <v>166</v>
      </c>
      <c r="E13" s="2" t="s">
        <v>167</v>
      </c>
      <c r="F13" s="2" t="s">
        <v>10</v>
      </c>
      <c r="G13" s="2" t="s">
        <v>11</v>
      </c>
      <c r="H13" s="2" t="s">
        <v>12</v>
      </c>
      <c r="I13" s="2" t="s">
        <v>13</v>
      </c>
      <c r="J13" s="2" t="s">
        <v>14</v>
      </c>
      <c r="K13" s="2" t="s">
        <v>15</v>
      </c>
      <c r="L13" s="2" t="s">
        <v>16</v>
      </c>
      <c r="M13" s="2" t="s">
        <v>17</v>
      </c>
      <c r="N13" s="2" t="s">
        <v>18</v>
      </c>
      <c r="O13" s="2" t="s">
        <v>19</v>
      </c>
      <c r="P13" s="2" t="s">
        <v>20</v>
      </c>
      <c r="Q13" s="2" t="s">
        <v>21</v>
      </c>
      <c r="R13" s="2" t="s">
        <v>22</v>
      </c>
      <c r="S13" s="2" t="s">
        <v>23</v>
      </c>
      <c r="T13" s="2" t="s">
        <v>24</v>
      </c>
      <c r="U13" s="2" t="s">
        <v>25</v>
      </c>
      <c r="V13" s="2" t="s">
        <v>26</v>
      </c>
      <c r="W13" s="2" t="s">
        <v>27</v>
      </c>
      <c r="X13" s="2" t="s">
        <v>28</v>
      </c>
      <c r="Y13" s="2" t="s">
        <v>29</v>
      </c>
      <c r="Z13" s="2" t="s">
        <v>30</v>
      </c>
      <c r="AA13" s="2" t="s">
        <v>31</v>
      </c>
      <c r="AB13" s="2" t="s">
        <v>32</v>
      </c>
      <c r="AC13" s="2" t="s">
        <v>33</v>
      </c>
      <c r="AD13" s="2" t="s">
        <v>34</v>
      </c>
      <c r="AE13" s="2" t="s">
        <v>35</v>
      </c>
      <c r="AF13" s="2" t="s">
        <v>36</v>
      </c>
      <c r="AG13" s="2" t="s">
        <v>37</v>
      </c>
      <c r="AH13" s="2" t="s">
        <v>38</v>
      </c>
      <c r="AI13" s="2" t="s">
        <v>39</v>
      </c>
      <c r="AJ13" s="2" t="s">
        <v>40</v>
      </c>
      <c r="AK13" s="2" t="s">
        <v>42</v>
      </c>
      <c r="AL13" s="2" t="s">
        <v>43</v>
      </c>
      <c r="AM13" s="2" t="s">
        <v>44</v>
      </c>
      <c r="AN13" s="2" t="s">
        <v>45</v>
      </c>
      <c r="AO13" s="2" t="s">
        <v>46</v>
      </c>
      <c r="AP13" s="2" t="s">
        <v>48</v>
      </c>
      <c r="AQ13" s="2" t="s">
        <v>48</v>
      </c>
      <c r="AR13" s="2" t="s">
        <v>49</v>
      </c>
      <c r="AS13" s="2" t="s">
        <v>50</v>
      </c>
    </row>
    <row r="14" spans="1:45" x14ac:dyDescent="0.25">
      <c r="A14" s="2">
        <v>8850</v>
      </c>
      <c r="B14" s="2" t="s">
        <v>51</v>
      </c>
      <c r="C14" s="2" t="s">
        <v>52</v>
      </c>
      <c r="D14" s="2">
        <v>18022</v>
      </c>
      <c r="E14" s="2">
        <v>0</v>
      </c>
      <c r="F14" s="2" t="s">
        <v>62</v>
      </c>
      <c r="G14" s="2">
        <v>33877</v>
      </c>
      <c r="H14" s="2">
        <v>40665</v>
      </c>
      <c r="I14" s="2">
        <v>3</v>
      </c>
      <c r="J14" s="2">
        <v>0.27999000000000002</v>
      </c>
      <c r="K14" s="2">
        <v>3</v>
      </c>
      <c r="L14" s="2">
        <v>3</v>
      </c>
      <c r="M14" s="2">
        <v>151200</v>
      </c>
      <c r="N14" s="2">
        <v>61.89</v>
      </c>
      <c r="O14" s="2">
        <v>0.27144000000000001</v>
      </c>
      <c r="P14" s="2">
        <v>62</v>
      </c>
      <c r="Q14" s="2">
        <v>23328.019530000001</v>
      </c>
      <c r="R14" s="2">
        <v>0.43641000000000002</v>
      </c>
      <c r="S14" s="2">
        <v>0.92571999999999999</v>
      </c>
      <c r="T14" s="2">
        <v>23328.019530000001</v>
      </c>
      <c r="U14" s="2">
        <v>43.24</v>
      </c>
      <c r="V14" s="2">
        <v>0.38851999999999998</v>
      </c>
      <c r="W14" s="2">
        <v>26754.841799999998</v>
      </c>
      <c r="X14" s="2">
        <v>0.33561999999999997</v>
      </c>
      <c r="Y14" s="2">
        <v>0.70779999999999998</v>
      </c>
      <c r="Z14" s="2">
        <v>26754.841799999998</v>
      </c>
      <c r="AA14" s="2">
        <v>52.45</v>
      </c>
      <c r="AB14" s="2">
        <v>0.32029000000000002</v>
      </c>
      <c r="AC14" s="2">
        <v>15999.2793</v>
      </c>
      <c r="AD14" s="2">
        <v>0.39194000000000001</v>
      </c>
      <c r="AE14" s="2">
        <v>0.84652000000000005</v>
      </c>
      <c r="AF14" s="2">
        <v>15999.2793</v>
      </c>
      <c r="AG14" s="2">
        <v>46.72</v>
      </c>
      <c r="AH14" s="2">
        <v>0.35958000000000001</v>
      </c>
      <c r="AI14" s="2">
        <v>78615.914059999996</v>
      </c>
      <c r="AJ14" s="2">
        <v>22011.667969999999</v>
      </c>
      <c r="AK14" s="2">
        <v>95.882670000000005</v>
      </c>
      <c r="AL14" s="2">
        <v>142.82341</v>
      </c>
      <c r="AM14" s="2">
        <v>151.05485999999999</v>
      </c>
      <c r="AN14" s="2">
        <v>56.7027</v>
      </c>
      <c r="AO14" s="2">
        <v>446.46361999999999</v>
      </c>
      <c r="AP14" s="2">
        <v>78615.914059999996</v>
      </c>
      <c r="AQ14" s="2">
        <v>3092.6728499999999</v>
      </c>
      <c r="AR14" s="2">
        <v>0.19428000000000001</v>
      </c>
      <c r="AS14" s="2">
        <v>2124.6192679999999</v>
      </c>
    </row>
    <row r="15" spans="1:4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9" spans="1:45" x14ac:dyDescent="0.25">
      <c r="A19" s="6">
        <v>2023</v>
      </c>
      <c r="B19" s="7" t="s">
        <v>52</v>
      </c>
      <c r="C19" s="8" t="s">
        <v>163</v>
      </c>
      <c r="D19" s="8"/>
      <c r="E19" s="9" t="s">
        <v>61</v>
      </c>
      <c r="F19" s="9"/>
      <c r="G19" s="9"/>
      <c r="H19" s="9"/>
    </row>
    <row r="20" spans="1:45" x14ac:dyDescent="0.25">
      <c r="A20" s="5"/>
    </row>
    <row r="21" spans="1:4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4" spans="1:45" x14ac:dyDescent="0.25">
      <c r="A24" s="6">
        <v>2045</v>
      </c>
      <c r="B24" s="7" t="s">
        <v>52</v>
      </c>
      <c r="C24" s="8" t="s">
        <v>163</v>
      </c>
      <c r="D24" s="8"/>
      <c r="E24" s="9" t="s">
        <v>61</v>
      </c>
      <c r="F24" s="9"/>
      <c r="G24" s="9"/>
      <c r="H24" s="9"/>
    </row>
    <row r="26" spans="1:45" x14ac:dyDescent="0.25">
      <c r="A26" s="2" t="s">
        <v>164</v>
      </c>
      <c r="B26" s="2" t="s">
        <v>165</v>
      </c>
      <c r="C26" s="2" t="s">
        <v>9</v>
      </c>
      <c r="D26" s="2" t="s">
        <v>166</v>
      </c>
      <c r="E26" s="2" t="s">
        <v>167</v>
      </c>
      <c r="F26" s="2" t="s">
        <v>10</v>
      </c>
      <c r="G26" s="2" t="s">
        <v>11</v>
      </c>
      <c r="H26" s="2" t="s">
        <v>12</v>
      </c>
      <c r="I26" s="2" t="s">
        <v>13</v>
      </c>
      <c r="J26" s="2" t="s">
        <v>14</v>
      </c>
      <c r="K26" s="2" t="s">
        <v>15</v>
      </c>
      <c r="L26" s="2" t="s">
        <v>16</v>
      </c>
      <c r="M26" s="2" t="s">
        <v>17</v>
      </c>
      <c r="N26" s="2" t="s">
        <v>18</v>
      </c>
      <c r="O26" s="2" t="s">
        <v>19</v>
      </c>
      <c r="P26" s="2" t="s">
        <v>20</v>
      </c>
      <c r="Q26" s="2" t="s">
        <v>21</v>
      </c>
      <c r="R26" s="2" t="s">
        <v>22</v>
      </c>
      <c r="S26" s="2" t="s">
        <v>23</v>
      </c>
      <c r="T26" s="2" t="s">
        <v>24</v>
      </c>
      <c r="U26" s="2" t="s">
        <v>25</v>
      </c>
      <c r="V26" s="2" t="s">
        <v>26</v>
      </c>
      <c r="W26" s="2" t="s">
        <v>27</v>
      </c>
      <c r="X26" s="2" t="s">
        <v>28</v>
      </c>
      <c r="Y26" s="2" t="s">
        <v>29</v>
      </c>
      <c r="Z26" s="2" t="s">
        <v>30</v>
      </c>
      <c r="AA26" s="2" t="s">
        <v>31</v>
      </c>
      <c r="AB26" s="2" t="s">
        <v>32</v>
      </c>
      <c r="AC26" s="2" t="s">
        <v>33</v>
      </c>
      <c r="AD26" s="2" t="s">
        <v>34</v>
      </c>
      <c r="AE26" s="2" t="s">
        <v>35</v>
      </c>
      <c r="AF26" s="2" t="s">
        <v>36</v>
      </c>
      <c r="AG26" s="2" t="s">
        <v>37</v>
      </c>
      <c r="AH26" s="2" t="s">
        <v>38</v>
      </c>
      <c r="AI26" s="2" t="s">
        <v>39</v>
      </c>
      <c r="AJ26" s="2" t="s">
        <v>40</v>
      </c>
      <c r="AK26" s="2" t="s">
        <v>42</v>
      </c>
      <c r="AL26" s="2" t="s">
        <v>43</v>
      </c>
      <c r="AM26" s="2" t="s">
        <v>44</v>
      </c>
      <c r="AN26" s="2" t="s">
        <v>45</v>
      </c>
      <c r="AO26" s="2" t="s">
        <v>46</v>
      </c>
      <c r="AP26" s="2" t="s">
        <v>48</v>
      </c>
      <c r="AQ26" s="2"/>
      <c r="AR26" s="2"/>
      <c r="AS26" s="2"/>
    </row>
    <row r="27" spans="1:45" x14ac:dyDescent="0.25">
      <c r="A27" s="2">
        <v>45904</v>
      </c>
      <c r="B27" s="2" t="s">
        <v>51</v>
      </c>
      <c r="C27" s="2" t="s">
        <v>168</v>
      </c>
      <c r="D27" s="2">
        <v>0</v>
      </c>
      <c r="E27" s="2">
        <v>0</v>
      </c>
      <c r="F27" s="2" t="s">
        <v>169</v>
      </c>
      <c r="G27" s="2">
        <v>33876</v>
      </c>
      <c r="H27" s="2">
        <v>41564</v>
      </c>
      <c r="I27" s="2">
        <v>2</v>
      </c>
      <c r="J27" s="2">
        <v>0.73582000000000003</v>
      </c>
      <c r="K27" s="2">
        <v>50</v>
      </c>
      <c r="L27" s="2">
        <v>3</v>
      </c>
      <c r="M27" s="2">
        <v>37752</v>
      </c>
      <c r="N27" s="2">
        <v>36.22</v>
      </c>
      <c r="O27" s="2">
        <v>1.21892</v>
      </c>
      <c r="P27" s="2">
        <v>38.25</v>
      </c>
      <c r="Q27" s="2">
        <v>1535.19128</v>
      </c>
      <c r="R27" s="2">
        <v>1.11086</v>
      </c>
      <c r="S27" s="2">
        <v>0.24399000000000001</v>
      </c>
      <c r="T27" s="2">
        <v>1535.19128</v>
      </c>
      <c r="U27" s="2">
        <v>35.94</v>
      </c>
      <c r="V27" s="2">
        <v>1.2284200000000001</v>
      </c>
      <c r="W27" s="2">
        <v>215.3503</v>
      </c>
      <c r="X27" s="2">
        <v>1.1037399999999999</v>
      </c>
      <c r="Y27" s="2">
        <v>2.282E-2</v>
      </c>
      <c r="Z27" s="2">
        <v>215.3503</v>
      </c>
      <c r="AA27" s="2">
        <v>36.200000000000003</v>
      </c>
      <c r="AB27" s="2">
        <v>1.2196</v>
      </c>
      <c r="AC27" s="2">
        <v>469.06723</v>
      </c>
      <c r="AD27" s="2">
        <v>1.1040399999999999</v>
      </c>
      <c r="AE27" s="2">
        <v>9.9400000000000002E-2</v>
      </c>
      <c r="AF27" s="2">
        <v>469.06723</v>
      </c>
      <c r="AG27" s="2">
        <v>36.119999999999997</v>
      </c>
      <c r="AH27" s="2">
        <v>1.2222999999999999</v>
      </c>
      <c r="AI27" s="2">
        <v>2237.3618200000001</v>
      </c>
      <c r="AJ27" s="2">
        <v>1646.30261</v>
      </c>
      <c r="AK27" s="2">
        <v>9.5556599999999996</v>
      </c>
      <c r="AL27" s="2">
        <v>4.3773400000000002</v>
      </c>
      <c r="AM27" s="2">
        <v>31.430980000000002</v>
      </c>
      <c r="AN27" s="2">
        <v>0.36065999999999998</v>
      </c>
      <c r="AO27" s="2">
        <v>45.724640000000001</v>
      </c>
      <c r="AP27" s="2">
        <v>2237.3618200000001</v>
      </c>
      <c r="AQ27" s="2"/>
      <c r="AR27" s="2"/>
      <c r="AS2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5D1E-7811-45C5-A2DA-2ACDCB96C395}">
  <dimension ref="A1:D59"/>
  <sheetViews>
    <sheetView workbookViewId="0">
      <selection activeCell="C7" sqref="C7"/>
    </sheetView>
  </sheetViews>
  <sheetFormatPr defaultRowHeight="15" x14ac:dyDescent="0.25"/>
  <cols>
    <col min="1" max="1" width="27.5703125" customWidth="1"/>
    <col min="2" max="3" width="9.28515625" bestFit="1" customWidth="1"/>
    <col min="4" max="4" width="9.5703125" bestFit="1" customWidth="1"/>
  </cols>
  <sheetData>
    <row r="1" spans="1:4" x14ac:dyDescent="0.25">
      <c r="A1" s="120" t="s">
        <v>86</v>
      </c>
      <c r="B1" s="121"/>
      <c r="C1" s="121"/>
      <c r="D1" s="122"/>
    </row>
    <row r="2" spans="1:4" x14ac:dyDescent="0.25">
      <c r="A2" s="37" t="s">
        <v>79</v>
      </c>
      <c r="B2" s="28" t="s">
        <v>78</v>
      </c>
      <c r="C2" s="28" t="s">
        <v>81</v>
      </c>
      <c r="D2" s="38" t="s">
        <v>77</v>
      </c>
    </row>
    <row r="3" spans="1:4" x14ac:dyDescent="0.25">
      <c r="A3" s="19"/>
      <c r="B3" s="29">
        <v>23569</v>
      </c>
      <c r="C3" s="24">
        <f>C5-B4+D4</f>
        <v>84303</v>
      </c>
      <c r="D3" s="39">
        <v>7625</v>
      </c>
    </row>
    <row r="4" spans="1:4" x14ac:dyDescent="0.25">
      <c r="A4" s="19"/>
      <c r="B4" s="24">
        <v>8349</v>
      </c>
      <c r="C4" s="24"/>
      <c r="D4" s="40">
        <v>8075</v>
      </c>
    </row>
    <row r="5" spans="1:4" x14ac:dyDescent="0.25">
      <c r="A5" s="41" t="s">
        <v>75</v>
      </c>
      <c r="B5" s="27"/>
      <c r="C5" s="27">
        <f>C7-D6-B6</f>
        <v>84577</v>
      </c>
      <c r="D5" s="42"/>
    </row>
    <row r="6" spans="1:4" x14ac:dyDescent="0.25">
      <c r="A6" s="19"/>
      <c r="B6" s="24">
        <v>6044</v>
      </c>
      <c r="C6" s="24"/>
      <c r="D6" s="40">
        <v>5644</v>
      </c>
    </row>
    <row r="7" spans="1:4" x14ac:dyDescent="0.25">
      <c r="A7" s="19"/>
      <c r="B7" s="24"/>
      <c r="C7" s="45">
        <f>C11-D10+D8-B10+B8</f>
        <v>96265</v>
      </c>
      <c r="D7" s="40"/>
    </row>
    <row r="8" spans="1:4" x14ac:dyDescent="0.25">
      <c r="A8" s="19"/>
      <c r="B8" s="24">
        <v>13000</v>
      </c>
      <c r="C8" s="24"/>
      <c r="D8" s="40">
        <v>10134</v>
      </c>
    </row>
    <row r="9" spans="1:4" x14ac:dyDescent="0.25">
      <c r="A9" s="41" t="s">
        <v>76</v>
      </c>
      <c r="B9" s="27"/>
      <c r="C9" s="27"/>
      <c r="D9" s="42"/>
    </row>
    <row r="10" spans="1:4" x14ac:dyDescent="0.25">
      <c r="A10" s="19"/>
      <c r="B10" s="24">
        <v>4361</v>
      </c>
      <c r="C10" s="24"/>
      <c r="D10" s="40">
        <v>3425</v>
      </c>
    </row>
    <row r="11" spans="1:4" ht="15.75" thickBot="1" x14ac:dyDescent="0.3">
      <c r="A11" s="21"/>
      <c r="B11" s="43"/>
      <c r="C11" s="43">
        <v>80917</v>
      </c>
      <c r="D11" s="44"/>
    </row>
    <row r="12" spans="1:4" ht="15.75" thickBot="1" x14ac:dyDescent="0.3"/>
    <row r="13" spans="1:4" x14ac:dyDescent="0.25">
      <c r="A13" s="120" t="s">
        <v>82</v>
      </c>
      <c r="B13" s="121"/>
      <c r="C13" s="121"/>
      <c r="D13" s="122"/>
    </row>
    <row r="14" spans="1:4" x14ac:dyDescent="0.25">
      <c r="A14" s="37" t="s">
        <v>79</v>
      </c>
      <c r="B14" s="28" t="s">
        <v>78</v>
      </c>
      <c r="C14" s="28" t="s">
        <v>81</v>
      </c>
      <c r="D14" s="38" t="s">
        <v>77</v>
      </c>
    </row>
    <row r="15" spans="1:4" x14ac:dyDescent="0.25">
      <c r="A15" s="19"/>
      <c r="B15" s="29">
        <v>23569</v>
      </c>
      <c r="C15" s="24">
        <v>96534</v>
      </c>
      <c r="D15" s="39">
        <v>7625</v>
      </c>
    </row>
    <row r="16" spans="1:4" x14ac:dyDescent="0.25">
      <c r="A16" s="19"/>
      <c r="B16" s="24">
        <v>7714</v>
      </c>
      <c r="C16" s="24"/>
      <c r="D16" s="40">
        <v>8494</v>
      </c>
    </row>
    <row r="17" spans="1:4" x14ac:dyDescent="0.25">
      <c r="A17" s="41" t="s">
        <v>75</v>
      </c>
      <c r="B17" s="27"/>
      <c r="C17" s="27">
        <f>C15+B16-D16</f>
        <v>95754</v>
      </c>
      <c r="D17" s="42"/>
    </row>
    <row r="18" spans="1:4" x14ac:dyDescent="0.25">
      <c r="A18" s="19"/>
      <c r="B18" s="24">
        <v>6505</v>
      </c>
      <c r="C18" s="24"/>
      <c r="D18" s="40">
        <v>7095</v>
      </c>
    </row>
    <row r="19" spans="1:4" x14ac:dyDescent="0.25">
      <c r="A19" s="19"/>
      <c r="B19" s="24"/>
      <c r="C19" s="45">
        <f>C17+B18+D18</f>
        <v>109354</v>
      </c>
      <c r="D19" s="40"/>
    </row>
    <row r="20" spans="1:4" x14ac:dyDescent="0.25">
      <c r="A20" s="19"/>
      <c r="B20" s="24">
        <v>11752</v>
      </c>
      <c r="C20" s="24"/>
      <c r="D20" s="40">
        <v>11291</v>
      </c>
    </row>
    <row r="21" spans="1:4" x14ac:dyDescent="0.25">
      <c r="A21" s="41" t="s">
        <v>76</v>
      </c>
      <c r="B21" s="27"/>
      <c r="C21" s="27"/>
      <c r="D21" s="42"/>
    </row>
    <row r="22" spans="1:4" x14ac:dyDescent="0.25">
      <c r="A22" s="19"/>
      <c r="B22" s="24">
        <v>4226</v>
      </c>
      <c r="C22" s="24"/>
      <c r="D22" s="40">
        <v>4984</v>
      </c>
    </row>
    <row r="23" spans="1:4" ht="15.75" thickBot="1" x14ac:dyDescent="0.3">
      <c r="A23" s="21"/>
      <c r="B23" s="43"/>
      <c r="C23" s="47">
        <v>94887</v>
      </c>
      <c r="D23" s="44"/>
    </row>
    <row r="24" spans="1:4" ht="15.75" thickBot="1" x14ac:dyDescent="0.3"/>
    <row r="25" spans="1:4" x14ac:dyDescent="0.25">
      <c r="A25" s="120" t="s">
        <v>83</v>
      </c>
      <c r="B25" s="121"/>
      <c r="C25" s="121"/>
      <c r="D25" s="122"/>
    </row>
    <row r="26" spans="1:4" x14ac:dyDescent="0.25">
      <c r="A26" s="37" t="s">
        <v>79</v>
      </c>
      <c r="B26" s="28" t="s">
        <v>78</v>
      </c>
      <c r="C26" s="28" t="s">
        <v>81</v>
      </c>
      <c r="D26" s="38" t="s">
        <v>77</v>
      </c>
    </row>
    <row r="27" spans="1:4" x14ac:dyDescent="0.25">
      <c r="A27" s="19"/>
      <c r="B27" s="29">
        <v>23569</v>
      </c>
      <c r="C27" s="24">
        <v>83943</v>
      </c>
      <c r="D27" s="39">
        <v>7625</v>
      </c>
    </row>
    <row r="28" spans="1:4" x14ac:dyDescent="0.25">
      <c r="A28" s="19"/>
      <c r="B28" s="24">
        <v>7943</v>
      </c>
      <c r="C28" s="24"/>
      <c r="D28" s="40">
        <v>8747</v>
      </c>
    </row>
    <row r="29" spans="1:4" x14ac:dyDescent="0.25">
      <c r="A29" s="41" t="s">
        <v>75</v>
      </c>
      <c r="B29" s="27"/>
      <c r="C29" s="27">
        <f>C27+B28-D28</f>
        <v>83139</v>
      </c>
      <c r="D29" s="42"/>
    </row>
    <row r="30" spans="1:4" x14ac:dyDescent="0.25">
      <c r="A30" s="19"/>
      <c r="B30" s="24">
        <v>7972</v>
      </c>
      <c r="C30" s="24"/>
      <c r="D30" s="40">
        <v>8377</v>
      </c>
    </row>
    <row r="31" spans="1:4" x14ac:dyDescent="0.25">
      <c r="A31" s="19"/>
      <c r="B31" s="24"/>
      <c r="C31" s="45">
        <f>C29+B30+D30</f>
        <v>99488</v>
      </c>
      <c r="D31" s="40"/>
    </row>
    <row r="32" spans="1:4" x14ac:dyDescent="0.25">
      <c r="A32" s="19"/>
      <c r="B32" s="24">
        <v>13489</v>
      </c>
      <c r="C32" s="24"/>
      <c r="D32" s="40">
        <v>13370</v>
      </c>
    </row>
    <row r="33" spans="1:4" x14ac:dyDescent="0.25">
      <c r="A33" s="41" t="s">
        <v>76</v>
      </c>
      <c r="B33" s="27"/>
      <c r="C33" s="27"/>
      <c r="D33" s="42"/>
    </row>
    <row r="34" spans="1:4" x14ac:dyDescent="0.25">
      <c r="A34" s="19"/>
      <c r="B34" s="24">
        <v>5598</v>
      </c>
      <c r="C34" s="24"/>
      <c r="D34" s="40">
        <v>5312</v>
      </c>
    </row>
    <row r="35" spans="1:4" ht="15.75" thickBot="1" x14ac:dyDescent="0.3">
      <c r="A35" s="21"/>
      <c r="B35" s="43"/>
      <c r="C35" s="47">
        <f>C23*1.02</f>
        <v>96784.74</v>
      </c>
      <c r="D35" s="44"/>
    </row>
    <row r="36" spans="1:4" ht="15.75" thickBot="1" x14ac:dyDescent="0.3"/>
    <row r="37" spans="1:4" x14ac:dyDescent="0.25">
      <c r="A37" s="120" t="s">
        <v>84</v>
      </c>
      <c r="B37" s="121"/>
      <c r="C37" s="121"/>
      <c r="D37" s="122"/>
    </row>
    <row r="38" spans="1:4" x14ac:dyDescent="0.25">
      <c r="A38" s="37" t="s">
        <v>79</v>
      </c>
      <c r="B38" s="28" t="s">
        <v>78</v>
      </c>
      <c r="C38" s="28" t="s">
        <v>81</v>
      </c>
      <c r="D38" s="38" t="s">
        <v>77</v>
      </c>
    </row>
    <row r="39" spans="1:4" x14ac:dyDescent="0.25">
      <c r="A39" s="19"/>
      <c r="B39" s="29">
        <v>23569</v>
      </c>
      <c r="C39" s="24">
        <v>98757</v>
      </c>
      <c r="D39" s="39">
        <v>7625</v>
      </c>
    </row>
    <row r="40" spans="1:4" x14ac:dyDescent="0.25">
      <c r="A40" s="19"/>
      <c r="B40" s="24">
        <v>7943</v>
      </c>
      <c r="C40" s="24"/>
      <c r="D40" s="40">
        <v>8747</v>
      </c>
    </row>
    <row r="41" spans="1:4" x14ac:dyDescent="0.25">
      <c r="A41" s="41" t="s">
        <v>75</v>
      </c>
      <c r="B41" s="27"/>
      <c r="C41" s="27">
        <f>C39+B40-D40</f>
        <v>97953</v>
      </c>
      <c r="D41" s="42"/>
    </row>
    <row r="42" spans="1:4" x14ac:dyDescent="0.25">
      <c r="A42" s="19"/>
      <c r="B42" s="24">
        <v>7972</v>
      </c>
      <c r="C42" s="24"/>
      <c r="D42" s="40">
        <v>8377</v>
      </c>
    </row>
    <row r="43" spans="1:4" x14ac:dyDescent="0.25">
      <c r="A43" s="19"/>
      <c r="B43" s="24"/>
      <c r="C43" s="45">
        <f>C41+B42+D42</f>
        <v>114302</v>
      </c>
      <c r="D43" s="40"/>
    </row>
    <row r="44" spans="1:4" x14ac:dyDescent="0.25">
      <c r="A44" s="19"/>
      <c r="B44" s="24">
        <v>13489</v>
      </c>
      <c r="C44" s="24"/>
      <c r="D44" s="40">
        <v>13370</v>
      </c>
    </row>
    <row r="45" spans="1:4" x14ac:dyDescent="0.25">
      <c r="A45" s="41" t="s">
        <v>76</v>
      </c>
      <c r="B45" s="27"/>
      <c r="C45" s="27"/>
      <c r="D45" s="42"/>
    </row>
    <row r="46" spans="1:4" x14ac:dyDescent="0.25">
      <c r="A46" s="19"/>
      <c r="B46" s="24">
        <v>5598</v>
      </c>
      <c r="C46" s="24"/>
      <c r="D46" s="40">
        <v>5312</v>
      </c>
    </row>
    <row r="47" spans="1:4" ht="15.75" thickBot="1" x14ac:dyDescent="0.3">
      <c r="A47" s="21"/>
      <c r="B47" s="43"/>
      <c r="C47" s="47">
        <f>C35</f>
        <v>96784.74</v>
      </c>
      <c r="D47" s="44"/>
    </row>
    <row r="48" spans="1:4" ht="15.75" thickBot="1" x14ac:dyDescent="0.3"/>
    <row r="49" spans="1:4" x14ac:dyDescent="0.25">
      <c r="A49" s="120" t="s">
        <v>85</v>
      </c>
      <c r="B49" s="121"/>
      <c r="C49" s="121"/>
      <c r="D49" s="122"/>
    </row>
    <row r="50" spans="1:4" x14ac:dyDescent="0.25">
      <c r="A50" s="37" t="s">
        <v>79</v>
      </c>
      <c r="B50" s="28" t="s">
        <v>78</v>
      </c>
      <c r="C50" s="28" t="s">
        <v>81</v>
      </c>
      <c r="D50" s="38" t="s">
        <v>77</v>
      </c>
    </row>
    <row r="51" spans="1:4" x14ac:dyDescent="0.25">
      <c r="A51" s="19"/>
      <c r="B51" s="29">
        <v>23569</v>
      </c>
      <c r="C51" s="24">
        <v>96821</v>
      </c>
      <c r="D51" s="39">
        <v>7625</v>
      </c>
    </row>
    <row r="52" spans="1:4" x14ac:dyDescent="0.25">
      <c r="A52" s="19"/>
      <c r="B52" s="24">
        <v>7943</v>
      </c>
      <c r="C52" s="24"/>
      <c r="D52" s="40">
        <v>8747</v>
      </c>
    </row>
    <row r="53" spans="1:4" x14ac:dyDescent="0.25">
      <c r="A53" s="41" t="s">
        <v>75</v>
      </c>
      <c r="B53" s="27"/>
      <c r="C53" s="27">
        <f>C51+B52-D52</f>
        <v>96017</v>
      </c>
      <c r="D53" s="42"/>
    </row>
    <row r="54" spans="1:4" x14ac:dyDescent="0.25">
      <c r="A54" s="19"/>
      <c r="B54" s="24">
        <v>7972</v>
      </c>
      <c r="C54" s="24"/>
      <c r="D54" s="40">
        <v>8377</v>
      </c>
    </row>
    <row r="55" spans="1:4" x14ac:dyDescent="0.25">
      <c r="A55" s="19"/>
      <c r="B55" s="24"/>
      <c r="C55" s="45">
        <f>C53+B54+D54</f>
        <v>112366</v>
      </c>
      <c r="D55" s="40"/>
    </row>
    <row r="56" spans="1:4" x14ac:dyDescent="0.25">
      <c r="A56" s="19"/>
      <c r="B56" s="24">
        <v>13489</v>
      </c>
      <c r="C56" s="24"/>
      <c r="D56" s="40">
        <v>13370</v>
      </c>
    </row>
    <row r="57" spans="1:4" x14ac:dyDescent="0.25">
      <c r="A57" s="41" t="s">
        <v>76</v>
      </c>
      <c r="B57" s="27"/>
      <c r="C57" s="27"/>
      <c r="D57" s="42"/>
    </row>
    <row r="58" spans="1:4" x14ac:dyDescent="0.25">
      <c r="A58" s="19"/>
      <c r="B58" s="24">
        <v>5598</v>
      </c>
      <c r="C58" s="24"/>
      <c r="D58" s="40">
        <v>5312</v>
      </c>
    </row>
    <row r="59" spans="1:4" ht="15.75" thickBot="1" x14ac:dyDescent="0.3">
      <c r="A59" s="21"/>
      <c r="B59" s="43"/>
      <c r="C59" s="47">
        <f>C35</f>
        <v>96784.74</v>
      </c>
      <c r="D59" s="44"/>
    </row>
  </sheetData>
  <mergeCells count="5">
    <mergeCell ref="A1:D1"/>
    <mergeCell ref="A13:D13"/>
    <mergeCell ref="A25:D25"/>
    <mergeCell ref="A37:D37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0"/>
  <sheetViews>
    <sheetView tabSelected="1" topLeftCell="A31" workbookViewId="0">
      <selection activeCell="L69" sqref="L69"/>
    </sheetView>
  </sheetViews>
  <sheetFormatPr defaultRowHeight="15" x14ac:dyDescent="0.25"/>
  <cols>
    <col min="1" max="1" width="27.5703125" customWidth="1"/>
    <col min="2" max="2" width="14.5703125" bestFit="1" customWidth="1"/>
    <col min="4" max="4" width="9.5703125" bestFit="1" customWidth="1"/>
    <col min="5" max="5" width="11.5703125" bestFit="1" customWidth="1"/>
    <col min="6" max="6" width="11.140625" customWidth="1"/>
    <col min="7" max="7" width="15.42578125" bestFit="1" customWidth="1"/>
    <col min="10" max="10" width="16.28515625" bestFit="1" customWidth="1"/>
    <col min="11" max="11" width="15.7109375" customWidth="1"/>
    <col min="12" max="12" width="11.85546875" bestFit="1" customWidth="1"/>
    <col min="13" max="13" width="24.140625" bestFit="1" customWidth="1"/>
    <col min="14" max="14" width="15" bestFit="1" customWidth="1"/>
    <col min="15" max="15" width="11.5703125" customWidth="1"/>
    <col min="16" max="16" width="15" bestFit="1" customWidth="1"/>
    <col min="18" max="18" width="7" customWidth="1"/>
    <col min="19" max="19" width="15" bestFit="1" customWidth="1"/>
    <col min="20" max="20" width="11.140625" customWidth="1"/>
    <col min="21" max="21" width="17.140625" customWidth="1"/>
    <col min="22" max="22" width="11" bestFit="1" customWidth="1"/>
    <col min="23" max="23" width="21.7109375" bestFit="1" customWidth="1"/>
  </cols>
  <sheetData>
    <row r="1" spans="1:24" x14ac:dyDescent="0.25">
      <c r="A1" s="124" t="s">
        <v>64</v>
      </c>
      <c r="B1" s="124"/>
      <c r="C1" s="124" t="s">
        <v>65</v>
      </c>
      <c r="D1" s="124"/>
      <c r="E1" s="124"/>
      <c r="F1" s="124"/>
      <c r="G1" s="124"/>
      <c r="K1" s="1" t="s">
        <v>1</v>
      </c>
      <c r="L1" s="1" t="s">
        <v>2</v>
      </c>
      <c r="N1" s="5"/>
      <c r="O1" s="5"/>
      <c r="P1" s="5"/>
      <c r="Q1" s="5"/>
      <c r="R1" s="35"/>
      <c r="S1" s="5"/>
      <c r="T1" s="5"/>
      <c r="U1" s="5"/>
      <c r="V1" s="5"/>
      <c r="W1" s="5"/>
      <c r="X1" s="5"/>
    </row>
    <row r="2" spans="1:24" x14ac:dyDescent="0.25">
      <c r="A2" s="67" t="s">
        <v>66</v>
      </c>
      <c r="B2" s="67"/>
      <c r="C2" s="123"/>
      <c r="D2" s="123"/>
      <c r="E2" s="123"/>
      <c r="F2" s="123"/>
      <c r="G2" s="123"/>
      <c r="K2" s="2" t="s">
        <v>3</v>
      </c>
      <c r="L2" s="3">
        <f>TDM!AQ4</f>
        <v>49396.542970000002</v>
      </c>
      <c r="N2" s="5"/>
      <c r="O2" s="5"/>
      <c r="P2" s="5"/>
      <c r="Q2" s="5"/>
      <c r="R2" s="35"/>
      <c r="U2" s="5"/>
      <c r="V2" s="5"/>
    </row>
    <row r="3" spans="1:24" x14ac:dyDescent="0.25">
      <c r="A3" s="67" t="s">
        <v>52</v>
      </c>
      <c r="B3" s="67" t="s">
        <v>72</v>
      </c>
      <c r="C3" s="123" t="s">
        <v>67</v>
      </c>
      <c r="D3" s="123"/>
      <c r="E3" s="123"/>
      <c r="F3" s="123"/>
      <c r="G3" s="123"/>
      <c r="K3" s="2" t="s">
        <v>4</v>
      </c>
      <c r="L3" s="3">
        <f>TDM!AP14</f>
        <v>78615.914059999996</v>
      </c>
      <c r="O3" s="36"/>
      <c r="Q3" s="36"/>
      <c r="R3" s="36"/>
      <c r="T3" s="36"/>
    </row>
    <row r="4" spans="1:24" ht="30" x14ac:dyDescent="0.25">
      <c r="A4" s="71" t="s">
        <v>73</v>
      </c>
      <c r="B4" s="67">
        <v>150119</v>
      </c>
      <c r="C4" s="123" t="s">
        <v>67</v>
      </c>
      <c r="D4" s="123"/>
      <c r="E4" s="123"/>
      <c r="F4" s="123"/>
      <c r="G4" s="123"/>
      <c r="K4" s="2" t="s">
        <v>5</v>
      </c>
      <c r="L4" s="4">
        <f>(L3-L2)/L2</f>
        <v>0.59152663998664423</v>
      </c>
      <c r="O4" s="107"/>
      <c r="Q4" s="107"/>
      <c r="R4" s="107"/>
      <c r="T4" s="107"/>
    </row>
    <row r="5" spans="1:24" x14ac:dyDescent="0.25">
      <c r="A5" s="67" t="s">
        <v>74</v>
      </c>
      <c r="B5" s="67">
        <v>89342</v>
      </c>
      <c r="C5" s="123" t="s">
        <v>68</v>
      </c>
      <c r="D5" s="123"/>
      <c r="E5" s="123"/>
      <c r="F5" s="123"/>
      <c r="G5" s="123"/>
      <c r="O5" s="108"/>
      <c r="Q5" s="108"/>
      <c r="R5" s="108"/>
      <c r="T5" s="108"/>
      <c r="V5" s="108"/>
      <c r="X5" s="108"/>
    </row>
    <row r="6" spans="1:24" x14ac:dyDescent="0.25">
      <c r="A6" s="67" t="s">
        <v>95</v>
      </c>
      <c r="B6" s="117">
        <v>4.4999999999999998E-2</v>
      </c>
      <c r="C6" s="123" t="s">
        <v>68</v>
      </c>
      <c r="D6" s="123"/>
      <c r="E6" s="123"/>
      <c r="F6" s="123"/>
      <c r="G6" s="123"/>
      <c r="O6" s="36"/>
      <c r="Q6" s="36"/>
      <c r="R6" s="36"/>
      <c r="T6" s="36"/>
    </row>
    <row r="7" spans="1:24" x14ac:dyDescent="0.25">
      <c r="A7" s="67" t="s">
        <v>69</v>
      </c>
      <c r="B7" s="67">
        <v>0.08</v>
      </c>
      <c r="C7" s="123" t="s">
        <v>68</v>
      </c>
      <c r="D7" s="123"/>
      <c r="E7" s="123"/>
      <c r="F7" s="123"/>
      <c r="G7" s="123"/>
      <c r="O7" s="108"/>
      <c r="Q7" s="108"/>
      <c r="R7" s="108"/>
      <c r="T7" s="108"/>
      <c r="V7" s="108"/>
      <c r="X7" s="108"/>
    </row>
    <row r="8" spans="1:24" ht="15.75" thickBot="1" x14ac:dyDescent="0.3">
      <c r="O8" s="109"/>
      <c r="Q8" s="109"/>
      <c r="R8" s="109"/>
      <c r="T8" s="109"/>
      <c r="V8" s="109"/>
      <c r="X8" s="109"/>
    </row>
    <row r="9" spans="1:24" x14ac:dyDescent="0.25">
      <c r="A9" s="120" t="s">
        <v>80</v>
      </c>
      <c r="B9" s="121"/>
      <c r="C9" s="5"/>
      <c r="D9" s="5"/>
      <c r="O9" s="17"/>
      <c r="Q9" s="17"/>
      <c r="R9" s="17"/>
      <c r="T9" s="17"/>
      <c r="V9" s="17"/>
      <c r="X9" s="17"/>
    </row>
    <row r="10" spans="1:24" x14ac:dyDescent="0.25">
      <c r="A10" s="35" t="s">
        <v>71</v>
      </c>
      <c r="B10" s="35" t="s">
        <v>0</v>
      </c>
      <c r="C10" s="63"/>
      <c r="D10" s="63"/>
      <c r="F10" s="35"/>
      <c r="G10" s="35"/>
      <c r="H10" s="35"/>
      <c r="I10" s="35"/>
      <c r="J10" s="35"/>
      <c r="K10" s="35"/>
      <c r="Q10" s="17"/>
      <c r="R10" s="17"/>
      <c r="X10" s="17"/>
    </row>
    <row r="11" spans="1:24" x14ac:dyDescent="0.25">
      <c r="A11" s="46">
        <v>2022</v>
      </c>
      <c r="B11" s="32">
        <v>80917</v>
      </c>
      <c r="C11" s="46"/>
      <c r="D11" s="76"/>
      <c r="G11" s="36"/>
      <c r="I11" s="17"/>
      <c r="K11" s="17"/>
      <c r="Q11" s="17"/>
      <c r="R11" s="17"/>
      <c r="T11" s="17"/>
      <c r="X11" s="17"/>
    </row>
    <row r="12" spans="1:24" x14ac:dyDescent="0.25">
      <c r="A12" s="46">
        <v>2021</v>
      </c>
      <c r="B12" s="32">
        <v>94887</v>
      </c>
      <c r="C12" s="46"/>
      <c r="D12" s="46"/>
      <c r="G12" s="17"/>
      <c r="I12" s="34"/>
      <c r="K12" s="34"/>
      <c r="Q12" s="103"/>
      <c r="R12" s="103"/>
      <c r="T12" s="17"/>
      <c r="V12" s="17"/>
      <c r="X12" s="17"/>
    </row>
    <row r="13" spans="1:24" x14ac:dyDescent="0.25">
      <c r="A13" s="46">
        <v>2020</v>
      </c>
      <c r="B13" s="32">
        <f>B12/1.04</f>
        <v>91237.5</v>
      </c>
      <c r="C13" s="46"/>
      <c r="D13" s="46"/>
      <c r="I13" s="17"/>
      <c r="K13" s="34"/>
      <c r="Q13" s="17"/>
      <c r="R13" s="17"/>
      <c r="T13" s="17"/>
      <c r="V13" s="17"/>
      <c r="X13" s="17"/>
    </row>
    <row r="14" spans="1:24" x14ac:dyDescent="0.25">
      <c r="A14" s="46">
        <v>2019</v>
      </c>
      <c r="B14" s="32">
        <f>B12/1.06</f>
        <v>89516.037735849051</v>
      </c>
      <c r="C14" s="46"/>
      <c r="D14" s="46"/>
      <c r="I14" s="17"/>
      <c r="K14" s="34"/>
      <c r="Q14" s="17"/>
      <c r="T14" s="17"/>
      <c r="V14" s="17"/>
      <c r="X14" s="17"/>
    </row>
    <row r="15" spans="1:24" x14ac:dyDescent="0.25">
      <c r="A15" s="46">
        <v>2018</v>
      </c>
      <c r="B15" s="32">
        <f>B12/1.08</f>
        <v>87858.333333333328</v>
      </c>
      <c r="C15" s="77"/>
      <c r="D15" s="46"/>
      <c r="G15" s="34"/>
      <c r="I15" s="17"/>
      <c r="K15" s="34"/>
      <c r="Q15" s="17"/>
      <c r="R15" s="17"/>
      <c r="V15" s="17"/>
    </row>
    <row r="16" spans="1:24" x14ac:dyDescent="0.25">
      <c r="A16" t="s">
        <v>153</v>
      </c>
      <c r="B16" s="17">
        <f>SUM(B11:B15)</f>
        <v>444415.87106918235</v>
      </c>
      <c r="C16" s="46"/>
      <c r="D16" s="46"/>
      <c r="G16" s="30"/>
      <c r="I16" s="31"/>
      <c r="L16" s="46"/>
    </row>
    <row r="17" spans="1:14" x14ac:dyDescent="0.25">
      <c r="B17" s="46"/>
      <c r="C17" s="46"/>
      <c r="D17" s="46"/>
      <c r="H17" s="32"/>
      <c r="I17" s="33"/>
      <c r="L17" s="46"/>
      <c r="M17" s="17"/>
      <c r="N17" s="17"/>
    </row>
    <row r="18" spans="1:14" x14ac:dyDescent="0.25">
      <c r="A18" s="2">
        <v>2022</v>
      </c>
      <c r="B18" s="3">
        <v>80917</v>
      </c>
      <c r="C18" s="46"/>
      <c r="D18" s="46"/>
      <c r="G18" s="30"/>
      <c r="I18" s="31"/>
      <c r="L18" s="46"/>
      <c r="M18" s="17"/>
      <c r="N18" s="17"/>
    </row>
    <row r="19" spans="1:14" x14ac:dyDescent="0.25">
      <c r="A19" s="2">
        <v>2021</v>
      </c>
      <c r="B19" s="3">
        <v>94887</v>
      </c>
      <c r="C19" s="46"/>
      <c r="D19" s="46"/>
      <c r="H19" s="5"/>
      <c r="L19" s="46"/>
    </row>
    <row r="20" spans="1:14" x14ac:dyDescent="0.25">
      <c r="A20" s="2">
        <v>2020</v>
      </c>
      <c r="B20" s="3">
        <v>91237.5</v>
      </c>
      <c r="D20" s="5"/>
      <c r="E20" s="5"/>
      <c r="F20" s="5"/>
      <c r="G20" s="5"/>
      <c r="H20" s="5"/>
    </row>
    <row r="21" spans="1:14" x14ac:dyDescent="0.25">
      <c r="A21" s="2">
        <v>2019</v>
      </c>
      <c r="B21" s="78">
        <v>89516.037735849051</v>
      </c>
      <c r="D21" s="105"/>
      <c r="E21" s="105"/>
      <c r="F21" s="105"/>
      <c r="G21" s="106"/>
      <c r="H21" s="46"/>
    </row>
    <row r="22" spans="1:14" x14ac:dyDescent="0.25">
      <c r="A22" s="2">
        <v>2018</v>
      </c>
      <c r="B22" s="3">
        <v>87858.333333333328</v>
      </c>
      <c r="C22" s="36"/>
      <c r="D22" s="36"/>
      <c r="E22" s="36"/>
      <c r="G22" s="36"/>
      <c r="J22" s="5"/>
      <c r="K22" s="5"/>
      <c r="L22" s="5"/>
    </row>
    <row r="23" spans="1:14" x14ac:dyDescent="0.25">
      <c r="A23" s="46"/>
      <c r="B23" s="32"/>
      <c r="D23" s="36"/>
      <c r="E23" s="32"/>
      <c r="F23" s="17"/>
      <c r="G23" s="36"/>
    </row>
    <row r="24" spans="1:14" x14ac:dyDescent="0.25">
      <c r="A24" s="46"/>
      <c r="B24" s="32"/>
      <c r="D24" s="36"/>
      <c r="E24" s="36"/>
      <c r="F24" s="74"/>
      <c r="G24" s="74"/>
      <c r="H24" s="74"/>
      <c r="K24" s="17"/>
    </row>
    <row r="25" spans="1:14" x14ac:dyDescent="0.25">
      <c r="A25" s="46"/>
      <c r="B25" s="32"/>
      <c r="D25" s="36"/>
      <c r="E25" s="36"/>
      <c r="F25" s="74"/>
      <c r="G25" s="74"/>
      <c r="H25" s="74"/>
      <c r="K25" s="103"/>
    </row>
    <row r="26" spans="1:14" x14ac:dyDescent="0.25">
      <c r="A26" s="46"/>
      <c r="B26" s="32"/>
      <c r="D26" s="36"/>
      <c r="E26" s="36"/>
      <c r="F26" s="36"/>
      <c r="K26" s="17"/>
    </row>
    <row r="27" spans="1:14" x14ac:dyDescent="0.25">
      <c r="B27" s="17"/>
      <c r="K27" s="17"/>
    </row>
    <row r="29" spans="1:14" x14ac:dyDescent="0.25">
      <c r="A29" s="35"/>
      <c r="B29" s="35"/>
      <c r="C29" s="35"/>
      <c r="D29" s="35"/>
      <c r="E29" s="35"/>
      <c r="F29" s="35"/>
      <c r="K29" s="17"/>
    </row>
    <row r="30" spans="1:14" x14ac:dyDescent="0.25">
      <c r="A30" s="49" t="s">
        <v>94</v>
      </c>
      <c r="B30" s="50"/>
      <c r="C30" s="50"/>
      <c r="D30" s="50"/>
      <c r="E30" s="51"/>
      <c r="F30" s="35"/>
    </row>
    <row r="31" spans="1:14" x14ac:dyDescent="0.25">
      <c r="A31" s="10" t="s">
        <v>71</v>
      </c>
      <c r="B31" s="22" t="s">
        <v>87</v>
      </c>
      <c r="C31" s="22" t="s">
        <v>88</v>
      </c>
      <c r="D31" s="22" t="s">
        <v>0</v>
      </c>
      <c r="E31" s="22" t="s">
        <v>89</v>
      </c>
      <c r="F31" s="34"/>
      <c r="J31" s="35"/>
      <c r="K31" s="35"/>
    </row>
    <row r="32" spans="1:14" x14ac:dyDescent="0.25">
      <c r="A32" s="25">
        <v>2022</v>
      </c>
      <c r="B32" s="2" t="s">
        <v>91</v>
      </c>
      <c r="C32" s="2">
        <v>6723</v>
      </c>
      <c r="D32" s="2">
        <v>80917</v>
      </c>
      <c r="E32" s="48">
        <f>C32/D32</f>
        <v>8.3085136621476333E-2</v>
      </c>
      <c r="F32" s="34"/>
    </row>
    <row r="33" spans="1:13" x14ac:dyDescent="0.25">
      <c r="A33" s="24"/>
      <c r="B33" s="2" t="s">
        <v>92</v>
      </c>
      <c r="C33" s="2">
        <v>5810</v>
      </c>
      <c r="D33" s="2">
        <v>80917</v>
      </c>
      <c r="E33" s="48">
        <f>C33/D33</f>
        <v>7.1801969919794359E-2</v>
      </c>
      <c r="F33" s="34"/>
      <c r="J33" s="104"/>
    </row>
    <row r="34" spans="1:13" x14ac:dyDescent="0.25">
      <c r="A34" s="26"/>
      <c r="B34" s="2" t="s">
        <v>93</v>
      </c>
      <c r="C34" s="2">
        <v>5025</v>
      </c>
      <c r="D34" s="2">
        <v>80917</v>
      </c>
      <c r="E34" s="48">
        <f>C34/D34</f>
        <v>6.21006710579977E-2</v>
      </c>
      <c r="F34" s="34"/>
    </row>
    <row r="35" spans="1:13" x14ac:dyDescent="0.25">
      <c r="A35" s="15" t="s">
        <v>90</v>
      </c>
      <c r="B35" s="52"/>
      <c r="C35" s="52"/>
      <c r="D35" s="16"/>
      <c r="E35" s="18">
        <f>AVERAGE(E32:E34)</f>
        <v>7.2329259199756135E-2</v>
      </c>
      <c r="F35" s="34"/>
    </row>
    <row r="36" spans="1:13" x14ac:dyDescent="0.25">
      <c r="F36" s="34"/>
    </row>
    <row r="37" spans="1:13" x14ac:dyDescent="0.25">
      <c r="A37" s="132" t="s">
        <v>156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</row>
    <row r="38" spans="1:13" ht="45" x14ac:dyDescent="0.25">
      <c r="A38" s="111" t="s">
        <v>149</v>
      </c>
      <c r="B38" s="111" t="s">
        <v>146</v>
      </c>
      <c r="C38" s="111" t="s">
        <v>147</v>
      </c>
      <c r="D38" s="110" t="s">
        <v>210</v>
      </c>
      <c r="E38" s="110" t="s">
        <v>211</v>
      </c>
      <c r="F38" s="110" t="s">
        <v>150</v>
      </c>
      <c r="G38" s="110" t="s">
        <v>151</v>
      </c>
      <c r="H38" s="110" t="s">
        <v>154</v>
      </c>
      <c r="I38" s="110" t="s">
        <v>155</v>
      </c>
      <c r="J38" s="110" t="s">
        <v>212</v>
      </c>
      <c r="K38" s="110" t="s">
        <v>213</v>
      </c>
      <c r="M38" s="111" t="s">
        <v>212</v>
      </c>
    </row>
    <row r="39" spans="1:13" ht="14.45" customHeight="1" x14ac:dyDescent="0.25">
      <c r="A39" s="23" t="s">
        <v>152</v>
      </c>
      <c r="B39" s="2" t="s">
        <v>209</v>
      </c>
      <c r="C39" s="2" t="s">
        <v>148</v>
      </c>
      <c r="D39" s="3">
        <v>0</v>
      </c>
      <c r="E39" s="3">
        <f>TDM!AP27</f>
        <v>2237.3618200000001</v>
      </c>
      <c r="F39" s="20">
        <v>0</v>
      </c>
      <c r="G39" s="20">
        <f>TDM!P27</f>
        <v>38.25</v>
      </c>
      <c r="H39" s="3">
        <f>E39*2</f>
        <v>4474.7236400000002</v>
      </c>
      <c r="I39" s="2" t="s">
        <v>216</v>
      </c>
      <c r="J39" s="118">
        <f>(E39*0.08/2)/1900</f>
        <v>4.7102354105263165E-2</v>
      </c>
      <c r="K39" s="20">
        <f>TDM!S27</f>
        <v>0.24399000000000001</v>
      </c>
      <c r="M39" s="102" t="s">
        <v>214</v>
      </c>
    </row>
    <row r="40" spans="1:13" x14ac:dyDescent="0.25">
      <c r="A40" s="133" t="s">
        <v>224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M40" s="113" t="s">
        <v>215</v>
      </c>
    </row>
    <row r="41" spans="1:13" ht="14.45" customHeight="1" x14ac:dyDescent="0.25">
      <c r="E41" s="17"/>
      <c r="F41" s="17"/>
      <c r="I41" s="17"/>
      <c r="J41" s="17"/>
    </row>
    <row r="42" spans="1:13" x14ac:dyDescent="0.25">
      <c r="A42" s="112"/>
      <c r="E42" s="17"/>
      <c r="J42" s="17"/>
    </row>
    <row r="45" spans="1:13" x14ac:dyDescent="0.25">
      <c r="A45" s="125" t="s">
        <v>63</v>
      </c>
      <c r="B45" s="126"/>
      <c r="C45" s="126"/>
      <c r="D45" s="126"/>
      <c r="E45" s="126"/>
      <c r="F45" s="126"/>
      <c r="G45" s="126"/>
      <c r="H45" s="126"/>
    </row>
    <row r="46" spans="1:13" x14ac:dyDescent="0.25">
      <c r="A46" s="127" t="s">
        <v>157</v>
      </c>
      <c r="B46" s="127"/>
      <c r="C46" s="127" t="s">
        <v>158</v>
      </c>
      <c r="D46" s="128"/>
      <c r="E46" s="129" t="s">
        <v>159</v>
      </c>
      <c r="F46" s="129"/>
      <c r="G46" s="130" t="s">
        <v>160</v>
      </c>
      <c r="H46" s="131"/>
    </row>
    <row r="47" spans="1:13" ht="18" x14ac:dyDescent="0.35">
      <c r="A47" s="2" t="s">
        <v>59</v>
      </c>
      <c r="B47" s="12">
        <f>MIN(TDM!T4,TDM!Z4,TDM!AF4)</f>
        <v>43.24</v>
      </c>
      <c r="C47" s="2" t="s">
        <v>59</v>
      </c>
      <c r="D47" s="15">
        <f>MIN(TDM!U9,TDM!AA9,TDM!AG9,TDM!AF9)</f>
        <v>42.97</v>
      </c>
      <c r="E47" s="2" t="s">
        <v>59</v>
      </c>
      <c r="F47" s="15">
        <f>MIN(TDM!U14,TDM!AA14,TDM!AG14)</f>
        <v>43.24</v>
      </c>
      <c r="G47" s="2" t="s">
        <v>59</v>
      </c>
      <c r="H47" s="12">
        <f>MIN(TDM!U27,TDM!AA27,TDM!AG27)</f>
        <v>35.94</v>
      </c>
    </row>
    <row r="48" spans="1:13" x14ac:dyDescent="0.25">
      <c r="A48" s="2" t="s">
        <v>58</v>
      </c>
      <c r="B48" s="13">
        <f>TDM!I4</f>
        <v>0.27661999999999998</v>
      </c>
      <c r="C48" s="2" t="s">
        <v>58</v>
      </c>
      <c r="D48" s="59">
        <f>TDM!J9</f>
        <v>0.27999000000000002</v>
      </c>
      <c r="E48" s="2" t="s">
        <v>58</v>
      </c>
      <c r="F48" s="59">
        <v>33627</v>
      </c>
      <c r="G48" s="2" t="s">
        <v>58</v>
      </c>
      <c r="H48" s="13">
        <f>TDM!J27</f>
        <v>0.73582000000000003</v>
      </c>
    </row>
    <row r="49" spans="1:8" ht="18" x14ac:dyDescent="0.35">
      <c r="A49" s="2" t="s">
        <v>55</v>
      </c>
      <c r="B49" s="14">
        <f>B48/B47</f>
        <v>6.3973172987974091E-3</v>
      </c>
      <c r="C49" s="2" t="s">
        <v>55</v>
      </c>
      <c r="D49" s="60">
        <f>D48/D47</f>
        <v>6.5159413544333264E-3</v>
      </c>
      <c r="E49" s="2" t="s">
        <v>55</v>
      </c>
      <c r="F49" s="60">
        <f>F48/F47</f>
        <v>777.68270120259012</v>
      </c>
      <c r="G49" s="2" t="s">
        <v>55</v>
      </c>
      <c r="H49" s="14">
        <f>H48/H47</f>
        <v>2.0473567056204789E-2</v>
      </c>
    </row>
    <row r="50" spans="1:8" ht="18" x14ac:dyDescent="0.35">
      <c r="A50" s="2" t="s">
        <v>60</v>
      </c>
      <c r="B50" s="12">
        <f>TDM!O4</f>
        <v>62</v>
      </c>
      <c r="C50" s="2" t="s">
        <v>60</v>
      </c>
      <c r="D50" s="15">
        <f>TDM!P9</f>
        <v>62</v>
      </c>
      <c r="E50" s="2" t="s">
        <v>60</v>
      </c>
      <c r="F50" s="15">
        <f>TDM!P14</f>
        <v>62</v>
      </c>
      <c r="G50" s="2" t="s">
        <v>60</v>
      </c>
      <c r="H50" s="12">
        <f>TDM!P27</f>
        <v>38.25</v>
      </c>
    </row>
    <row r="51" spans="1:8" ht="18" x14ac:dyDescent="0.35">
      <c r="A51" s="2" t="s">
        <v>56</v>
      </c>
      <c r="B51" s="14">
        <f>B48/B50</f>
        <v>4.461612903225806E-3</v>
      </c>
      <c r="C51" s="2" t="s">
        <v>56</v>
      </c>
      <c r="D51" s="60">
        <f>D48/D50</f>
        <v>4.5159677419354845E-3</v>
      </c>
      <c r="E51" s="2" t="s">
        <v>56</v>
      </c>
      <c r="F51" s="60">
        <f>F48/F50</f>
        <v>542.37096774193549</v>
      </c>
      <c r="G51" s="2" t="s">
        <v>56</v>
      </c>
      <c r="H51" s="14">
        <f>H48/H50</f>
        <v>1.9237124183006538E-2</v>
      </c>
    </row>
    <row r="52" spans="1:8" ht="15.75" thickBot="1" x14ac:dyDescent="0.3">
      <c r="A52" s="58" t="s">
        <v>57</v>
      </c>
      <c r="B52" s="61">
        <f>B49/B51</f>
        <v>1.4338575393154487</v>
      </c>
      <c r="C52" s="58" t="s">
        <v>57</v>
      </c>
      <c r="D52" s="61">
        <f>D49/D51</f>
        <v>1.4428671165929718</v>
      </c>
      <c r="E52" s="58" t="s">
        <v>57</v>
      </c>
      <c r="F52" s="79">
        <f>F49/F51</f>
        <v>1.4338575393154485</v>
      </c>
      <c r="G52" s="58" t="s">
        <v>57</v>
      </c>
      <c r="H52" s="119">
        <f>H49/H51</f>
        <v>1.0642737896494157</v>
      </c>
    </row>
    <row r="55" spans="1:8" x14ac:dyDescent="0.25">
      <c r="A55" s="5"/>
      <c r="B55" s="5"/>
      <c r="C55" s="5"/>
      <c r="D55" s="5"/>
      <c r="E55" s="5"/>
    </row>
    <row r="56" spans="1:8" x14ac:dyDescent="0.25">
      <c r="A56" s="105"/>
      <c r="B56" s="105"/>
      <c r="C56" s="106"/>
      <c r="D56" s="46"/>
    </row>
    <row r="57" spans="1:8" x14ac:dyDescent="0.25">
      <c r="A57" s="36"/>
      <c r="B57" s="32"/>
      <c r="C57" s="36"/>
    </row>
    <row r="58" spans="1:8" x14ac:dyDescent="0.25">
      <c r="A58" s="36"/>
      <c r="B58" s="32"/>
      <c r="C58" s="36"/>
    </row>
    <row r="59" spans="1:8" x14ac:dyDescent="0.25">
      <c r="A59" s="36"/>
      <c r="B59" s="36"/>
      <c r="C59" s="74"/>
      <c r="D59" s="74"/>
      <c r="E59" s="74"/>
    </row>
    <row r="60" spans="1:8" x14ac:dyDescent="0.25">
      <c r="A60" s="36"/>
      <c r="B60" s="36"/>
      <c r="C60" s="74"/>
      <c r="D60" s="74"/>
      <c r="E60" s="74"/>
    </row>
  </sheetData>
  <sortState xmlns:xlrd2="http://schemas.microsoft.com/office/spreadsheetml/2017/richdata2" ref="A18:B22">
    <sortCondition descending="1" ref="A18:A22"/>
  </sortState>
  <mergeCells count="16">
    <mergeCell ref="C2:G2"/>
    <mergeCell ref="A1:B1"/>
    <mergeCell ref="A9:B9"/>
    <mergeCell ref="A45:H45"/>
    <mergeCell ref="A46:B46"/>
    <mergeCell ref="C46:D46"/>
    <mergeCell ref="E46:F46"/>
    <mergeCell ref="G46:H46"/>
    <mergeCell ref="A37:K37"/>
    <mergeCell ref="A40:K40"/>
    <mergeCell ref="C3:G3"/>
    <mergeCell ref="C4:G4"/>
    <mergeCell ref="C5:G5"/>
    <mergeCell ref="C6:G6"/>
    <mergeCell ref="C7:G7"/>
    <mergeCell ref="C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47C5-E6C2-431D-B72B-5685D4CDC61A}">
  <dimension ref="A1:R40"/>
  <sheetViews>
    <sheetView topLeftCell="B1" workbookViewId="0">
      <selection activeCell="K15" sqref="K15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</cols>
  <sheetData>
    <row r="1" spans="1:18" x14ac:dyDescent="0.25">
      <c r="A1" s="74"/>
      <c r="B1" s="74"/>
      <c r="C1" s="80"/>
      <c r="D1" s="74"/>
      <c r="E1" s="74"/>
      <c r="F1" s="74"/>
      <c r="G1" s="74"/>
      <c r="H1" s="74"/>
      <c r="I1" s="74"/>
    </row>
    <row r="2" spans="1:18" ht="18.75" x14ac:dyDescent="0.25">
      <c r="A2" s="74"/>
      <c r="B2" s="81" t="s">
        <v>170</v>
      </c>
      <c r="C2" s="82"/>
      <c r="D2" s="83"/>
      <c r="E2" s="74"/>
      <c r="F2" s="74"/>
      <c r="G2" s="74"/>
      <c r="H2" s="74"/>
      <c r="I2" s="74"/>
      <c r="K2" s="134" t="s">
        <v>201</v>
      </c>
      <c r="L2" s="134"/>
      <c r="M2" s="134"/>
      <c r="N2" s="134"/>
      <c r="O2" s="134"/>
      <c r="P2" s="134"/>
      <c r="Q2" s="134"/>
      <c r="R2" s="134"/>
    </row>
    <row r="3" spans="1:18" x14ac:dyDescent="0.25">
      <c r="A3" s="74"/>
      <c r="B3" s="74"/>
      <c r="C3" s="80"/>
      <c r="D3" s="74"/>
      <c r="E3" s="74"/>
      <c r="F3" s="74"/>
      <c r="G3" s="74"/>
      <c r="H3" s="74"/>
      <c r="I3" s="74"/>
      <c r="K3" s="133"/>
      <c r="L3" s="133"/>
      <c r="M3" s="133"/>
      <c r="N3" s="133"/>
      <c r="O3" s="68" t="s">
        <v>202</v>
      </c>
      <c r="P3" s="68" t="s">
        <v>203</v>
      </c>
      <c r="Q3" s="68" t="s">
        <v>204</v>
      </c>
      <c r="R3" s="68" t="s">
        <v>205</v>
      </c>
    </row>
    <row r="4" spans="1:18" x14ac:dyDescent="0.25">
      <c r="A4" s="74"/>
      <c r="B4" s="84" t="s">
        <v>171</v>
      </c>
      <c r="C4" s="80"/>
      <c r="D4" s="74"/>
      <c r="E4" s="74"/>
      <c r="F4" s="74"/>
      <c r="G4" s="74"/>
      <c r="H4" s="74"/>
      <c r="I4" s="74"/>
      <c r="K4" s="133" t="s">
        <v>206</v>
      </c>
      <c r="L4" s="133"/>
      <c r="M4" s="133"/>
      <c r="N4" s="133"/>
      <c r="O4" s="2">
        <v>0</v>
      </c>
      <c r="P4" s="2">
        <v>0</v>
      </c>
      <c r="Q4" s="2">
        <v>0</v>
      </c>
      <c r="R4" s="20">
        <f>AVERAGE(O4:Q4)</f>
        <v>0</v>
      </c>
    </row>
    <row r="5" spans="1:18" x14ac:dyDescent="0.25">
      <c r="A5" s="74"/>
      <c r="B5" s="85" t="s">
        <v>172</v>
      </c>
      <c r="C5" s="86" t="s">
        <v>173</v>
      </c>
      <c r="D5" s="74"/>
      <c r="E5" s="85"/>
      <c r="F5" s="74" t="s">
        <v>174</v>
      </c>
      <c r="G5" s="74"/>
      <c r="H5" s="74"/>
      <c r="I5" s="74"/>
      <c r="K5" s="133" t="s">
        <v>207</v>
      </c>
      <c r="L5" s="133"/>
      <c r="M5" s="133"/>
      <c r="N5" s="133"/>
      <c r="O5" s="2">
        <f>TDM!U14</f>
        <v>43.24</v>
      </c>
      <c r="P5" s="2">
        <f>TDM!AA14</f>
        <v>52.45</v>
      </c>
      <c r="Q5" s="2">
        <f>TDM!AG14</f>
        <v>46.72</v>
      </c>
      <c r="R5" s="20">
        <f>AVERAGE(O5:Q5)</f>
        <v>47.47</v>
      </c>
    </row>
    <row r="6" spans="1:18" x14ac:dyDescent="0.25">
      <c r="A6" s="74"/>
      <c r="B6" s="85" t="s">
        <v>175</v>
      </c>
      <c r="C6" s="87"/>
      <c r="D6" s="74"/>
      <c r="E6" s="88"/>
      <c r="F6" s="74" t="s">
        <v>176</v>
      </c>
      <c r="G6" s="74"/>
      <c r="H6" s="74"/>
      <c r="I6" s="74"/>
    </row>
    <row r="7" spans="1:18" x14ac:dyDescent="0.25">
      <c r="A7" s="74"/>
      <c r="B7" s="85" t="s">
        <v>177</v>
      </c>
      <c r="C7" s="87"/>
      <c r="D7" s="74"/>
      <c r="E7" s="89"/>
      <c r="F7" s="74" t="s">
        <v>178</v>
      </c>
      <c r="G7" s="74"/>
      <c r="H7" s="74"/>
      <c r="I7" s="74"/>
    </row>
    <row r="8" spans="1:18" x14ac:dyDescent="0.25">
      <c r="A8" s="74"/>
      <c r="B8" s="85" t="s">
        <v>179</v>
      </c>
      <c r="C8" s="87" t="s">
        <v>180</v>
      </c>
      <c r="D8" s="74"/>
      <c r="E8" s="74"/>
      <c r="F8" s="74"/>
      <c r="G8" s="74"/>
      <c r="H8" s="74"/>
      <c r="I8" s="74"/>
    </row>
    <row r="9" spans="1:18" x14ac:dyDescent="0.25">
      <c r="A9" s="74"/>
      <c r="B9" s="74"/>
      <c r="C9" s="80"/>
      <c r="D9" s="74"/>
      <c r="E9" s="74"/>
      <c r="F9" s="74"/>
      <c r="G9" s="74"/>
      <c r="H9" s="74"/>
      <c r="I9" s="74"/>
    </row>
    <row r="10" spans="1:18" x14ac:dyDescent="0.25">
      <c r="A10" s="74"/>
      <c r="B10" s="74"/>
      <c r="C10" s="80"/>
      <c r="D10" s="74"/>
      <c r="E10" s="74"/>
      <c r="F10" s="74"/>
      <c r="G10" s="74"/>
      <c r="H10" s="74"/>
      <c r="I10" s="74"/>
    </row>
    <row r="11" spans="1:18" x14ac:dyDescent="0.25">
      <c r="A11" s="74"/>
      <c r="B11" s="84" t="s">
        <v>181</v>
      </c>
      <c r="C11" s="80"/>
      <c r="D11" s="74"/>
      <c r="E11" s="74"/>
      <c r="F11" s="74"/>
      <c r="G11" s="74"/>
      <c r="H11" s="74"/>
      <c r="I11" s="74"/>
    </row>
    <row r="12" spans="1:18" x14ac:dyDescent="0.25">
      <c r="A12" s="74"/>
      <c r="B12" s="85" t="s">
        <v>182</v>
      </c>
      <c r="C12" s="87">
        <v>2025</v>
      </c>
      <c r="D12" s="74"/>
      <c r="E12" s="74"/>
      <c r="F12" s="74"/>
      <c r="G12" s="74"/>
      <c r="H12" s="74"/>
      <c r="I12" s="74"/>
    </row>
    <row r="13" spans="1:18" x14ac:dyDescent="0.25">
      <c r="A13" s="74"/>
      <c r="B13" s="85" t="s">
        <v>183</v>
      </c>
      <c r="C13" s="87" t="s">
        <v>184</v>
      </c>
      <c r="D13" s="74"/>
      <c r="E13" s="74"/>
      <c r="F13" s="74"/>
      <c r="G13" s="74"/>
      <c r="H13" s="74"/>
      <c r="I13" s="74"/>
    </row>
    <row r="14" spans="1:18" x14ac:dyDescent="0.25">
      <c r="A14" s="74"/>
      <c r="B14" s="90" t="s">
        <v>185</v>
      </c>
      <c r="C14" s="91" t="s">
        <v>208</v>
      </c>
      <c r="D14" s="74"/>
      <c r="E14" s="74"/>
      <c r="F14" s="74"/>
      <c r="G14" s="74"/>
      <c r="H14" s="74"/>
      <c r="I14" s="74"/>
    </row>
    <row r="15" spans="1:18" x14ac:dyDescent="0.25">
      <c r="A15" s="74"/>
      <c r="B15" s="90" t="s">
        <v>186</v>
      </c>
      <c r="C15" s="92">
        <v>0.7</v>
      </c>
      <c r="D15" s="74"/>
      <c r="E15" s="74"/>
      <c r="F15" s="74"/>
      <c r="G15" s="74"/>
      <c r="H15" s="74"/>
      <c r="I15" s="74"/>
    </row>
    <row r="16" spans="1:18" x14ac:dyDescent="0.25">
      <c r="A16" s="74"/>
      <c r="B16" s="90" t="s">
        <v>187</v>
      </c>
      <c r="C16" s="91">
        <v>0</v>
      </c>
      <c r="D16" s="74"/>
      <c r="E16" s="74"/>
      <c r="F16" s="74"/>
      <c r="G16" s="74"/>
      <c r="H16" s="74"/>
      <c r="I16" s="74"/>
    </row>
    <row r="17" spans="1:9" x14ac:dyDescent="0.25">
      <c r="A17" s="74"/>
      <c r="B17" s="93" t="s">
        <v>188</v>
      </c>
      <c r="C17" s="91">
        <v>47.47</v>
      </c>
      <c r="D17" s="74"/>
      <c r="E17" s="74"/>
      <c r="F17" s="74"/>
      <c r="G17" s="74"/>
      <c r="H17" s="74"/>
      <c r="I17" s="74"/>
    </row>
    <row r="18" spans="1:9" x14ac:dyDescent="0.25">
      <c r="A18" s="74"/>
      <c r="B18" s="94" t="s">
        <v>189</v>
      </c>
      <c r="C18" s="95">
        <v>20</v>
      </c>
      <c r="D18" s="74"/>
      <c r="E18" s="74"/>
      <c r="F18" s="74"/>
      <c r="G18" s="74"/>
      <c r="H18" s="74"/>
      <c r="I18" s="74"/>
    </row>
    <row r="19" spans="1:9" x14ac:dyDescent="0.25">
      <c r="A19" s="74"/>
      <c r="B19" s="74"/>
      <c r="C19" s="80"/>
      <c r="D19" s="74"/>
      <c r="E19" s="74"/>
      <c r="F19" s="74"/>
      <c r="G19" s="74"/>
      <c r="H19" s="74"/>
      <c r="I19" s="74"/>
    </row>
    <row r="20" spans="1:9" x14ac:dyDescent="0.25">
      <c r="A20" s="74"/>
      <c r="B20" s="84" t="s">
        <v>190</v>
      </c>
      <c r="C20" s="80"/>
      <c r="D20" s="74"/>
      <c r="E20" s="74"/>
      <c r="F20" s="74"/>
      <c r="G20" s="74"/>
      <c r="H20" s="74"/>
      <c r="I20" s="74"/>
    </row>
    <row r="21" spans="1:9" ht="30" x14ac:dyDescent="0.25">
      <c r="A21" s="74"/>
      <c r="B21" s="93" t="s">
        <v>191</v>
      </c>
      <c r="C21" s="91">
        <v>2237.36</v>
      </c>
      <c r="D21" s="74"/>
      <c r="E21" s="74"/>
      <c r="F21" s="74"/>
      <c r="G21" s="74"/>
      <c r="H21" s="74"/>
      <c r="I21" s="74"/>
    </row>
    <row r="22" spans="1:9" x14ac:dyDescent="0.25">
      <c r="A22" s="74"/>
      <c r="B22" s="96"/>
      <c r="C22" s="97"/>
      <c r="D22" s="74"/>
      <c r="E22" s="74"/>
      <c r="F22" s="74"/>
      <c r="G22" s="74"/>
      <c r="H22" s="74"/>
      <c r="I22" s="74"/>
    </row>
    <row r="23" spans="1:9" x14ac:dyDescent="0.25">
      <c r="A23" s="74"/>
      <c r="B23" s="74"/>
      <c r="C23" s="80"/>
      <c r="D23" s="74"/>
      <c r="E23" s="74"/>
      <c r="F23" s="74"/>
      <c r="G23" s="74"/>
      <c r="H23" s="74"/>
      <c r="I23" s="74"/>
    </row>
    <row r="24" spans="1:9" x14ac:dyDescent="0.25">
      <c r="A24" s="74"/>
      <c r="B24" s="74"/>
      <c r="C24" s="80"/>
      <c r="D24" s="74"/>
      <c r="E24" s="74"/>
      <c r="F24" s="74"/>
      <c r="G24" s="74"/>
      <c r="H24" s="74"/>
      <c r="I24" s="74"/>
    </row>
    <row r="25" spans="1:9" ht="18.75" x14ac:dyDescent="0.25">
      <c r="A25" s="74"/>
      <c r="B25" s="81" t="s">
        <v>192</v>
      </c>
      <c r="C25" s="82"/>
      <c r="D25" s="74"/>
      <c r="E25" s="74"/>
      <c r="F25" s="74"/>
      <c r="G25" s="74"/>
      <c r="H25" s="74"/>
      <c r="I25" s="74"/>
    </row>
    <row r="26" spans="1:9" x14ac:dyDescent="0.25">
      <c r="A26" s="74"/>
      <c r="B26" s="74"/>
      <c r="C26" s="80"/>
      <c r="D26" s="74"/>
      <c r="E26" s="74"/>
      <c r="F26" s="74"/>
      <c r="G26" s="74"/>
      <c r="H26" s="74"/>
      <c r="I26" s="74"/>
    </row>
    <row r="27" spans="1:9" x14ac:dyDescent="0.25">
      <c r="A27" s="74"/>
      <c r="B27" s="98" t="s">
        <v>193</v>
      </c>
      <c r="C27" s="80"/>
      <c r="D27" s="74"/>
      <c r="E27" s="74"/>
      <c r="F27" s="74"/>
      <c r="G27" s="74"/>
      <c r="H27" s="74"/>
      <c r="I27" s="74"/>
    </row>
    <row r="28" spans="1:9" x14ac:dyDescent="0.25">
      <c r="A28" s="74"/>
      <c r="B28" s="89" t="s">
        <v>194</v>
      </c>
      <c r="C28" s="99">
        <v>913.91455373444137</v>
      </c>
      <c r="D28" s="74"/>
      <c r="E28" s="74"/>
      <c r="F28" s="74"/>
      <c r="G28" s="74"/>
      <c r="H28" s="74"/>
      <c r="I28" s="74"/>
    </row>
    <row r="29" spans="1:9" x14ac:dyDescent="0.25">
      <c r="A29" s="74"/>
      <c r="B29" s="89" t="s">
        <v>195</v>
      </c>
      <c r="C29" s="99">
        <v>156772.62679864088</v>
      </c>
      <c r="D29" s="74"/>
      <c r="E29" s="74"/>
      <c r="F29" s="74"/>
      <c r="G29" s="74"/>
      <c r="H29" s="74"/>
      <c r="I29" s="74"/>
    </row>
    <row r="30" spans="1:9" x14ac:dyDescent="0.25">
      <c r="A30" s="74"/>
      <c r="B30" s="74"/>
      <c r="C30" s="100"/>
      <c r="D30" s="74"/>
      <c r="E30" s="74"/>
      <c r="F30" s="74"/>
      <c r="G30" s="74"/>
      <c r="H30" s="74"/>
      <c r="I30" s="74"/>
    </row>
    <row r="31" spans="1:9" x14ac:dyDescent="0.25">
      <c r="A31" s="74"/>
      <c r="B31" s="98" t="s">
        <v>196</v>
      </c>
      <c r="C31" s="100"/>
      <c r="D31" s="74"/>
      <c r="E31" s="74"/>
      <c r="F31" s="74"/>
      <c r="G31" s="74"/>
      <c r="H31" s="74"/>
      <c r="I31" s="74"/>
    </row>
    <row r="32" spans="1:9" x14ac:dyDescent="0.25">
      <c r="A32" s="74"/>
      <c r="B32" s="89" t="s">
        <v>197</v>
      </c>
      <c r="C32" s="99">
        <f>$C$28+$C$29</f>
        <v>157686.54135237532</v>
      </c>
      <c r="D32" s="74"/>
      <c r="E32" s="74"/>
      <c r="F32" s="74"/>
      <c r="G32" s="74"/>
      <c r="H32" s="74"/>
      <c r="I32" s="74"/>
    </row>
    <row r="33" spans="1:9" x14ac:dyDescent="0.25">
      <c r="A33" s="74"/>
      <c r="B33" s="74"/>
      <c r="C33" s="80"/>
      <c r="D33" s="74"/>
      <c r="E33" s="74"/>
      <c r="F33" s="74"/>
      <c r="G33" s="74"/>
      <c r="H33" s="74"/>
      <c r="I33" s="74"/>
    </row>
    <row r="34" spans="1:9" x14ac:dyDescent="0.25">
      <c r="A34" s="74"/>
      <c r="B34" s="98" t="s">
        <v>198</v>
      </c>
      <c r="C34" s="80"/>
      <c r="D34" s="74"/>
      <c r="E34" s="74"/>
      <c r="F34" s="74"/>
      <c r="G34" s="74"/>
      <c r="H34" s="74"/>
      <c r="I34" s="74"/>
    </row>
    <row r="35" spans="1:9" x14ac:dyDescent="0.25">
      <c r="A35" s="74"/>
      <c r="B35" s="89" t="s">
        <v>199</v>
      </c>
      <c r="C35" s="101">
        <v>0.12857436324939236</v>
      </c>
      <c r="D35" s="74"/>
      <c r="E35" s="74"/>
      <c r="F35" s="74"/>
      <c r="G35" s="74"/>
      <c r="H35" s="74"/>
      <c r="I35" s="74"/>
    </row>
    <row r="36" spans="1:9" x14ac:dyDescent="0.25">
      <c r="A36" s="74"/>
      <c r="B36" s="89" t="s">
        <v>200</v>
      </c>
      <c r="C36" s="101">
        <v>0.46539341039911619</v>
      </c>
      <c r="D36" s="74"/>
      <c r="E36" s="74"/>
      <c r="F36" s="74"/>
      <c r="G36" s="74"/>
      <c r="H36" s="74"/>
      <c r="I36" s="74"/>
    </row>
    <row r="37" spans="1:9" x14ac:dyDescent="0.25">
      <c r="A37" s="74"/>
      <c r="B37" s="74"/>
      <c r="C37" s="80"/>
      <c r="D37" s="74"/>
      <c r="E37" s="74"/>
      <c r="F37" s="74"/>
      <c r="G37" s="74"/>
      <c r="H37" s="74"/>
      <c r="I37" s="74"/>
    </row>
    <row r="38" spans="1:9" x14ac:dyDescent="0.25">
      <c r="A38" s="74"/>
      <c r="B38" s="74"/>
      <c r="C38" s="80"/>
      <c r="D38" s="74"/>
      <c r="E38" s="74"/>
      <c r="F38" s="74"/>
      <c r="G38" s="74"/>
      <c r="H38" s="74"/>
      <c r="I38" s="74"/>
    </row>
    <row r="39" spans="1:9" x14ac:dyDescent="0.25">
      <c r="A39" s="74"/>
      <c r="B39" s="74"/>
      <c r="C39" s="80"/>
      <c r="D39" s="74"/>
      <c r="E39" s="74"/>
      <c r="F39" s="74"/>
      <c r="G39" s="74"/>
      <c r="H39" s="74"/>
      <c r="I39" s="74"/>
    </row>
    <row r="40" spans="1:9" x14ac:dyDescent="0.25">
      <c r="A40" s="74"/>
      <c r="B40" s="74"/>
      <c r="C40" s="80"/>
      <c r="D40" s="74"/>
      <c r="E40" s="74"/>
      <c r="F40" s="74"/>
      <c r="G40" s="74"/>
      <c r="H40" s="74"/>
      <c r="I40" s="74"/>
    </row>
  </sheetData>
  <mergeCells count="4">
    <mergeCell ref="K2:R2"/>
    <mergeCell ref="K3:N3"/>
    <mergeCell ref="K4:N4"/>
    <mergeCell ref="K5:N5"/>
  </mergeCells>
  <dataValidations count="1">
    <dataValidation operator="lessThanOrEqual" allowBlank="1" showInputMessage="1" showErrorMessage="1" error="Volume Must Be Less Than Stated Capacity" sqref="C15" xr:uid="{30A796EE-A828-411B-83A6-785EDF120DE7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H46"/>
  <sheetViews>
    <sheetView workbookViewId="0">
      <selection activeCell="J22" sqref="J22"/>
    </sheetView>
  </sheetViews>
  <sheetFormatPr defaultRowHeight="15" x14ac:dyDescent="0.25"/>
  <cols>
    <col min="1" max="1" width="33.7109375" bestFit="1" customWidth="1"/>
    <col min="2" max="2" width="12.42578125" bestFit="1" customWidth="1"/>
    <col min="5" max="5" width="2.140625" bestFit="1" customWidth="1"/>
    <col min="6" max="6" width="23.5703125" customWidth="1"/>
    <col min="7" max="7" width="32.42578125" customWidth="1"/>
    <col min="8" max="8" width="30.28515625" customWidth="1"/>
  </cols>
  <sheetData>
    <row r="1" spans="1:8" ht="15.75" thickBot="1" x14ac:dyDescent="0.3">
      <c r="A1" s="54" t="s">
        <v>96</v>
      </c>
      <c r="B1" s="55" t="s">
        <v>97</v>
      </c>
      <c r="E1" s="127" t="s">
        <v>225</v>
      </c>
      <c r="F1" s="127"/>
      <c r="G1" s="127"/>
      <c r="H1" s="127"/>
    </row>
    <row r="2" spans="1:8" x14ac:dyDescent="0.25">
      <c r="A2" s="57" t="s">
        <v>98</v>
      </c>
      <c r="B2" s="57" t="s">
        <v>97</v>
      </c>
      <c r="E2" s="12" t="s">
        <v>128</v>
      </c>
      <c r="F2" s="115" t="s">
        <v>226</v>
      </c>
      <c r="G2" s="115" t="s">
        <v>227</v>
      </c>
      <c r="H2" s="115" t="s">
        <v>228</v>
      </c>
    </row>
    <row r="3" spans="1:8" ht="75" x14ac:dyDescent="0.25">
      <c r="A3" t="s">
        <v>99</v>
      </c>
      <c r="B3">
        <v>143619</v>
      </c>
      <c r="E3" s="68">
        <v>1</v>
      </c>
      <c r="F3" s="116" t="s">
        <v>229</v>
      </c>
      <c r="G3" s="116" t="s">
        <v>230</v>
      </c>
      <c r="H3" s="116" t="s">
        <v>231</v>
      </c>
    </row>
    <row r="4" spans="1:8" ht="15.75" thickBot="1" x14ac:dyDescent="0.3"/>
    <row r="5" spans="1:8" ht="15.75" thickBot="1" x14ac:dyDescent="0.3">
      <c r="A5" s="54" t="s">
        <v>127</v>
      </c>
      <c r="B5" s="55" t="s">
        <v>100</v>
      </c>
    </row>
    <row r="6" spans="1:8" x14ac:dyDescent="0.25">
      <c r="A6" s="135" t="s">
        <v>101</v>
      </c>
      <c r="B6" s="135"/>
    </row>
    <row r="7" spans="1:8" x14ac:dyDescent="0.25">
      <c r="A7" s="57" t="s">
        <v>102</v>
      </c>
      <c r="B7" s="57" t="s">
        <v>70</v>
      </c>
    </row>
    <row r="8" spans="1:8" x14ac:dyDescent="0.25">
      <c r="A8" t="s">
        <v>103</v>
      </c>
      <c r="B8">
        <f>176+9</f>
        <v>185</v>
      </c>
    </row>
    <row r="9" spans="1:8" x14ac:dyDescent="0.25">
      <c r="A9" t="s">
        <v>104</v>
      </c>
      <c r="B9">
        <f>3210+1985</f>
        <v>5195</v>
      </c>
    </row>
    <row r="10" spans="1:8" x14ac:dyDescent="0.25">
      <c r="A10" t="s">
        <v>105</v>
      </c>
      <c r="B10">
        <v>274</v>
      </c>
    </row>
    <row r="11" spans="1:8" x14ac:dyDescent="0.25">
      <c r="A11" t="s">
        <v>106</v>
      </c>
      <c r="B11">
        <v>458</v>
      </c>
    </row>
    <row r="12" spans="1:8" x14ac:dyDescent="0.25">
      <c r="A12" t="s">
        <v>107</v>
      </c>
      <c r="B12">
        <v>338</v>
      </c>
    </row>
    <row r="13" spans="1:8" x14ac:dyDescent="0.25">
      <c r="A13" t="s">
        <v>108</v>
      </c>
      <c r="B13">
        <v>387</v>
      </c>
    </row>
    <row r="14" spans="1:8" x14ac:dyDescent="0.25">
      <c r="A14" t="s">
        <v>109</v>
      </c>
      <c r="B14">
        <v>10938</v>
      </c>
    </row>
    <row r="15" spans="1:8" x14ac:dyDescent="0.25">
      <c r="A15" t="s">
        <v>110</v>
      </c>
      <c r="B15" s="53">
        <f>B8/B14</f>
        <v>1.6913512525141706E-2</v>
      </c>
    </row>
    <row r="16" spans="1:8" x14ac:dyDescent="0.25">
      <c r="A16" t="s">
        <v>111</v>
      </c>
      <c r="B16" s="53">
        <f>B9/B14</f>
        <v>0.47494971658438473</v>
      </c>
    </row>
    <row r="17" spans="1:4" ht="15.75" thickBot="1" x14ac:dyDescent="0.3"/>
    <row r="18" spans="1:4" ht="15.75" thickBot="1" x14ac:dyDescent="0.3">
      <c r="A18" s="54" t="s">
        <v>217</v>
      </c>
      <c r="B18" s="136" t="s">
        <v>121</v>
      </c>
      <c r="C18" s="137"/>
    </row>
    <row r="19" spans="1:4" x14ac:dyDescent="0.25">
      <c r="A19" s="129" t="s">
        <v>112</v>
      </c>
      <c r="B19" s="129"/>
    </row>
    <row r="20" spans="1:4" x14ac:dyDescent="0.25">
      <c r="A20" s="57" t="s">
        <v>102</v>
      </c>
      <c r="B20" s="57" t="s">
        <v>70</v>
      </c>
      <c r="C20" s="56" t="s">
        <v>120</v>
      </c>
    </row>
    <row r="21" spans="1:4" x14ac:dyDescent="0.25">
      <c r="A21" s="2" t="s">
        <v>113</v>
      </c>
      <c r="B21" s="2">
        <v>82976</v>
      </c>
      <c r="C21" s="2"/>
    </row>
    <row r="22" spans="1:4" x14ac:dyDescent="0.25">
      <c r="A22" s="2" t="s">
        <v>115</v>
      </c>
      <c r="B22" s="2">
        <v>99510</v>
      </c>
      <c r="C22" s="2"/>
    </row>
    <row r="23" spans="1:4" x14ac:dyDescent="0.25">
      <c r="A23" s="2" t="s">
        <v>114</v>
      </c>
      <c r="B23" s="2">
        <v>97677</v>
      </c>
      <c r="C23" s="4">
        <f>(B23-B22)/B22</f>
        <v>-1.8420259270425083E-2</v>
      </c>
    </row>
    <row r="24" spans="1:4" x14ac:dyDescent="0.25">
      <c r="A24" s="2" t="s">
        <v>116</v>
      </c>
      <c r="B24" s="2">
        <v>20050</v>
      </c>
      <c r="C24" s="2"/>
    </row>
    <row r="25" spans="1:4" x14ac:dyDescent="0.25">
      <c r="A25" s="2" t="s">
        <v>117</v>
      </c>
      <c r="B25" s="2">
        <v>21832</v>
      </c>
      <c r="C25" s="4">
        <f>(B25-B24)/B24</f>
        <v>8.8877805486284295E-2</v>
      </c>
    </row>
    <row r="26" spans="1:4" x14ac:dyDescent="0.25">
      <c r="A26" s="2" t="s">
        <v>118</v>
      </c>
      <c r="B26" s="2">
        <v>31929</v>
      </c>
      <c r="C26" s="2"/>
    </row>
    <row r="27" spans="1:4" x14ac:dyDescent="0.25">
      <c r="A27" s="2" t="s">
        <v>119</v>
      </c>
      <c r="B27" s="2">
        <v>33243</v>
      </c>
      <c r="C27" s="4">
        <f>(B27-B26)/B26</f>
        <v>4.1153810015972937E-2</v>
      </c>
    </row>
    <row r="28" spans="1:4" ht="15.75" thickBot="1" x14ac:dyDescent="0.3"/>
    <row r="29" spans="1:4" ht="15.75" thickBot="1" x14ac:dyDescent="0.3">
      <c r="A29" s="138" t="s">
        <v>218</v>
      </c>
      <c r="B29" s="136"/>
      <c r="C29" s="136"/>
      <c r="D29" s="137"/>
    </row>
    <row r="30" spans="1:4" x14ac:dyDescent="0.25">
      <c r="A30" t="s">
        <v>102</v>
      </c>
      <c r="B30" t="s">
        <v>219</v>
      </c>
      <c r="C30">
        <v>2045</v>
      </c>
      <c r="D30" t="s">
        <v>121</v>
      </c>
    </row>
    <row r="31" spans="1:4" x14ac:dyDescent="0.25">
      <c r="A31" t="s">
        <v>220</v>
      </c>
      <c r="B31">
        <v>3508.53</v>
      </c>
      <c r="C31">
        <v>3526.86</v>
      </c>
      <c r="D31" s="114">
        <f>(C31-B31)/B31</f>
        <v>5.224410223084861E-3</v>
      </c>
    </row>
    <row r="32" spans="1:4" x14ac:dyDescent="0.25">
      <c r="A32" t="s">
        <v>221</v>
      </c>
      <c r="B32">
        <v>406.86</v>
      </c>
      <c r="C32">
        <v>414.51</v>
      </c>
      <c r="D32" s="114">
        <f t="shared" ref="D32:D34" si="0">(C32-B32)/B32</f>
        <v>1.8802536499041383E-2</v>
      </c>
    </row>
    <row r="33" spans="1:4" x14ac:dyDescent="0.25">
      <c r="A33" t="s">
        <v>222</v>
      </c>
      <c r="B33">
        <v>14.72</v>
      </c>
      <c r="C33">
        <v>14.72</v>
      </c>
      <c r="D33" s="114">
        <f t="shared" si="0"/>
        <v>0</v>
      </c>
    </row>
    <row r="34" spans="1:4" x14ac:dyDescent="0.25">
      <c r="A34" t="s">
        <v>223</v>
      </c>
      <c r="B34">
        <v>524.9</v>
      </c>
      <c r="C34">
        <v>525.08000000000004</v>
      </c>
      <c r="D34" s="114">
        <f t="shared" si="0"/>
        <v>3.4292246142134439E-4</v>
      </c>
    </row>
    <row r="41" spans="1:4" ht="30" x14ac:dyDescent="0.25">
      <c r="A41" s="63" t="s">
        <v>122</v>
      </c>
      <c r="B41" s="62" t="s">
        <v>113</v>
      </c>
    </row>
    <row r="42" spans="1:4" x14ac:dyDescent="0.25">
      <c r="A42" t="s">
        <v>123</v>
      </c>
      <c r="B42" s="2">
        <v>21926</v>
      </c>
    </row>
    <row r="43" spans="1:4" x14ac:dyDescent="0.25">
      <c r="A43" t="s">
        <v>124</v>
      </c>
      <c r="B43" s="2">
        <v>17259</v>
      </c>
    </row>
    <row r="44" spans="1:4" x14ac:dyDescent="0.25">
      <c r="A44" s="2" t="s">
        <v>125</v>
      </c>
      <c r="B44" s="2">
        <v>221450</v>
      </c>
    </row>
    <row r="45" spans="1:4" x14ac:dyDescent="0.25">
      <c r="A45" s="2" t="s">
        <v>126</v>
      </c>
      <c r="B45" s="2">
        <v>195258</v>
      </c>
    </row>
    <row r="46" spans="1:4" x14ac:dyDescent="0.25">
      <c r="B46">
        <f>SUM(B42:B45)</f>
        <v>455893</v>
      </c>
    </row>
  </sheetData>
  <mergeCells count="5">
    <mergeCell ref="A6:B6"/>
    <mergeCell ref="A19:B19"/>
    <mergeCell ref="B18:C18"/>
    <mergeCell ref="A29:D29"/>
    <mergeCell ref="E1:H1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8"/>
  <sheetViews>
    <sheetView workbookViewId="0">
      <selection activeCell="D12" sqref="D12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128</v>
      </c>
      <c r="B1" s="64" t="s">
        <v>129</v>
      </c>
      <c r="C1" s="64" t="s">
        <v>130</v>
      </c>
      <c r="D1" s="64" t="s">
        <v>131</v>
      </c>
      <c r="E1" s="64" t="s">
        <v>132</v>
      </c>
      <c r="F1" s="65" t="s">
        <v>133</v>
      </c>
      <c r="G1" s="66" t="s">
        <v>134</v>
      </c>
    </row>
    <row r="2" spans="1:7" ht="30" x14ac:dyDescent="0.25">
      <c r="A2">
        <v>1</v>
      </c>
      <c r="B2" s="67" t="s">
        <v>135</v>
      </c>
      <c r="C2" s="68">
        <v>401</v>
      </c>
      <c r="D2" s="69">
        <v>0.2</v>
      </c>
      <c r="E2" s="68">
        <v>2</v>
      </c>
      <c r="F2" s="70" t="s">
        <v>136</v>
      </c>
      <c r="G2" s="71" t="s">
        <v>137</v>
      </c>
    </row>
    <row r="3" spans="1:7" x14ac:dyDescent="0.25">
      <c r="A3">
        <v>2</v>
      </c>
      <c r="B3" s="67" t="s">
        <v>138</v>
      </c>
      <c r="C3" s="68">
        <v>407</v>
      </c>
      <c r="D3" s="72">
        <v>0.65</v>
      </c>
      <c r="E3" s="68">
        <v>10</v>
      </c>
      <c r="F3" s="73" t="s">
        <v>139</v>
      </c>
      <c r="G3" s="71" t="s">
        <v>139</v>
      </c>
    </row>
    <row r="4" spans="1:7" x14ac:dyDescent="0.25">
      <c r="A4">
        <v>3</v>
      </c>
      <c r="B4" s="67" t="s">
        <v>140</v>
      </c>
      <c r="C4" s="68">
        <v>517</v>
      </c>
      <c r="D4" s="72">
        <v>0.28000000000000003</v>
      </c>
      <c r="E4" s="68">
        <v>20</v>
      </c>
      <c r="F4" s="70" t="s">
        <v>136</v>
      </c>
      <c r="G4" s="71" t="s">
        <v>141</v>
      </c>
    </row>
    <row r="5" spans="1:7" ht="30" x14ac:dyDescent="0.25">
      <c r="A5">
        <v>4</v>
      </c>
      <c r="B5" s="67" t="s">
        <v>142</v>
      </c>
      <c r="C5" s="68">
        <v>521</v>
      </c>
      <c r="D5" s="69">
        <v>0.25</v>
      </c>
      <c r="E5" s="68">
        <v>10</v>
      </c>
      <c r="F5" s="73" t="s">
        <v>143</v>
      </c>
      <c r="G5" s="71" t="s">
        <v>144</v>
      </c>
    </row>
    <row r="8" spans="1:7" x14ac:dyDescent="0.25">
      <c r="B8" s="74" t="s">
        <v>145</v>
      </c>
      <c r="D8" s="75">
        <f>1-((1-D2)*(1-D3)*(1-D4)*(1-D5))</f>
        <v>0.8488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TDM</vt:lpstr>
      <vt:lpstr>Volumes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2024-02-12T19:37:20Z</dcterms:modified>
</cp:coreProperties>
</file>