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netorgft4168179-my.sharepoint.com/personal/ashish_loney_aigtechnical_com/Documents/AIG2/Projects2/2319_HGAC_CFP_FBC/04_Technical/41_Data Collection/Project related data/1-4,19/"/>
    </mc:Choice>
  </mc:AlternateContent>
  <xr:revisionPtr revIDLastSave="1341" documentId="11_F25DC773A252ABDACC10480171DC540E5BDE58ED" xr6:coauthVersionLast="47" xr6:coauthVersionMax="47" xr10:uidLastSave="{65E7DA43-E284-4377-80BA-11520B24E37A}"/>
  <bookViews>
    <workbookView xWindow="-120" yWindow="-120" windowWidth="29040" windowHeight="15720" activeTab="5" xr2:uid="{00000000-000D-0000-FFFF-FFFF00000000}"/>
  </bookViews>
  <sheets>
    <sheet name="TDM" sheetId="2" r:id="rId1"/>
    <sheet name="Volumes" sheetId="3" r:id="rId2"/>
    <sheet name="Traffic" sheetId="1" r:id="rId3"/>
    <sheet name="Emissions" sheetId="6" r:id="rId4"/>
    <sheet name="Demographics" sheetId="4" r:id="rId5"/>
    <sheet name="CRF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4" l="1"/>
  <c r="B8" i="4"/>
  <c r="D35" i="4"/>
  <c r="D34" i="4"/>
  <c r="D33" i="4"/>
  <c r="D32" i="4"/>
  <c r="C28" i="4"/>
  <c r="C26" i="4"/>
  <c r="C24" i="4"/>
  <c r="S32" i="2"/>
  <c r="K23" i="1" s="1"/>
  <c r="G23" i="1"/>
  <c r="E23" i="1"/>
  <c r="H23" i="1" s="1"/>
  <c r="J23" i="1" s="1"/>
  <c r="L3" i="1"/>
  <c r="L2" i="1"/>
  <c r="C32" i="6"/>
  <c r="AP32" i="2"/>
  <c r="Q5" i="6"/>
  <c r="P5" i="6"/>
  <c r="O5" i="6"/>
  <c r="R5" i="6" s="1"/>
  <c r="H36" i="1"/>
  <c r="H34" i="1"/>
  <c r="AG32" i="2"/>
  <c r="AA32" i="2"/>
  <c r="U32" i="2"/>
  <c r="F36" i="1"/>
  <c r="F34" i="1"/>
  <c r="F33" i="1"/>
  <c r="D36" i="1"/>
  <c r="D34" i="1"/>
  <c r="D33" i="1"/>
  <c r="B36" i="1"/>
  <c r="B34" i="1"/>
  <c r="B33" i="1"/>
  <c r="R4" i="6" l="1"/>
  <c r="H33" i="1"/>
  <c r="H35" i="1" s="1"/>
  <c r="F35" i="1"/>
  <c r="D35" i="1"/>
  <c r="B35" i="1"/>
  <c r="B37" i="1"/>
  <c r="D37" i="1"/>
  <c r="H37" i="1"/>
  <c r="F37" i="1"/>
  <c r="H38" i="1" l="1"/>
  <c r="F38" i="1"/>
  <c r="D38" i="1"/>
  <c r="B38" i="1"/>
  <c r="B15" i="1" l="1"/>
  <c r="B14" i="1"/>
  <c r="B13" i="1"/>
  <c r="B12" i="1"/>
  <c r="B11" i="1"/>
  <c r="C45" i="3" l="1"/>
  <c r="C47" i="3" s="1"/>
  <c r="C35" i="3"/>
  <c r="C37" i="3" s="1"/>
  <c r="C25" i="3"/>
  <c r="C27" i="3" s="1"/>
  <c r="C15" i="3"/>
  <c r="C17" i="3" s="1"/>
  <c r="C5" i="3"/>
  <c r="C7" i="3" s="1"/>
  <c r="B16" i="1" l="1"/>
  <c r="D8" i="5"/>
  <c r="B47" i="4"/>
  <c r="B15" i="4" l="1"/>
  <c r="B16" i="4"/>
  <c r="L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Manthan Gajera</author>
  </authors>
  <commentList>
    <comment ref="X3" authorId="0" shapeId="0" xr:uid="{A11115DA-5467-4ABD-AD92-0BF83362F952}">
      <text>
        <r>
          <rPr>
            <b/>
            <sz val="9"/>
            <color indexed="81"/>
            <rFont val="Tahoma"/>
            <family val="2"/>
          </rPr>
          <t>Manthan Gajera:</t>
        </r>
        <r>
          <rPr>
            <sz val="9"/>
            <color indexed="81"/>
            <rFont val="Tahoma"/>
            <family val="2"/>
          </rPr>
          <t xml:space="preserve">
From Spped-Flow curve</t>
        </r>
      </text>
    </comment>
  </commentList>
</comments>
</file>

<file path=xl/sharedStrings.xml><?xml version="1.0" encoding="utf-8"?>
<sst xmlns="http://schemas.openxmlformats.org/spreadsheetml/2006/main" count="439" uniqueCount="230">
  <si>
    <t>AADT</t>
  </si>
  <si>
    <t>Volume Growth</t>
  </si>
  <si>
    <t>Total Volume</t>
  </si>
  <si>
    <t>HGAC TDM 2023</t>
  </si>
  <si>
    <t>HGAC TDM 2045</t>
  </si>
  <si>
    <t>% growth</t>
  </si>
  <si>
    <t>C</t>
  </si>
  <si>
    <t>SH 99</t>
  </si>
  <si>
    <r>
      <t xml:space="preserve">TT </t>
    </r>
    <r>
      <rPr>
        <vertAlign val="subscript"/>
        <sz val="11"/>
        <color theme="1"/>
        <rFont val="Calibri"/>
        <family val="2"/>
        <scheme val="minor"/>
      </rPr>
      <t>peak</t>
    </r>
  </si>
  <si>
    <r>
      <t>TT</t>
    </r>
    <r>
      <rPr>
        <vertAlign val="subscript"/>
        <sz val="11"/>
        <color theme="1"/>
        <rFont val="Calibri"/>
        <family val="2"/>
        <scheme val="minor"/>
      </rPr>
      <t>free flow</t>
    </r>
  </si>
  <si>
    <t>TTI</t>
  </si>
  <si>
    <t>Distance (miles)</t>
  </si>
  <si>
    <r>
      <t>SPD</t>
    </r>
    <r>
      <rPr>
        <vertAlign val="subscript"/>
        <sz val="11"/>
        <color theme="1"/>
        <rFont val="Calibri"/>
        <family val="2"/>
        <scheme val="minor"/>
      </rPr>
      <t>peak</t>
    </r>
    <r>
      <rPr>
        <sz val="11"/>
        <color theme="1"/>
        <rFont val="Calibri"/>
        <family val="2"/>
        <scheme val="minor"/>
      </rPr>
      <t xml:space="preserve"> (MPH)</t>
    </r>
  </si>
  <si>
    <r>
      <t>SPD</t>
    </r>
    <r>
      <rPr>
        <vertAlign val="subscript"/>
        <sz val="11"/>
        <color theme="1"/>
        <rFont val="Calibri"/>
        <family val="2"/>
        <scheme val="minor"/>
      </rPr>
      <t xml:space="preserve">FF </t>
    </r>
    <r>
      <rPr>
        <sz val="11"/>
        <color theme="1"/>
        <rFont val="Calibri"/>
        <family val="2"/>
        <scheme val="minor"/>
      </rPr>
      <t>(MPH)</t>
    </r>
  </si>
  <si>
    <t>Travel Time Index (SB)</t>
  </si>
  <si>
    <t>Traffic operations</t>
  </si>
  <si>
    <t>Source</t>
  </si>
  <si>
    <t>Top 100 congested roadways of Texas</t>
  </si>
  <si>
    <t>Most congested roadways in texas 2022 spreadsheet</t>
  </si>
  <si>
    <t>TxDOT Roadway Inventory</t>
  </si>
  <si>
    <t>K factor</t>
  </si>
  <si>
    <t>Value</t>
  </si>
  <si>
    <t>Year</t>
  </si>
  <si>
    <t>Rank 79</t>
  </si>
  <si>
    <t>annual person delay per mile (person hr)</t>
  </si>
  <si>
    <t xml:space="preserve">AADT </t>
  </si>
  <si>
    <t>NB Ramps</t>
  </si>
  <si>
    <t>SB Ramps</t>
  </si>
  <si>
    <t xml:space="preserve">Cross Street </t>
  </si>
  <si>
    <t>(AADT 2022, H-GAC TCDS)</t>
  </si>
  <si>
    <t xml:space="preserve">SH 99 ML </t>
  </si>
  <si>
    <t>Truck AADT percentage (2022)</t>
  </si>
  <si>
    <t>EJ population</t>
  </si>
  <si>
    <t>Demographic Data Explorer</t>
  </si>
  <si>
    <t>Attributes</t>
  </si>
  <si>
    <t>Low-income Population</t>
  </si>
  <si>
    <t>Minority Population</t>
  </si>
  <si>
    <t>Household Population Under Poverty</t>
  </si>
  <si>
    <t>Disabled Persons</t>
  </si>
  <si>
    <t>Elderly Persons</t>
  </si>
  <si>
    <t>Limited English Proficiency</t>
  </si>
  <si>
    <t>Total population</t>
  </si>
  <si>
    <t>% low-income population</t>
  </si>
  <si>
    <t>% minority population</t>
  </si>
  <si>
    <t>Activity Connectivity Explorer</t>
  </si>
  <si>
    <t>Population (2021)</t>
  </si>
  <si>
    <t>Liveable center need index</t>
  </si>
  <si>
    <t>Forecast: population 2045</t>
  </si>
  <si>
    <t>Forecast: population 2018</t>
  </si>
  <si>
    <t>Forecast: Jobs 2018</t>
  </si>
  <si>
    <t>Forecast: Jobs 2045</t>
  </si>
  <si>
    <t>Forecast: Households 2018</t>
  </si>
  <si>
    <t>Forecast: Households 2045</t>
  </si>
  <si>
    <t>% change</t>
  </si>
  <si>
    <t>Growth</t>
  </si>
  <si>
    <t>City</t>
  </si>
  <si>
    <t>Katy</t>
  </si>
  <si>
    <t>Fulshear</t>
  </si>
  <si>
    <t>Houston council district A</t>
  </si>
  <si>
    <t>Houston council district F</t>
  </si>
  <si>
    <t>Data: 1/4th mile buffer</t>
  </si>
  <si>
    <t>#</t>
  </si>
  <si>
    <t>Work Type (TxDOT HSIP)</t>
  </si>
  <si>
    <t>Work Code</t>
  </si>
  <si>
    <t>Crash Reduction Factor</t>
  </si>
  <si>
    <t>Service life</t>
  </si>
  <si>
    <t>Preventable Crash types</t>
  </si>
  <si>
    <t>Preventable Crash types (HSIP guidelines)</t>
  </si>
  <si>
    <t>Install Pavement Markings</t>
  </si>
  <si>
    <t>Non-Intersection related (Roadway Related)</t>
  </si>
  <si>
    <t>Roadway Related, Vehicle Movements/Manner of Collision</t>
  </si>
  <si>
    <t>Install Sidewalks</t>
  </si>
  <si>
    <t>Pedestrian, Cyclist</t>
  </si>
  <si>
    <t>Add Through Lane</t>
  </si>
  <si>
    <t>Vehicle Movements/Manner of Collision</t>
  </si>
  <si>
    <t>Add Right Turn Lane</t>
  </si>
  <si>
    <t>Intersection Related</t>
  </si>
  <si>
    <t>Vehicle Movements/Manner of Collision, Intersection Related</t>
  </si>
  <si>
    <t>Consolidated CRF</t>
  </si>
  <si>
    <t>Estimated Volume</t>
  </si>
  <si>
    <t>LOS from HCM Service Volume Table</t>
  </si>
  <si>
    <t>K</t>
  </si>
  <si>
    <t>D</t>
  </si>
  <si>
    <t>Road</t>
  </si>
  <si>
    <t>SH 99 mainlanes</t>
  </si>
  <si>
    <t>Direction</t>
  </si>
  <si>
    <t>Frontage Rd</t>
  </si>
  <si>
    <t>Limits</t>
  </si>
  <si>
    <t>Free flow Speed (2023)</t>
  </si>
  <si>
    <t>Free flow Speed (2045)</t>
  </si>
  <si>
    <t>Total</t>
  </si>
  <si>
    <t>2-way Volume</t>
  </si>
  <si>
    <t>LOS</t>
  </si>
  <si>
    <t>Westheimer Pkwy to S Fry Rd</t>
  </si>
  <si>
    <t>Westheimer Pkwy</t>
  </si>
  <si>
    <t>S Fry Rd</t>
  </si>
  <si>
    <t>(AADT 2022, H-GAC TCDS) k=-</t>
  </si>
  <si>
    <t>(AADT 2021, H-GAC TCDS) k=-</t>
  </si>
  <si>
    <t>(AADT 2020, H-GAC TCDS) k=-</t>
  </si>
  <si>
    <t>(AADT 2019, H-GAC TCDS) k=-</t>
  </si>
  <si>
    <t>(AADT 2018, H-GAC TCDS) k=-</t>
  </si>
  <si>
    <t>SB</t>
  </si>
  <si>
    <t>4-lane</t>
  </si>
  <si>
    <t>6-lane</t>
  </si>
  <si>
    <t>Lanes</t>
  </si>
  <si>
    <t>HCM 7 Exhibit 12-39</t>
  </si>
  <si>
    <t>2023 ML</t>
  </si>
  <si>
    <t>2045  ML No Build</t>
  </si>
  <si>
    <t>2045 ML Build</t>
  </si>
  <si>
    <t>2045 Frontage Rd</t>
  </si>
  <si>
    <t>SH 99 mainlanes LOS (TDM Volume)</t>
  </si>
  <si>
    <t>F</t>
  </si>
  <si>
    <t>OBJECTID *</t>
  </si>
  <si>
    <t>Shape *</t>
  </si>
  <si>
    <t>FUNCL</t>
  </si>
  <si>
    <t>FACILITY_N</t>
  </si>
  <si>
    <t>ABNODE</t>
  </si>
  <si>
    <t>A</t>
  </si>
  <si>
    <t>B</t>
  </si>
  <si>
    <t>LANES</t>
  </si>
  <si>
    <t>DISTANCE</t>
  </si>
  <si>
    <t>RTYPE</t>
  </si>
  <si>
    <t>AREA_TYP</t>
  </si>
  <si>
    <t>OV11HRSPD</t>
  </si>
  <si>
    <t>OV11HRTIME</t>
  </si>
  <si>
    <t>FFSPD</t>
  </si>
  <si>
    <t>PMVOL</t>
  </si>
  <si>
    <t>PMTIME</t>
  </si>
  <si>
    <t>PM_VC</t>
  </si>
  <si>
    <t>PMVOL_T</t>
  </si>
  <si>
    <t>PM4HRSPD</t>
  </si>
  <si>
    <t>PM4HRTIME</t>
  </si>
  <si>
    <t>MDVOL</t>
  </si>
  <si>
    <t>MDTIME</t>
  </si>
  <si>
    <t>MD_VC</t>
  </si>
  <si>
    <t>MDVOL_T</t>
  </si>
  <si>
    <t>MD6HRSPD</t>
  </si>
  <si>
    <t>MD6HRTIME</t>
  </si>
  <si>
    <t>AMVOL</t>
  </si>
  <si>
    <t>AMTIME</t>
  </si>
  <si>
    <t>AM_VC</t>
  </si>
  <si>
    <t>AMVOL_T</t>
  </si>
  <si>
    <t>AM3HRSPD</t>
  </si>
  <si>
    <t>AM3HRTIME</t>
  </si>
  <si>
    <t>TOTVOL</t>
  </si>
  <si>
    <t>VMT</t>
  </si>
  <si>
    <t>TRUCK_VMT</t>
  </si>
  <si>
    <t>AM3HRVHT</t>
  </si>
  <si>
    <t>MD6HRVHT</t>
  </si>
  <si>
    <t>PM4HRVHT</t>
  </si>
  <si>
    <t>OV11HRVHT</t>
  </si>
  <si>
    <t>HR24VHT</t>
  </si>
  <si>
    <t>TRUCKHRVHT</t>
  </si>
  <si>
    <t>TOTVOL_T</t>
  </si>
  <si>
    <t>TRUCKVHT</t>
  </si>
  <si>
    <t>Shape_Length</t>
  </si>
  <si>
    <t>Polyline</t>
  </si>
  <si>
    <t>26100-33887</t>
  </si>
  <si>
    <t>33887-33875</t>
  </si>
  <si>
    <t>Mainlanes</t>
  </si>
  <si>
    <t>S Fry Rd to Westheimer Pkwy (NB)</t>
  </si>
  <si>
    <t>2045 NB</t>
  </si>
  <si>
    <t>2045 B</t>
  </si>
  <si>
    <t>FID</t>
  </si>
  <si>
    <t>Shape</t>
  </si>
  <si>
    <t>PROJ_ID</t>
  </si>
  <si>
    <t>PROJ_IDA</t>
  </si>
  <si>
    <t>SH 99 FRONTAGE RD</t>
  </si>
  <si>
    <t>33881-41830</t>
  </si>
  <si>
    <t>41830-41832</t>
  </si>
  <si>
    <t>41832-33876</t>
  </si>
  <si>
    <t>Speed</t>
  </si>
  <si>
    <t>PM 4 Hr</t>
  </si>
  <si>
    <t>MD 6 Hr</t>
  </si>
  <si>
    <t>AM 3 Hr</t>
  </si>
  <si>
    <t>Avg. Spd</t>
  </si>
  <si>
    <t>Avg. Speed before improvements (2045 NB)</t>
  </si>
  <si>
    <t>Avg. Speed after improvements (2045 B)</t>
  </si>
  <si>
    <t>INPUTS</t>
  </si>
  <si>
    <t>Project Information</t>
  </si>
  <si>
    <t>Project Title:</t>
  </si>
  <si>
    <t>SH 99 FR</t>
  </si>
  <si>
    <t>Data entered by the sponsors</t>
  </si>
  <si>
    <t>Application ID Number:</t>
  </si>
  <si>
    <t>Data populated/calculated based on inputs</t>
  </si>
  <si>
    <t>MPOID/CSJ #</t>
  </si>
  <si>
    <t>Benefits calculated by the template</t>
  </si>
  <si>
    <t>Project County</t>
  </si>
  <si>
    <t>Fort Bend</t>
  </si>
  <si>
    <t>Proposed Improvements Information</t>
  </si>
  <si>
    <r>
      <t xml:space="preserve">Year Open to Traffic? </t>
    </r>
    <r>
      <rPr>
        <b/>
        <sz val="11"/>
        <color theme="1"/>
        <rFont val="Calibri"/>
        <family val="2"/>
        <scheme val="minor"/>
      </rPr>
      <t>(Must be &gt;=2025)</t>
    </r>
  </si>
  <si>
    <t>Type of Improvement</t>
  </si>
  <si>
    <t>Roadway improvements (Added Capacity, Grade Separations)  including HOV</t>
  </si>
  <si>
    <t>Type of Facility</t>
  </si>
  <si>
    <t>Non-Freeway</t>
  </si>
  <si>
    <t>Total Length of Corridors Affected by Project (miles)</t>
  </si>
  <si>
    <t>Average Roadway Speed Before Improvement (mph)</t>
  </si>
  <si>
    <t>Average Roadway Speed After Improvement (mph)</t>
  </si>
  <si>
    <t>Service Life of Project (from MoSERS)</t>
  </si>
  <si>
    <t>Daily Travel Demand</t>
  </si>
  <si>
    <t>2021 Average Daily Traffic Volume of Corridors Affected by project</t>
  </si>
  <si>
    <t>OUTPUTS</t>
  </si>
  <si>
    <t>Benefit Results</t>
  </si>
  <si>
    <t>Discounted NOx Benefits @ 7% (2021 $)</t>
  </si>
  <si>
    <t>Discounted VOC Benefits @ 7% (2021 $)</t>
  </si>
  <si>
    <t>Total Emissions Benefit Results</t>
  </si>
  <si>
    <t>Discounted Emissions Benefits @ 7% (2021 $)</t>
  </si>
  <si>
    <t>Total Emissions Reductions</t>
  </si>
  <si>
    <t>NOx Emission Reductions (tons)</t>
  </si>
  <si>
    <t>VOC Emission Reductions (tons)</t>
  </si>
  <si>
    <t>TDM</t>
  </si>
  <si>
    <t>Volume (2045 NB)</t>
  </si>
  <si>
    <t>Volume (2045 B)</t>
  </si>
  <si>
    <t>V/C Ratio</t>
  </si>
  <si>
    <t>TDM PM Peak 
V/C Ratio</t>
  </si>
  <si>
    <t>LOS B</t>
  </si>
  <si>
    <t>Data: 2 miles buffer</t>
  </si>
  <si>
    <t>Land Use Growth (2 miles buffer)</t>
  </si>
  <si>
    <t>Current</t>
  </si>
  <si>
    <t>Residential</t>
  </si>
  <si>
    <t>Commercial</t>
  </si>
  <si>
    <t>Industrial</t>
  </si>
  <si>
    <t>Multiple</t>
  </si>
  <si>
    <t>Assumed K factor= 0.1, D factor= 0.5, HCM 7 Exhibit 12-41</t>
  </si>
  <si>
    <t>Within 1/4 mile buffer</t>
  </si>
  <si>
    <t>Medical facilities</t>
  </si>
  <si>
    <t>Education facilities</t>
  </si>
  <si>
    <t>Social services facilities</t>
  </si>
  <si>
    <t>CareNow Urgent care- Katy;
Steven Meadows Dental;
League Health Urgent &amp; Primary Care</t>
  </si>
  <si>
    <t>AP Counseling Group; 
Result Physiotherapy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</si>
</sst>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"/>
    <numFmt numFmtId="165" formatCode="0.0%"/>
    <numFmt numFmtId="166" formatCode="#,##0.0"/>
    <numFmt numFmtId="167" formatCode="&quot;$&quot;#,##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ptos"/>
      <family val="2"/>
    </font>
  </fonts>
  <fills count="16">
    <fill>
      <patternFill patternType="none"/>
    </fill>
    <fill>
      <patternFill patternType="gray125"/>
    </fill>
    <fill>
      <patternFill patternType="solid">
        <fgColor rgb="FFCC66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1" fontId="0" fillId="0" borderId="1" xfId="0" applyNumberFormat="1" applyBorder="1"/>
    <xf numFmtId="9" fontId="0" fillId="0" borderId="1" xfId="1" applyFont="1" applyBorder="1"/>
    <xf numFmtId="0" fontId="2" fillId="0" borderId="0" xfId="0" applyFont="1"/>
    <xf numFmtId="0" fontId="2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/>
    <xf numFmtId="0" fontId="0" fillId="6" borderId="0" xfId="0" applyFill="1"/>
    <xf numFmtId="0" fontId="2" fillId="0" borderId="1" xfId="0" applyFont="1" applyBorder="1" applyAlignment="1">
      <alignment horizontal="center"/>
    </xf>
    <xf numFmtId="0" fontId="0" fillId="8" borderId="1" xfId="0" applyFill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0" xfId="0" applyNumberFormat="1"/>
    <xf numFmtId="10" fontId="0" fillId="0" borderId="1" xfId="0" applyNumberFormat="1" applyBorder="1"/>
    <xf numFmtId="0" fontId="0" fillId="0" borderId="6" xfId="0" applyBorder="1"/>
    <xf numFmtId="165" fontId="0" fillId="0" borderId="1" xfId="1" applyNumberFormat="1" applyFont="1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right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/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9" borderId="7" xfId="0" applyFill="1" applyBorder="1"/>
    <xf numFmtId="0" fontId="0" fillId="9" borderId="10" xfId="0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2" fillId="10" borderId="0" xfId="0" applyFont="1" applyFill="1"/>
    <xf numFmtId="0" fontId="2" fillId="10" borderId="0" xfId="0" applyFont="1" applyFill="1" applyAlignment="1">
      <alignment horizontal="center"/>
    </xf>
    <xf numFmtId="0" fontId="0" fillId="0" borderId="17" xfId="0" applyBorder="1"/>
    <xf numFmtId="2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2" fillId="0" borderId="1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11" borderId="1" xfId="0" applyFont="1" applyFill="1" applyBorder="1" applyAlignment="1">
      <alignment vertical="center"/>
    </xf>
    <xf numFmtId="0" fontId="9" fillId="11" borderId="1" xfId="0" applyFont="1" applyFill="1" applyBorder="1" applyAlignment="1">
      <alignment vertical="center"/>
    </xf>
    <xf numFmtId="0" fontId="2" fillId="11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" fontId="0" fillId="0" borderId="1" xfId="0" applyNumberForma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9" borderId="20" xfId="0" applyFill="1" applyBorder="1"/>
    <xf numFmtId="0" fontId="0" fillId="9" borderId="17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165" fontId="0" fillId="0" borderId="0" xfId="1" applyNumberFormat="1" applyFont="1" applyFill="1" applyBorder="1"/>
    <xf numFmtId="2" fontId="2" fillId="0" borderId="28" xfId="0" applyNumberFormat="1" applyFont="1" applyBorder="1" applyAlignment="1">
      <alignment horizontal="center"/>
    </xf>
    <xf numFmtId="0" fontId="0" fillId="8" borderId="0" xfId="0" applyFill="1"/>
    <xf numFmtId="0" fontId="13" fillId="0" borderId="25" xfId="0" applyFont="1" applyBorder="1" applyAlignment="1">
      <alignment vertical="center"/>
    </xf>
    <xf numFmtId="0" fontId="0" fillId="0" borderId="25" xfId="0" applyBorder="1" applyAlignment="1">
      <alignment horizontal="left" vertical="center"/>
    </xf>
    <xf numFmtId="0" fontId="0" fillId="0" borderId="25" xfId="0" applyBorder="1" applyAlignment="1">
      <alignment vertical="center"/>
    </xf>
    <xf numFmtId="0" fontId="0" fillId="0" borderId="0" xfId="0" applyAlignment="1">
      <alignment horizontal="left" vertical="center"/>
    </xf>
    <xf numFmtId="0" fontId="12" fillId="7" borderId="1" xfId="0" applyFont="1" applyFill="1" applyBorder="1" applyAlignment="1">
      <alignment vertical="center"/>
    </xf>
    <xf numFmtId="0" fontId="0" fillId="12" borderId="1" xfId="0" applyFill="1" applyBorder="1" applyAlignment="1">
      <alignment vertical="center"/>
    </xf>
    <xf numFmtId="0" fontId="0" fillId="12" borderId="1" xfId="0" applyFill="1" applyBorder="1" applyAlignment="1" applyProtection="1">
      <alignment horizontal="left" vertical="center" wrapText="1"/>
      <protection locked="0"/>
    </xf>
    <xf numFmtId="0" fontId="0" fillId="12" borderId="1" xfId="0" applyFill="1" applyBorder="1" applyAlignment="1" applyProtection="1">
      <alignment horizontal="left" vertical="center"/>
      <protection locked="0"/>
    </xf>
    <xf numFmtId="0" fontId="0" fillId="13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12" borderId="1" xfId="0" applyFill="1" applyBorder="1" applyAlignment="1">
      <alignment horizontal="left" vertical="center"/>
    </xf>
    <xf numFmtId="3" fontId="0" fillId="12" borderId="1" xfId="0" applyNumberFormat="1" applyFill="1" applyBorder="1" applyAlignment="1" applyProtection="1">
      <alignment horizontal="left" vertical="center"/>
      <protection locked="0"/>
    </xf>
    <xf numFmtId="166" fontId="0" fillId="12" borderId="1" xfId="0" applyNumberFormat="1" applyFill="1" applyBorder="1" applyAlignment="1" applyProtection="1">
      <alignment horizontal="left" vertical="center"/>
      <protection locked="0"/>
    </xf>
    <xf numFmtId="0" fontId="0" fillId="12" borderId="1" xfId="0" applyFill="1" applyBorder="1" applyAlignment="1">
      <alignment horizontal="left" vertical="center" wrapText="1"/>
    </xf>
    <xf numFmtId="0" fontId="0" fillId="13" borderId="26" xfId="0" applyFill="1" applyBorder="1" applyAlignment="1">
      <alignment vertical="center"/>
    </xf>
    <xf numFmtId="0" fontId="0" fillId="13" borderId="1" xfId="0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left" vertical="center"/>
    </xf>
    <xf numFmtId="0" fontId="12" fillId="14" borderId="1" xfId="0" applyFont="1" applyFill="1" applyBorder="1" applyAlignment="1">
      <alignment vertical="center"/>
    </xf>
    <xf numFmtId="167" fontId="0" fillId="6" borderId="1" xfId="0" applyNumberFormat="1" applyFill="1" applyBorder="1" applyAlignment="1">
      <alignment horizontal="left" vertical="center"/>
    </xf>
    <xf numFmtId="167" fontId="0" fillId="0" borderId="0" xfId="0" applyNumberFormat="1" applyAlignment="1">
      <alignment horizontal="left" vertical="center"/>
    </xf>
    <xf numFmtId="43" fontId="0" fillId="6" borderId="1" xfId="3" applyFont="1" applyFill="1" applyBorder="1" applyAlignment="1" applyProtection="1">
      <alignment horizontal="left" vertical="center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vertical="center"/>
    </xf>
    <xf numFmtId="10" fontId="10" fillId="0" borderId="0" xfId="1" applyNumberFormat="1" applyFont="1" applyBorder="1"/>
    <xf numFmtId="0" fontId="0" fillId="0" borderId="0" xfId="0" applyAlignment="1">
      <alignment vertical="center" wrapText="1"/>
    </xf>
    <xf numFmtId="1" fontId="0" fillId="0" borderId="0" xfId="0" applyNumberFormat="1" applyAlignment="1">
      <alignment vertical="center"/>
    </xf>
    <xf numFmtId="0" fontId="11" fillId="0" borderId="0" xfId="2" applyBorder="1" applyAlignment="1"/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15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9" fontId="0" fillId="0" borderId="1" xfId="0" applyNumberFormat="1" applyBorder="1"/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7" borderId="27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15" borderId="2" xfId="0" applyFont="1" applyFill="1" applyBorder="1" applyAlignment="1">
      <alignment horizontal="center"/>
    </xf>
    <xf numFmtId="0" fontId="2" fillId="15" borderId="3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21</xdr:row>
      <xdr:rowOff>0</xdr:rowOff>
    </xdr:from>
    <xdr:to>
      <xdr:col>20</xdr:col>
      <xdr:colOff>495817</xdr:colOff>
      <xdr:row>41</xdr:row>
      <xdr:rowOff>598589</xdr:rowOff>
    </xdr:to>
    <xdr:pic>
      <xdr:nvPicPr>
        <xdr:cNvPr id="2" name="Picture 1" descr="A white sheet with black text&#10;&#10;Description automatically generated">
          <a:extLst>
            <a:ext uri="{FF2B5EF4-FFF2-40B4-BE49-F238E27FC236}">
              <a16:creationId xmlns:a16="http://schemas.microsoft.com/office/drawing/2014/main" id="{03C46F2A-8256-4DD7-B84E-AD358710C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87125" y="6981825"/>
          <a:ext cx="5972692" cy="4867694"/>
        </a:xfrm>
        <a:prstGeom prst="rect">
          <a:avLst/>
        </a:prstGeom>
      </xdr:spPr>
    </xdr:pic>
    <xdr:clientData/>
  </xdr:twoCellAnchor>
  <xdr:twoCellAnchor>
    <xdr:from>
      <xdr:col>13</xdr:col>
      <xdr:colOff>78105</xdr:colOff>
      <xdr:row>39</xdr:row>
      <xdr:rowOff>91440</xdr:rowOff>
    </xdr:from>
    <xdr:to>
      <xdr:col>19</xdr:col>
      <xdr:colOff>363855</xdr:colOff>
      <xdr:row>40</xdr:row>
      <xdr:rowOff>97155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D914B16-3F4F-45D5-8A97-8105847AD0BE}"/>
            </a:ext>
          </a:extLst>
        </xdr:cNvPr>
        <xdr:cNvSpPr/>
      </xdr:nvSpPr>
      <xdr:spPr>
        <a:xfrm>
          <a:off x="11365230" y="10978515"/>
          <a:ext cx="5000625" cy="18669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1074965</xdr:colOff>
      <xdr:row>46</xdr:row>
      <xdr:rowOff>81643</xdr:rowOff>
    </xdr:from>
    <xdr:to>
      <xdr:col>9</xdr:col>
      <xdr:colOff>587500</xdr:colOff>
      <xdr:row>80</xdr:row>
      <xdr:rowOff>139705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F92E4E7-B582-4F5B-831B-E3BB76CB9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4965" y="10518322"/>
          <a:ext cx="7404678" cy="6535062"/>
        </a:xfrm>
        <a:prstGeom prst="rect">
          <a:avLst/>
        </a:prstGeom>
      </xdr:spPr>
    </xdr:pic>
    <xdr:clientData/>
  </xdr:twoCellAnchor>
  <xdr:twoCellAnchor>
    <xdr:from>
      <xdr:col>0</xdr:col>
      <xdr:colOff>1242637</xdr:colOff>
      <xdr:row>65</xdr:row>
      <xdr:rowOff>39059</xdr:rowOff>
    </xdr:from>
    <xdr:to>
      <xdr:col>4</xdr:col>
      <xdr:colOff>79642</xdr:colOff>
      <xdr:row>66</xdr:row>
      <xdr:rowOff>59230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18FDE46A-978D-43A8-967D-B575D7594BD7}"/>
            </a:ext>
          </a:extLst>
        </xdr:cNvPr>
        <xdr:cNvSpPr/>
      </xdr:nvSpPr>
      <xdr:spPr>
        <a:xfrm>
          <a:off x="1242637" y="14095238"/>
          <a:ext cx="2891934" cy="210671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8F7F7-823B-4EF3-BA09-4A973E550880}">
  <dimension ref="A1:AS32"/>
  <sheetViews>
    <sheetView workbookViewId="0">
      <selection activeCell="S32" sqref="S32"/>
    </sheetView>
  </sheetViews>
  <sheetFormatPr defaultRowHeight="15"/>
  <sheetData>
    <row r="1" spans="1:45">
      <c r="A1" s="6">
        <v>2023</v>
      </c>
      <c r="B1" s="7" t="s">
        <v>7</v>
      </c>
      <c r="C1" s="8" t="s">
        <v>159</v>
      </c>
      <c r="D1" s="8"/>
      <c r="E1" s="9" t="s">
        <v>160</v>
      </c>
      <c r="F1" s="9"/>
      <c r="G1" s="9"/>
      <c r="H1" s="9"/>
    </row>
    <row r="2" spans="1:45">
      <c r="A2" s="5"/>
    </row>
    <row r="3" spans="1:45">
      <c r="A3" s="2" t="s">
        <v>112</v>
      </c>
      <c r="B3" s="2" t="s">
        <v>113</v>
      </c>
      <c r="C3" s="2" t="s">
        <v>114</v>
      </c>
      <c r="D3" s="2" t="s">
        <v>115</v>
      </c>
      <c r="E3" s="2" t="s">
        <v>116</v>
      </c>
      <c r="F3" s="2" t="s">
        <v>117</v>
      </c>
      <c r="G3" s="2" t="s">
        <v>118</v>
      </c>
      <c r="H3" s="2" t="s">
        <v>119</v>
      </c>
      <c r="I3" s="2" t="s">
        <v>120</v>
      </c>
      <c r="J3" s="2" t="s">
        <v>121</v>
      </c>
      <c r="K3" s="2" t="s">
        <v>122</v>
      </c>
      <c r="L3" s="2" t="s">
        <v>6</v>
      </c>
      <c r="M3" s="2" t="s">
        <v>123</v>
      </c>
      <c r="N3" s="2" t="s">
        <v>124</v>
      </c>
      <c r="O3" s="2" t="s">
        <v>125</v>
      </c>
      <c r="P3" s="2" t="s">
        <v>126</v>
      </c>
      <c r="Q3" s="2" t="s">
        <v>127</v>
      </c>
      <c r="R3" s="2" t="s">
        <v>128</v>
      </c>
      <c r="S3" s="2" t="s">
        <v>129</v>
      </c>
      <c r="T3" s="2" t="s">
        <v>130</v>
      </c>
      <c r="U3" s="2" t="s">
        <v>131</v>
      </c>
      <c r="V3" s="2" t="s">
        <v>132</v>
      </c>
      <c r="W3" s="2" t="s">
        <v>133</v>
      </c>
      <c r="X3" s="2" t="s">
        <v>134</v>
      </c>
      <c r="Y3" s="2" t="s">
        <v>135</v>
      </c>
      <c r="Z3" s="2" t="s">
        <v>136</v>
      </c>
      <c r="AA3" s="2" t="s">
        <v>137</v>
      </c>
      <c r="AB3" s="2" t="s">
        <v>138</v>
      </c>
      <c r="AC3" s="2" t="s">
        <v>139</v>
      </c>
      <c r="AD3" s="2" t="s">
        <v>140</v>
      </c>
      <c r="AE3" s="2" t="s">
        <v>141</v>
      </c>
      <c r="AF3" s="2" t="s">
        <v>142</v>
      </c>
      <c r="AG3" s="2" t="s">
        <v>143</v>
      </c>
      <c r="AH3" s="2" t="s">
        <v>144</v>
      </c>
      <c r="AI3" s="2" t="s">
        <v>145</v>
      </c>
      <c r="AJ3" s="2" t="s">
        <v>146</v>
      </c>
      <c r="AK3" s="2" t="s">
        <v>147</v>
      </c>
      <c r="AL3" s="2" t="s">
        <v>148</v>
      </c>
      <c r="AM3" s="2" t="s">
        <v>149</v>
      </c>
      <c r="AN3" s="2" t="s">
        <v>150</v>
      </c>
      <c r="AO3" s="2" t="s">
        <v>151</v>
      </c>
      <c r="AP3" s="2" t="s">
        <v>152</v>
      </c>
      <c r="AQ3" s="2" t="s">
        <v>153</v>
      </c>
      <c r="AR3" s="2" t="s">
        <v>154</v>
      </c>
      <c r="AS3" s="2" t="s">
        <v>155</v>
      </c>
    </row>
    <row r="4" spans="1:45">
      <c r="A4" s="2">
        <v>7409</v>
      </c>
      <c r="B4" s="2" t="s">
        <v>156</v>
      </c>
      <c r="C4" s="2">
        <v>11</v>
      </c>
      <c r="D4" s="2" t="s">
        <v>7</v>
      </c>
      <c r="E4" s="2" t="s">
        <v>157</v>
      </c>
      <c r="F4" s="2">
        <v>26100</v>
      </c>
      <c r="G4" s="2">
        <v>33887</v>
      </c>
      <c r="H4" s="2">
        <v>2</v>
      </c>
      <c r="I4" s="2">
        <v>0.41926999999999998</v>
      </c>
      <c r="J4" s="2">
        <v>3</v>
      </c>
      <c r="K4" s="2">
        <v>4</v>
      </c>
      <c r="L4" s="2">
        <v>100800</v>
      </c>
      <c r="M4" s="2">
        <v>64.91</v>
      </c>
      <c r="N4" s="2">
        <v>0.38756000000000002</v>
      </c>
      <c r="O4" s="2">
        <v>65</v>
      </c>
      <c r="P4" s="2">
        <v>16378.816409999999</v>
      </c>
      <c r="Q4" s="2">
        <v>0.70274000000000003</v>
      </c>
      <c r="R4" s="2">
        <v>0.97492999999999996</v>
      </c>
      <c r="S4" s="2">
        <v>16378.816409999999</v>
      </c>
      <c r="T4" s="11">
        <v>50.74</v>
      </c>
      <c r="U4" s="2">
        <v>0.49579000000000001</v>
      </c>
      <c r="V4" s="2">
        <v>17891.511719999999</v>
      </c>
      <c r="W4" s="2">
        <v>0.50363000000000002</v>
      </c>
      <c r="X4" s="2">
        <v>0.70998000000000006</v>
      </c>
      <c r="Y4" s="2">
        <v>17891.511719999999</v>
      </c>
      <c r="Z4" s="11">
        <v>58.43</v>
      </c>
      <c r="AA4" s="2">
        <v>0.43053999999999998</v>
      </c>
      <c r="AB4" s="2">
        <v>10699.777340000001</v>
      </c>
      <c r="AC4" s="2">
        <v>0.58892</v>
      </c>
      <c r="AD4" s="2">
        <v>0.84919</v>
      </c>
      <c r="AE4" s="2">
        <v>10699.777340000001</v>
      </c>
      <c r="AF4" s="11">
        <v>54.5</v>
      </c>
      <c r="AG4" s="2">
        <v>0.46157999999999999</v>
      </c>
      <c r="AH4" s="2">
        <v>53919.957029999998</v>
      </c>
      <c r="AI4" s="2">
        <v>22607.019530000001</v>
      </c>
      <c r="AJ4" s="2">
        <v>260.70670000000001</v>
      </c>
      <c r="AK4" s="2">
        <v>82.313680000000005</v>
      </c>
      <c r="AL4" s="2">
        <v>128.38225</v>
      </c>
      <c r="AM4" s="2">
        <v>135.3399</v>
      </c>
      <c r="AN4" s="2">
        <v>57.809339999999999</v>
      </c>
      <c r="AO4" s="2">
        <v>403.84514999999999</v>
      </c>
      <c r="AP4" s="2">
        <v>4.5853200000000003</v>
      </c>
      <c r="AQ4" s="2">
        <v>53919.957029999998</v>
      </c>
      <c r="AR4" s="2">
        <v>5.6502299999999996</v>
      </c>
      <c r="AS4" s="2">
        <v>2213.7392679999998</v>
      </c>
    </row>
    <row r="5" spans="1:45">
      <c r="A5">
        <v>7422</v>
      </c>
      <c r="B5" t="s">
        <v>156</v>
      </c>
      <c r="C5">
        <v>11</v>
      </c>
      <c r="D5" t="s">
        <v>7</v>
      </c>
      <c r="E5" t="s">
        <v>158</v>
      </c>
      <c r="F5">
        <v>33887</v>
      </c>
      <c r="G5">
        <v>33875</v>
      </c>
      <c r="H5">
        <v>2</v>
      </c>
      <c r="I5">
        <v>0.44825999999999999</v>
      </c>
      <c r="J5">
        <v>3</v>
      </c>
      <c r="K5">
        <v>4</v>
      </c>
      <c r="L5">
        <v>100800</v>
      </c>
      <c r="M5">
        <v>64.91</v>
      </c>
      <c r="N5">
        <v>0.41435</v>
      </c>
      <c r="O5">
        <v>65</v>
      </c>
      <c r="P5">
        <v>16378.816409999999</v>
      </c>
      <c r="Q5">
        <v>0.75133000000000005</v>
      </c>
      <c r="R5">
        <v>0.97492999999999996</v>
      </c>
      <c r="S5">
        <v>16378.816409999999</v>
      </c>
      <c r="T5" s="72">
        <v>50.74</v>
      </c>
      <c r="U5">
        <v>0.53007000000000004</v>
      </c>
      <c r="V5">
        <v>17891.511719999999</v>
      </c>
      <c r="W5">
        <v>0.53844999999999998</v>
      </c>
      <c r="X5">
        <v>0.70998000000000006</v>
      </c>
      <c r="Y5">
        <v>17891.511719999999</v>
      </c>
      <c r="Z5" s="72">
        <v>58.43</v>
      </c>
      <c r="AA5">
        <v>0.46029999999999999</v>
      </c>
      <c r="AB5">
        <v>10699.777340000001</v>
      </c>
      <c r="AC5">
        <v>0.62963999999999998</v>
      </c>
      <c r="AD5">
        <v>0.84919</v>
      </c>
      <c r="AE5">
        <v>10699.777340000001</v>
      </c>
      <c r="AF5" s="72">
        <v>54.5</v>
      </c>
      <c r="AG5">
        <v>0.49349999999999999</v>
      </c>
      <c r="AH5">
        <v>53919.957029999998</v>
      </c>
      <c r="AI5">
        <v>24170.160159999999</v>
      </c>
      <c r="AJ5">
        <v>278.733</v>
      </c>
      <c r="AK5">
        <v>88.005179999999996</v>
      </c>
      <c r="AL5">
        <v>137.25908999999999</v>
      </c>
      <c r="AM5">
        <v>144.69784999999999</v>
      </c>
      <c r="AN5">
        <v>61.8065</v>
      </c>
      <c r="AO5">
        <v>431.76862</v>
      </c>
      <c r="AP5">
        <v>4.9023700000000003</v>
      </c>
      <c r="AQ5">
        <v>53919.957029999998</v>
      </c>
      <c r="AR5">
        <v>6.0409100000000002</v>
      </c>
      <c r="AS5">
        <v>2366.8216480000001</v>
      </c>
    </row>
    <row r="7" spans="1:45">
      <c r="A7" s="6" t="s">
        <v>161</v>
      </c>
      <c r="B7" s="7" t="s">
        <v>7</v>
      </c>
      <c r="C7" s="8" t="s">
        <v>159</v>
      </c>
      <c r="D7" s="8"/>
      <c r="E7" s="9" t="s">
        <v>160</v>
      </c>
      <c r="F7" s="9"/>
      <c r="G7" s="9"/>
      <c r="H7" s="9"/>
    </row>
    <row r="9" spans="1:45">
      <c r="A9" s="2" t="s">
        <v>163</v>
      </c>
      <c r="B9" s="2" t="s">
        <v>164</v>
      </c>
      <c r="C9" s="2" t="s">
        <v>115</v>
      </c>
      <c r="D9" s="2" t="s">
        <v>165</v>
      </c>
      <c r="E9" s="2" t="s">
        <v>166</v>
      </c>
      <c r="F9" s="2" t="s">
        <v>116</v>
      </c>
      <c r="G9" s="2" t="s">
        <v>117</v>
      </c>
      <c r="H9" s="2" t="s">
        <v>118</v>
      </c>
      <c r="I9" s="2" t="s">
        <v>119</v>
      </c>
      <c r="J9" s="2" t="s">
        <v>120</v>
      </c>
      <c r="K9" s="2" t="s">
        <v>121</v>
      </c>
      <c r="L9" s="2" t="s">
        <v>122</v>
      </c>
      <c r="M9" s="2" t="s">
        <v>6</v>
      </c>
      <c r="N9" s="2" t="s">
        <v>123</v>
      </c>
      <c r="O9" s="2" t="s">
        <v>124</v>
      </c>
      <c r="P9" s="2" t="s">
        <v>125</v>
      </c>
      <c r="Q9" s="2" t="s">
        <v>126</v>
      </c>
      <c r="R9" s="2" t="s">
        <v>127</v>
      </c>
      <c r="S9" s="2" t="s">
        <v>128</v>
      </c>
      <c r="T9" s="2" t="s">
        <v>129</v>
      </c>
      <c r="U9" s="2" t="s">
        <v>130</v>
      </c>
      <c r="V9" s="2" t="s">
        <v>131</v>
      </c>
      <c r="W9" s="2" t="s">
        <v>132</v>
      </c>
      <c r="X9" s="2" t="s">
        <v>133</v>
      </c>
      <c r="Y9" s="2" t="s">
        <v>134</v>
      </c>
      <c r="Z9" s="2" t="s">
        <v>135</v>
      </c>
      <c r="AA9" s="2" t="s">
        <v>136</v>
      </c>
      <c r="AB9" s="2" t="s">
        <v>137</v>
      </c>
      <c r="AC9" s="2" t="s">
        <v>138</v>
      </c>
      <c r="AD9" s="2" t="s">
        <v>139</v>
      </c>
      <c r="AE9" s="2" t="s">
        <v>140</v>
      </c>
      <c r="AF9" s="2" t="s">
        <v>141</v>
      </c>
      <c r="AG9" s="2" t="s">
        <v>142</v>
      </c>
      <c r="AH9" s="2" t="s">
        <v>143</v>
      </c>
      <c r="AI9" s="2" t="s">
        <v>144</v>
      </c>
      <c r="AJ9" s="2" t="s">
        <v>145</v>
      </c>
      <c r="AK9" s="2" t="s">
        <v>147</v>
      </c>
      <c r="AL9" s="2" t="s">
        <v>148</v>
      </c>
      <c r="AM9" s="2" t="s">
        <v>149</v>
      </c>
      <c r="AN9" s="2" t="s">
        <v>150</v>
      </c>
      <c r="AO9" s="2" t="s">
        <v>151</v>
      </c>
      <c r="AP9" s="2" t="s">
        <v>153</v>
      </c>
      <c r="AQ9" s="2"/>
      <c r="AR9" s="2"/>
      <c r="AS9" s="2"/>
    </row>
    <row r="10" spans="1:45">
      <c r="A10" s="2">
        <v>7561</v>
      </c>
      <c r="B10" s="2" t="s">
        <v>156</v>
      </c>
      <c r="C10" s="2" t="s">
        <v>7</v>
      </c>
      <c r="D10" s="2">
        <v>18022</v>
      </c>
      <c r="E10" s="2">
        <v>0</v>
      </c>
      <c r="F10" s="2" t="s">
        <v>157</v>
      </c>
      <c r="G10" s="2">
        <v>26100</v>
      </c>
      <c r="H10" s="2">
        <v>33887</v>
      </c>
      <c r="I10" s="2">
        <v>3</v>
      </c>
      <c r="J10" s="2">
        <v>0.41926999999999998</v>
      </c>
      <c r="K10" s="2">
        <v>3</v>
      </c>
      <c r="L10" s="2">
        <v>4</v>
      </c>
      <c r="M10" s="2">
        <v>151200</v>
      </c>
      <c r="N10" s="2">
        <v>64.91</v>
      </c>
      <c r="O10" s="2">
        <v>0.38756000000000002</v>
      </c>
      <c r="P10" s="2">
        <v>65</v>
      </c>
      <c r="Q10" s="2">
        <v>25171.921880000002</v>
      </c>
      <c r="R10" s="2">
        <v>0.72907999999999995</v>
      </c>
      <c r="S10" s="2">
        <v>0.99888999999999994</v>
      </c>
      <c r="T10" s="11">
        <v>25171.921880000002</v>
      </c>
      <c r="U10" s="2">
        <v>50.03</v>
      </c>
      <c r="V10" s="2">
        <v>0.50282000000000004</v>
      </c>
      <c r="W10" s="2">
        <v>29078.5</v>
      </c>
      <c r="X10" s="2">
        <v>0.53534999999999999</v>
      </c>
      <c r="Y10" s="2">
        <v>0.76927000000000001</v>
      </c>
      <c r="Z10" s="11">
        <v>29078.5</v>
      </c>
      <c r="AA10" s="2">
        <v>56.82</v>
      </c>
      <c r="AB10" s="2">
        <v>0.44273000000000001</v>
      </c>
      <c r="AC10" s="2">
        <v>17399.509770000001</v>
      </c>
      <c r="AD10" s="2">
        <v>0.64875000000000005</v>
      </c>
      <c r="AE10" s="2">
        <v>0.92061000000000004</v>
      </c>
      <c r="AF10" s="11">
        <v>17399.509770000001</v>
      </c>
      <c r="AG10" s="2">
        <v>52.36</v>
      </c>
      <c r="AH10" s="2">
        <v>0.48044999999999999</v>
      </c>
      <c r="AI10" s="2">
        <v>85161.820309999996</v>
      </c>
      <c r="AJ10" s="2">
        <v>35705.796880000002</v>
      </c>
      <c r="AK10" s="2">
        <v>139.32568000000001</v>
      </c>
      <c r="AL10" s="2">
        <v>214.56781000000001</v>
      </c>
      <c r="AM10" s="2">
        <v>210.95007000000001</v>
      </c>
      <c r="AN10" s="2">
        <v>87.276700000000005</v>
      </c>
      <c r="AO10" s="2">
        <v>652.12023999999997</v>
      </c>
      <c r="AP10" s="2">
        <v>85161.820309999996</v>
      </c>
      <c r="AQ10" s="2"/>
      <c r="AR10" s="2"/>
      <c r="AS10" s="2"/>
    </row>
    <row r="11" spans="1:45">
      <c r="A11">
        <v>7574</v>
      </c>
      <c r="B11" t="s">
        <v>156</v>
      </c>
      <c r="C11" t="s">
        <v>7</v>
      </c>
      <c r="D11">
        <v>18022</v>
      </c>
      <c r="E11">
        <v>0</v>
      </c>
      <c r="F11" t="s">
        <v>158</v>
      </c>
      <c r="G11">
        <v>33887</v>
      </c>
      <c r="H11">
        <v>33875</v>
      </c>
      <c r="I11">
        <v>3</v>
      </c>
      <c r="J11">
        <v>0.44825999999999999</v>
      </c>
      <c r="K11">
        <v>3</v>
      </c>
      <c r="L11">
        <v>4</v>
      </c>
      <c r="M11">
        <v>151200</v>
      </c>
      <c r="N11">
        <v>64.91</v>
      </c>
      <c r="O11">
        <v>0.41435</v>
      </c>
      <c r="P11">
        <v>65</v>
      </c>
      <c r="Q11">
        <v>25171.921880000002</v>
      </c>
      <c r="R11">
        <v>0.77949000000000002</v>
      </c>
      <c r="S11">
        <v>0.99888999999999994</v>
      </c>
      <c r="T11" s="72">
        <v>25171.921880000002</v>
      </c>
      <c r="U11">
        <v>50.03</v>
      </c>
      <c r="V11">
        <v>0.53759000000000001</v>
      </c>
      <c r="W11">
        <v>29078.5</v>
      </c>
      <c r="X11">
        <v>0.57237000000000005</v>
      </c>
      <c r="Y11">
        <v>0.76927000000000001</v>
      </c>
      <c r="Z11" s="72">
        <v>29078.5</v>
      </c>
      <c r="AA11">
        <v>56.82</v>
      </c>
      <c r="AB11">
        <v>0.47334999999999999</v>
      </c>
      <c r="AC11">
        <v>17399.509770000001</v>
      </c>
      <c r="AD11">
        <v>0.69359999999999999</v>
      </c>
      <c r="AE11">
        <v>0.92061000000000004</v>
      </c>
      <c r="AF11" s="72">
        <v>17399.509770000001</v>
      </c>
      <c r="AG11">
        <v>52.36</v>
      </c>
      <c r="AH11">
        <v>0.51366999999999996</v>
      </c>
      <c r="AI11">
        <v>85161.820309999996</v>
      </c>
      <c r="AJ11">
        <v>38174.640630000002</v>
      </c>
      <c r="AK11">
        <v>148.95921000000001</v>
      </c>
      <c r="AL11">
        <v>229.40387999999999</v>
      </c>
      <c r="AM11">
        <v>225.53598</v>
      </c>
      <c r="AN11">
        <v>93.311359999999993</v>
      </c>
      <c r="AO11">
        <v>697.21045000000004</v>
      </c>
      <c r="AP11">
        <v>85161.820309999996</v>
      </c>
    </row>
    <row r="13" spans="1:45">
      <c r="A13" s="6" t="s">
        <v>162</v>
      </c>
      <c r="B13" s="7" t="s">
        <v>7</v>
      </c>
      <c r="C13" s="8" t="s">
        <v>159</v>
      </c>
      <c r="D13" s="8"/>
      <c r="E13" s="9" t="s">
        <v>160</v>
      </c>
      <c r="F13" s="9"/>
      <c r="G13" s="9"/>
      <c r="H13" s="9"/>
    </row>
    <row r="15" spans="1:45">
      <c r="A15" s="2" t="s">
        <v>163</v>
      </c>
      <c r="B15" s="2" t="s">
        <v>164</v>
      </c>
      <c r="C15" s="2" t="s">
        <v>115</v>
      </c>
      <c r="D15" s="2" t="s">
        <v>165</v>
      </c>
      <c r="E15" s="2" t="s">
        <v>166</v>
      </c>
      <c r="F15" s="2" t="s">
        <v>116</v>
      </c>
      <c r="G15" s="2" t="s">
        <v>117</v>
      </c>
      <c r="H15" s="2" t="s">
        <v>118</v>
      </c>
      <c r="I15" s="2" t="s">
        <v>119</v>
      </c>
      <c r="J15" s="2" t="s">
        <v>120</v>
      </c>
      <c r="K15" s="2" t="s">
        <v>121</v>
      </c>
      <c r="L15" s="2" t="s">
        <v>122</v>
      </c>
      <c r="M15" s="2" t="s">
        <v>6</v>
      </c>
      <c r="N15" s="2" t="s">
        <v>123</v>
      </c>
      <c r="O15" s="2" t="s">
        <v>124</v>
      </c>
      <c r="P15" s="2" t="s">
        <v>125</v>
      </c>
      <c r="Q15" s="2" t="s">
        <v>126</v>
      </c>
      <c r="R15" s="2" t="s">
        <v>127</v>
      </c>
      <c r="S15" s="2" t="s">
        <v>128</v>
      </c>
      <c r="T15" s="2" t="s">
        <v>129</v>
      </c>
      <c r="U15" s="2" t="s">
        <v>130</v>
      </c>
      <c r="V15" s="2" t="s">
        <v>131</v>
      </c>
      <c r="W15" s="2" t="s">
        <v>132</v>
      </c>
      <c r="X15" s="2" t="s">
        <v>133</v>
      </c>
      <c r="Y15" s="2" t="s">
        <v>134</v>
      </c>
      <c r="Z15" s="2" t="s">
        <v>135</v>
      </c>
      <c r="AA15" s="2" t="s">
        <v>136</v>
      </c>
      <c r="AB15" s="2" t="s">
        <v>137</v>
      </c>
      <c r="AC15" s="2" t="s">
        <v>138</v>
      </c>
      <c r="AD15" s="2" t="s">
        <v>139</v>
      </c>
      <c r="AE15" s="2" t="s">
        <v>140</v>
      </c>
      <c r="AF15" s="2" t="s">
        <v>141</v>
      </c>
      <c r="AG15" s="2" t="s">
        <v>142</v>
      </c>
      <c r="AH15" s="2" t="s">
        <v>143</v>
      </c>
      <c r="AI15" s="2" t="s">
        <v>144</v>
      </c>
      <c r="AJ15" s="2" t="s">
        <v>145</v>
      </c>
      <c r="AK15" s="2" t="s">
        <v>147</v>
      </c>
      <c r="AL15" s="2" t="s">
        <v>148</v>
      </c>
      <c r="AM15" s="2" t="s">
        <v>149</v>
      </c>
      <c r="AN15" s="2" t="s">
        <v>150</v>
      </c>
      <c r="AO15" s="2" t="s">
        <v>151</v>
      </c>
      <c r="AP15" s="2" t="s">
        <v>153</v>
      </c>
      <c r="AQ15" s="2"/>
      <c r="AR15" s="2"/>
      <c r="AS15" s="2"/>
    </row>
    <row r="16" spans="1:45">
      <c r="A16" s="2">
        <v>7566</v>
      </c>
      <c r="B16" s="2" t="s">
        <v>156</v>
      </c>
      <c r="C16" s="2" t="s">
        <v>7</v>
      </c>
      <c r="D16" s="2">
        <v>18022</v>
      </c>
      <c r="E16" s="2">
        <v>0</v>
      </c>
      <c r="F16" s="2" t="s">
        <v>157</v>
      </c>
      <c r="G16" s="2">
        <v>26100</v>
      </c>
      <c r="H16" s="2">
        <v>33887</v>
      </c>
      <c r="I16" s="2">
        <v>3</v>
      </c>
      <c r="J16" s="2">
        <v>0.41926999999999998</v>
      </c>
      <c r="K16" s="2">
        <v>3</v>
      </c>
      <c r="L16" s="2">
        <v>4</v>
      </c>
      <c r="M16" s="2">
        <v>151200</v>
      </c>
      <c r="N16" s="2">
        <v>64.92</v>
      </c>
      <c r="O16" s="2">
        <v>0.38750000000000001</v>
      </c>
      <c r="P16" s="2">
        <v>65</v>
      </c>
      <c r="Q16" s="2">
        <v>24437.4375</v>
      </c>
      <c r="R16" s="2">
        <v>0.69723999999999997</v>
      </c>
      <c r="S16" s="2">
        <v>0.96974000000000005</v>
      </c>
      <c r="T16" s="2">
        <v>24437.4375</v>
      </c>
      <c r="U16" s="2">
        <v>50.89</v>
      </c>
      <c r="V16" s="2">
        <v>0.49432999999999999</v>
      </c>
      <c r="W16" s="2">
        <v>28314.26367</v>
      </c>
      <c r="X16" s="2">
        <v>0.52381999999999995</v>
      </c>
      <c r="Y16" s="2">
        <v>0.74904999999999999</v>
      </c>
      <c r="Z16" s="2">
        <v>28314.26367</v>
      </c>
      <c r="AA16" s="2">
        <v>57.39</v>
      </c>
      <c r="AB16" s="2">
        <v>0.43834000000000001</v>
      </c>
      <c r="AC16" s="2">
        <v>16929.353520000001</v>
      </c>
      <c r="AD16" s="2">
        <v>0.62653000000000003</v>
      </c>
      <c r="AE16" s="2">
        <v>0.89573000000000003</v>
      </c>
      <c r="AF16" s="2">
        <v>16929.353520000001</v>
      </c>
      <c r="AG16" s="2">
        <v>53.11</v>
      </c>
      <c r="AH16" s="2">
        <v>0.47366000000000003</v>
      </c>
      <c r="AI16" s="2">
        <v>82881.78125</v>
      </c>
      <c r="AJ16" s="2">
        <v>34749.84375</v>
      </c>
      <c r="AK16" s="2">
        <v>133.64659</v>
      </c>
      <c r="AL16" s="2">
        <v>206.8535</v>
      </c>
      <c r="AM16" s="2">
        <v>201.33394000000001</v>
      </c>
      <c r="AN16" s="2">
        <v>85.253649999999993</v>
      </c>
      <c r="AO16" s="2">
        <v>627.08771000000002</v>
      </c>
      <c r="AP16" s="2">
        <v>82881.78125</v>
      </c>
      <c r="AQ16" s="2"/>
      <c r="AR16" s="2"/>
      <c r="AS16" s="2"/>
    </row>
    <row r="17" spans="1:45">
      <c r="A17" s="2">
        <v>7579</v>
      </c>
      <c r="B17" s="2" t="s">
        <v>156</v>
      </c>
      <c r="C17" s="2" t="s">
        <v>7</v>
      </c>
      <c r="D17" s="2">
        <v>18022</v>
      </c>
      <c r="E17" s="2">
        <v>0</v>
      </c>
      <c r="F17" s="2" t="s">
        <v>158</v>
      </c>
      <c r="G17" s="2">
        <v>33887</v>
      </c>
      <c r="H17" s="2">
        <v>33875</v>
      </c>
      <c r="I17" s="2">
        <v>3</v>
      </c>
      <c r="J17" s="2">
        <v>0.44825999999999999</v>
      </c>
      <c r="K17" s="2">
        <v>3</v>
      </c>
      <c r="L17" s="2">
        <v>4</v>
      </c>
      <c r="M17" s="2">
        <v>151200</v>
      </c>
      <c r="N17" s="2">
        <v>64.92</v>
      </c>
      <c r="O17" s="2">
        <v>0.41428999999999999</v>
      </c>
      <c r="P17" s="2">
        <v>65</v>
      </c>
      <c r="Q17" s="2">
        <v>24437.4375</v>
      </c>
      <c r="R17" s="2">
        <v>0.74544999999999995</v>
      </c>
      <c r="S17" s="2">
        <v>0.96974000000000005</v>
      </c>
      <c r="T17" s="2">
        <v>24437.4375</v>
      </c>
      <c r="U17" s="2">
        <v>50.89</v>
      </c>
      <c r="V17" s="2">
        <v>0.52849999999999997</v>
      </c>
      <c r="W17" s="2">
        <v>28314.26367</v>
      </c>
      <c r="X17" s="2">
        <v>0.56003000000000003</v>
      </c>
      <c r="Y17" s="2">
        <v>0.74904999999999999</v>
      </c>
      <c r="Z17" s="2">
        <v>28314.26367</v>
      </c>
      <c r="AA17" s="2">
        <v>57.39</v>
      </c>
      <c r="AB17" s="2">
        <v>0.46865000000000001</v>
      </c>
      <c r="AC17" s="2">
        <v>16929.353520000001</v>
      </c>
      <c r="AD17" s="2">
        <v>0.66984999999999995</v>
      </c>
      <c r="AE17" s="2">
        <v>0.89573000000000003</v>
      </c>
      <c r="AF17" s="2">
        <v>16929.353520000001</v>
      </c>
      <c r="AG17" s="2">
        <v>53.11</v>
      </c>
      <c r="AH17" s="2">
        <v>0.50641000000000003</v>
      </c>
      <c r="AI17" s="2">
        <v>82881.78125</v>
      </c>
      <c r="AJ17" s="2">
        <v>37152.585939999997</v>
      </c>
      <c r="AK17" s="2">
        <v>142.88744</v>
      </c>
      <c r="AL17" s="2">
        <v>221.15616</v>
      </c>
      <c r="AM17" s="2">
        <v>215.25496999999999</v>
      </c>
      <c r="AN17" s="2">
        <v>91.148430000000005</v>
      </c>
      <c r="AO17" s="2">
        <v>670.44701999999995</v>
      </c>
      <c r="AP17" s="2">
        <v>82881.78125</v>
      </c>
      <c r="AQ17" s="2"/>
      <c r="AR17" s="2"/>
      <c r="AS17" s="2"/>
    </row>
    <row r="21" spans="1:45">
      <c r="A21" s="6">
        <v>2023</v>
      </c>
      <c r="B21" s="7" t="s">
        <v>7</v>
      </c>
      <c r="C21" s="8" t="s">
        <v>86</v>
      </c>
      <c r="D21" s="8"/>
      <c r="E21" s="9" t="s">
        <v>160</v>
      </c>
      <c r="F21" s="9"/>
      <c r="G21" s="9"/>
      <c r="H21" s="9"/>
    </row>
    <row r="22" spans="1:45">
      <c r="A22" s="5"/>
    </row>
    <row r="23" spans="1:4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</row>
    <row r="24" spans="1:4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6" spans="1:45">
      <c r="A26" s="6">
        <v>2045</v>
      </c>
      <c r="B26" s="7" t="s">
        <v>7</v>
      </c>
      <c r="C26" s="8" t="s">
        <v>86</v>
      </c>
      <c r="D26" s="8"/>
      <c r="E26" s="9" t="s">
        <v>160</v>
      </c>
      <c r="F26" s="9"/>
      <c r="G26" s="9"/>
      <c r="H26" s="9"/>
    </row>
    <row r="28" spans="1:45">
      <c r="A28" s="2" t="s">
        <v>163</v>
      </c>
      <c r="B28" s="2" t="s">
        <v>164</v>
      </c>
      <c r="C28" s="2" t="s">
        <v>115</v>
      </c>
      <c r="D28" s="2" t="s">
        <v>165</v>
      </c>
      <c r="E28" s="2" t="s">
        <v>166</v>
      </c>
      <c r="F28" s="2" t="s">
        <v>116</v>
      </c>
      <c r="G28" s="2" t="s">
        <v>117</v>
      </c>
      <c r="H28" s="2" t="s">
        <v>118</v>
      </c>
      <c r="I28" s="2" t="s">
        <v>119</v>
      </c>
      <c r="J28" s="2" t="s">
        <v>120</v>
      </c>
      <c r="K28" s="2" t="s">
        <v>121</v>
      </c>
      <c r="L28" s="2" t="s">
        <v>122</v>
      </c>
      <c r="M28" s="2" t="s">
        <v>6</v>
      </c>
      <c r="N28" s="2" t="s">
        <v>123</v>
      </c>
      <c r="O28" s="2" t="s">
        <v>124</v>
      </c>
      <c r="P28" s="2" t="s">
        <v>125</v>
      </c>
      <c r="Q28" s="2" t="s">
        <v>126</v>
      </c>
      <c r="R28" s="2" t="s">
        <v>127</v>
      </c>
      <c r="S28" s="2" t="s">
        <v>128</v>
      </c>
      <c r="T28" s="2" t="s">
        <v>129</v>
      </c>
      <c r="U28" s="2" t="s">
        <v>130</v>
      </c>
      <c r="V28" s="2" t="s">
        <v>131</v>
      </c>
      <c r="W28" s="2" t="s">
        <v>132</v>
      </c>
      <c r="X28" s="2" t="s">
        <v>133</v>
      </c>
      <c r="Y28" s="2" t="s">
        <v>134</v>
      </c>
      <c r="Z28" s="2" t="s">
        <v>135</v>
      </c>
      <c r="AA28" s="2" t="s">
        <v>136</v>
      </c>
      <c r="AB28" s="2" t="s">
        <v>137</v>
      </c>
      <c r="AC28" s="2" t="s">
        <v>138</v>
      </c>
      <c r="AD28" s="2" t="s">
        <v>139</v>
      </c>
      <c r="AE28" s="2" t="s">
        <v>140</v>
      </c>
      <c r="AF28" s="2" t="s">
        <v>141</v>
      </c>
      <c r="AG28" s="2" t="s">
        <v>142</v>
      </c>
      <c r="AH28" s="2" t="s">
        <v>143</v>
      </c>
      <c r="AI28" s="2" t="s">
        <v>144</v>
      </c>
      <c r="AJ28" s="2" t="s">
        <v>145</v>
      </c>
      <c r="AK28" s="2" t="s">
        <v>147</v>
      </c>
      <c r="AL28" s="2" t="s">
        <v>148</v>
      </c>
      <c r="AM28" s="2" t="s">
        <v>149</v>
      </c>
      <c r="AN28" s="2" t="s">
        <v>150</v>
      </c>
      <c r="AO28" s="2" t="s">
        <v>151</v>
      </c>
      <c r="AP28" s="2" t="s">
        <v>153</v>
      </c>
      <c r="AQ28" s="2"/>
      <c r="AR28" s="2"/>
      <c r="AS28" s="2"/>
    </row>
    <row r="29" spans="1:45">
      <c r="A29" s="2">
        <v>45905</v>
      </c>
      <c r="B29" s="2" t="s">
        <v>156</v>
      </c>
      <c r="C29" s="2" t="s">
        <v>167</v>
      </c>
      <c r="D29" s="2">
        <v>0</v>
      </c>
      <c r="E29" s="2">
        <v>0</v>
      </c>
      <c r="F29" s="2" t="s">
        <v>168</v>
      </c>
      <c r="G29" s="2">
        <v>33881</v>
      </c>
      <c r="H29" s="2">
        <v>41830</v>
      </c>
      <c r="I29" s="2">
        <v>2</v>
      </c>
      <c r="J29" s="2">
        <v>0.23477999999999999</v>
      </c>
      <c r="K29" s="2">
        <v>50</v>
      </c>
      <c r="L29" s="2">
        <v>3</v>
      </c>
      <c r="M29" s="2">
        <v>37752</v>
      </c>
      <c r="N29" s="2">
        <v>32.15</v>
      </c>
      <c r="O29" s="2">
        <v>0.43817</v>
      </c>
      <c r="P29" s="2">
        <v>38.25</v>
      </c>
      <c r="Q29" s="2">
        <v>2844.1362300000001</v>
      </c>
      <c r="R29" s="2">
        <v>0.37186000000000002</v>
      </c>
      <c r="S29" s="2">
        <v>0.45201999999999998</v>
      </c>
      <c r="T29" s="2">
        <v>2844.1362300000001</v>
      </c>
      <c r="U29" s="2">
        <v>30.74</v>
      </c>
      <c r="V29" s="2">
        <v>0.45826</v>
      </c>
      <c r="W29" s="2">
        <v>1791.6501499999999</v>
      </c>
      <c r="X29" s="2">
        <v>0.35311999999999999</v>
      </c>
      <c r="Y29" s="2">
        <v>0.18983</v>
      </c>
      <c r="Z29" s="2">
        <v>1791.6501499999999</v>
      </c>
      <c r="AA29" s="2">
        <v>31.73</v>
      </c>
      <c r="AB29" s="2">
        <v>0.44396999999999998</v>
      </c>
      <c r="AC29" s="2">
        <v>1383.66968</v>
      </c>
      <c r="AD29" s="2">
        <v>0.35649999999999998</v>
      </c>
      <c r="AE29" s="2">
        <v>0.29321000000000003</v>
      </c>
      <c r="AF29" s="2">
        <v>1383.66968</v>
      </c>
      <c r="AG29" s="2">
        <v>31.4</v>
      </c>
      <c r="AH29" s="2">
        <v>0.44862999999999997</v>
      </c>
      <c r="AI29" s="2">
        <v>6458.5561500000003</v>
      </c>
      <c r="AJ29" s="2">
        <v>1516.36401</v>
      </c>
      <c r="AK29" s="2">
        <v>10.34596</v>
      </c>
      <c r="AL29" s="2">
        <v>13.25718</v>
      </c>
      <c r="AM29" s="2">
        <v>21.722740000000002</v>
      </c>
      <c r="AN29" s="2">
        <v>3.2066400000000002</v>
      </c>
      <c r="AO29" s="2">
        <v>48.532519999999998</v>
      </c>
      <c r="AP29" s="2">
        <v>6458.5561500000003</v>
      </c>
      <c r="AQ29" s="2"/>
      <c r="AR29" s="2"/>
      <c r="AS29" s="2"/>
    </row>
    <row r="30" spans="1:45">
      <c r="A30">
        <v>45909</v>
      </c>
      <c r="B30" t="s">
        <v>156</v>
      </c>
      <c r="C30" t="s">
        <v>167</v>
      </c>
      <c r="D30">
        <v>0</v>
      </c>
      <c r="E30">
        <v>0</v>
      </c>
      <c r="F30" t="s">
        <v>169</v>
      </c>
      <c r="G30">
        <v>41830</v>
      </c>
      <c r="H30">
        <v>41832</v>
      </c>
      <c r="I30">
        <v>2</v>
      </c>
      <c r="J30">
        <v>0.62934000000000001</v>
      </c>
      <c r="K30">
        <v>50</v>
      </c>
      <c r="L30">
        <v>3</v>
      </c>
      <c r="M30">
        <v>37752</v>
      </c>
      <c r="N30">
        <v>35.86</v>
      </c>
      <c r="O30">
        <v>1.0529900000000001</v>
      </c>
      <c r="P30">
        <v>38.25</v>
      </c>
      <c r="Q30">
        <v>2844.1362300000001</v>
      </c>
      <c r="R30">
        <v>0.99675999999999998</v>
      </c>
      <c r="S30">
        <v>0.45201999999999998</v>
      </c>
      <c r="T30">
        <v>2844.1362300000001</v>
      </c>
      <c r="U30">
        <v>35.15</v>
      </c>
      <c r="V30">
        <v>1.07426</v>
      </c>
      <c r="W30">
        <v>1791.6501499999999</v>
      </c>
      <c r="X30">
        <v>0.94654000000000005</v>
      </c>
      <c r="Y30">
        <v>0.18983</v>
      </c>
      <c r="Z30">
        <v>1791.6501499999999</v>
      </c>
      <c r="AA30">
        <v>35.65</v>
      </c>
      <c r="AB30">
        <v>1.0591900000000001</v>
      </c>
      <c r="AC30">
        <v>1383.66968</v>
      </c>
      <c r="AD30">
        <v>0.9556</v>
      </c>
      <c r="AE30">
        <v>0.29321000000000003</v>
      </c>
      <c r="AF30">
        <v>1383.66968</v>
      </c>
      <c r="AG30">
        <v>35.49</v>
      </c>
      <c r="AH30">
        <v>1.0639700000000001</v>
      </c>
      <c r="AI30">
        <v>6458.5561500000003</v>
      </c>
      <c r="AJ30">
        <v>4064.6159699999998</v>
      </c>
      <c r="AK30">
        <v>24.536380000000001</v>
      </c>
      <c r="AL30">
        <v>31.628440000000001</v>
      </c>
      <c r="AM30">
        <v>50.922429999999999</v>
      </c>
      <c r="AN30">
        <v>7.7061500000000001</v>
      </c>
      <c r="AO30">
        <v>114.79340000000001</v>
      </c>
      <c r="AP30">
        <v>6458.5561500000003</v>
      </c>
    </row>
    <row r="31" spans="1:45">
      <c r="A31">
        <v>45911</v>
      </c>
      <c r="B31" t="s">
        <v>156</v>
      </c>
      <c r="C31" t="s">
        <v>167</v>
      </c>
      <c r="D31">
        <v>0</v>
      </c>
      <c r="E31">
        <v>0</v>
      </c>
      <c r="F31" t="s">
        <v>170</v>
      </c>
      <c r="G31">
        <v>41832</v>
      </c>
      <c r="H31">
        <v>33876</v>
      </c>
      <c r="I31">
        <v>2</v>
      </c>
      <c r="J31">
        <v>0.497</v>
      </c>
      <c r="K31">
        <v>50</v>
      </c>
      <c r="L31">
        <v>3</v>
      </c>
      <c r="M31">
        <v>37752</v>
      </c>
      <c r="N31">
        <v>35.28</v>
      </c>
      <c r="O31">
        <v>0.84523999999999999</v>
      </c>
      <c r="P31">
        <v>38.25</v>
      </c>
      <c r="Q31">
        <v>2951.8811000000001</v>
      </c>
      <c r="R31">
        <v>0.79295000000000004</v>
      </c>
      <c r="S31">
        <v>0.46915000000000001</v>
      </c>
      <c r="T31">
        <v>2951.8811000000001</v>
      </c>
      <c r="U31">
        <v>34.36</v>
      </c>
      <c r="V31">
        <v>0.86787000000000003</v>
      </c>
      <c r="W31">
        <v>1850.96875</v>
      </c>
      <c r="X31">
        <v>0.74773999999999996</v>
      </c>
      <c r="Y31">
        <v>0.19611999999999999</v>
      </c>
      <c r="Z31">
        <v>1850.96875</v>
      </c>
      <c r="AA31">
        <v>35.020000000000003</v>
      </c>
      <c r="AB31">
        <v>0.85150999999999999</v>
      </c>
      <c r="AC31">
        <v>1365.30908</v>
      </c>
      <c r="AD31">
        <v>0.75424000000000002</v>
      </c>
      <c r="AE31">
        <v>0.28932000000000002</v>
      </c>
      <c r="AF31">
        <v>1365.30908</v>
      </c>
      <c r="AG31">
        <v>34.840000000000003</v>
      </c>
      <c r="AH31">
        <v>0.85590999999999995</v>
      </c>
      <c r="AI31">
        <v>6669.4160199999997</v>
      </c>
      <c r="AJ31">
        <v>3314.69751</v>
      </c>
      <c r="AK31">
        <v>19.476410000000001</v>
      </c>
      <c r="AL31">
        <v>26.268730000000001</v>
      </c>
      <c r="AM31">
        <v>42.69744</v>
      </c>
      <c r="AN31">
        <v>7.0613599999999996</v>
      </c>
      <c r="AO31">
        <v>95.503929999999997</v>
      </c>
      <c r="AP31">
        <v>6669.4160199999997</v>
      </c>
    </row>
    <row r="32" spans="1:45">
      <c r="S32">
        <f>AVERAGE(S29:S31)</f>
        <v>0.45772999999999997</v>
      </c>
      <c r="U32">
        <f>AVERAGE(U29:U31)</f>
        <v>33.416666666666664</v>
      </c>
      <c r="AA32">
        <f>AVERAGE(AA29:AA31)</f>
        <v>34.133333333333333</v>
      </c>
      <c r="AG32">
        <f>AVERAGE(AG29:AG31)</f>
        <v>33.910000000000004</v>
      </c>
      <c r="AP32">
        <f>AVERAGE(AP29:AP31)</f>
        <v>6528.8427733333338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85D1E-7811-45C5-A2DA-2ACDCB96C395}">
  <dimension ref="A1:D49"/>
  <sheetViews>
    <sheetView workbookViewId="0">
      <selection activeCell="E52" sqref="E52"/>
    </sheetView>
  </sheetViews>
  <sheetFormatPr defaultRowHeight="15"/>
  <cols>
    <col min="1" max="1" width="27.5703125" customWidth="1"/>
    <col min="2" max="3" width="9.28515625" bestFit="1" customWidth="1"/>
    <col min="4" max="4" width="9.5703125" bestFit="1" customWidth="1"/>
  </cols>
  <sheetData>
    <row r="1" spans="1:4">
      <c r="A1" s="112" t="s">
        <v>96</v>
      </c>
      <c r="B1" s="113"/>
      <c r="C1" s="113"/>
      <c r="D1" s="114"/>
    </row>
    <row r="2" spans="1:4">
      <c r="A2" s="31" t="s">
        <v>28</v>
      </c>
      <c r="B2" s="24" t="s">
        <v>27</v>
      </c>
      <c r="C2" s="24" t="s">
        <v>30</v>
      </c>
      <c r="D2" s="32" t="s">
        <v>26</v>
      </c>
    </row>
    <row r="3" spans="1:4">
      <c r="A3" s="18"/>
      <c r="B3" s="25"/>
      <c r="C3" s="22">
        <v>80917</v>
      </c>
      <c r="D3" s="33"/>
    </row>
    <row r="4" spans="1:4">
      <c r="A4" s="18"/>
      <c r="B4" s="22">
        <v>7001</v>
      </c>
      <c r="C4" s="22"/>
      <c r="D4" s="34">
        <v>5317</v>
      </c>
    </row>
    <row r="5" spans="1:4">
      <c r="A5" s="35" t="s">
        <v>94</v>
      </c>
      <c r="B5" s="23"/>
      <c r="C5" s="23">
        <f>C3-B4-D4</f>
        <v>68599</v>
      </c>
      <c r="D5" s="36"/>
    </row>
    <row r="6" spans="1:4">
      <c r="A6" s="18"/>
      <c r="B6" s="22">
        <v>5112</v>
      </c>
      <c r="C6" s="22"/>
      <c r="D6" s="34">
        <v>6485</v>
      </c>
    </row>
    <row r="7" spans="1:4">
      <c r="A7" s="18"/>
      <c r="B7" s="22"/>
      <c r="C7" s="37">
        <f>C5+B6+D6</f>
        <v>80196</v>
      </c>
      <c r="D7" s="34"/>
    </row>
    <row r="8" spans="1:4">
      <c r="A8" s="18"/>
      <c r="B8" s="22"/>
      <c r="C8" s="22"/>
      <c r="D8" s="34"/>
    </row>
    <row r="9" spans="1:4" ht="15.75" thickBot="1">
      <c r="A9" s="67" t="s">
        <v>95</v>
      </c>
      <c r="B9" s="68"/>
      <c r="C9" s="68"/>
      <c r="D9" s="69"/>
    </row>
    <row r="10" spans="1:4" ht="15.75" thickBot="1">
      <c r="B10" s="38"/>
      <c r="C10" s="38"/>
      <c r="D10" s="38"/>
    </row>
    <row r="11" spans="1:4">
      <c r="A11" s="112" t="s">
        <v>97</v>
      </c>
      <c r="B11" s="113"/>
      <c r="C11" s="113"/>
      <c r="D11" s="114"/>
    </row>
    <row r="12" spans="1:4">
      <c r="A12" s="31" t="s">
        <v>28</v>
      </c>
      <c r="B12" s="24" t="s">
        <v>27</v>
      </c>
      <c r="C12" s="24" t="s">
        <v>30</v>
      </c>
      <c r="D12" s="32" t="s">
        <v>26</v>
      </c>
    </row>
    <row r="13" spans="1:4">
      <c r="A13" s="18"/>
      <c r="B13" s="25"/>
      <c r="C13" s="22">
        <v>94887</v>
      </c>
      <c r="D13" s="33"/>
    </row>
    <row r="14" spans="1:4">
      <c r="A14" s="18"/>
      <c r="B14" s="22">
        <v>6906</v>
      </c>
      <c r="C14" s="22"/>
      <c r="D14" s="34">
        <v>5962</v>
      </c>
    </row>
    <row r="15" spans="1:4">
      <c r="A15" s="35" t="s">
        <v>94</v>
      </c>
      <c r="B15" s="23"/>
      <c r="C15" s="23">
        <f>C13-B14-D14</f>
        <v>82019</v>
      </c>
      <c r="D15" s="36"/>
    </row>
    <row r="16" spans="1:4">
      <c r="A16" s="18"/>
      <c r="B16" s="22">
        <v>5332</v>
      </c>
      <c r="C16" s="22"/>
      <c r="D16" s="34">
        <v>6467</v>
      </c>
    </row>
    <row r="17" spans="1:4">
      <c r="A17" s="18"/>
      <c r="B17" s="22"/>
      <c r="C17" s="37">
        <f>C15+B16+D16</f>
        <v>93818</v>
      </c>
      <c r="D17" s="34"/>
    </row>
    <row r="18" spans="1:4">
      <c r="A18" s="18"/>
      <c r="B18" s="22"/>
      <c r="C18" s="22"/>
      <c r="D18" s="34"/>
    </row>
    <row r="19" spans="1:4" ht="15.75" thickBot="1">
      <c r="A19" s="67" t="s">
        <v>95</v>
      </c>
      <c r="B19" s="68"/>
      <c r="C19" s="68"/>
      <c r="D19" s="69"/>
    </row>
    <row r="20" spans="1:4" ht="15.75" thickBot="1">
      <c r="B20" s="38"/>
      <c r="C20" s="38"/>
      <c r="D20" s="38"/>
    </row>
    <row r="21" spans="1:4">
      <c r="A21" s="112" t="s">
        <v>98</v>
      </c>
      <c r="B21" s="113"/>
      <c r="C21" s="113"/>
      <c r="D21" s="114"/>
    </row>
    <row r="22" spans="1:4">
      <c r="A22" s="31" t="s">
        <v>28</v>
      </c>
      <c r="B22" s="24" t="s">
        <v>27</v>
      </c>
      <c r="C22" s="24" t="s">
        <v>30</v>
      </c>
      <c r="D22" s="32" t="s">
        <v>26</v>
      </c>
    </row>
    <row r="23" spans="1:4">
      <c r="A23" s="18"/>
      <c r="B23" s="25"/>
      <c r="C23" s="22">
        <v>91238</v>
      </c>
      <c r="D23" s="33"/>
    </row>
    <row r="24" spans="1:4">
      <c r="A24" s="18"/>
      <c r="B24" s="22">
        <v>6864</v>
      </c>
      <c r="C24" s="22"/>
      <c r="D24" s="34">
        <v>5213</v>
      </c>
    </row>
    <row r="25" spans="1:4">
      <c r="A25" s="35" t="s">
        <v>94</v>
      </c>
      <c r="B25" s="23"/>
      <c r="C25" s="23">
        <f>C23-B24-D24</f>
        <v>79161</v>
      </c>
      <c r="D25" s="36"/>
    </row>
    <row r="26" spans="1:4">
      <c r="A26" s="18"/>
      <c r="B26" s="22">
        <v>5012</v>
      </c>
      <c r="C26" s="22"/>
      <c r="D26" s="34">
        <v>6358</v>
      </c>
    </row>
    <row r="27" spans="1:4">
      <c r="A27" s="18"/>
      <c r="B27" s="22"/>
      <c r="C27" s="37">
        <f>C25+B26+D26</f>
        <v>90531</v>
      </c>
      <c r="D27" s="34"/>
    </row>
    <row r="28" spans="1:4">
      <c r="A28" s="18"/>
      <c r="B28" s="22"/>
      <c r="C28" s="22"/>
      <c r="D28" s="34"/>
    </row>
    <row r="29" spans="1:4" ht="15.75" thickBot="1">
      <c r="A29" s="67" t="s">
        <v>95</v>
      </c>
      <c r="B29" s="68"/>
      <c r="C29" s="68"/>
      <c r="D29" s="69"/>
    </row>
    <row r="30" spans="1:4" ht="15.75" thickBot="1">
      <c r="B30" s="38"/>
      <c r="C30" s="38"/>
      <c r="D30" s="38"/>
    </row>
    <row r="31" spans="1:4">
      <c r="A31" s="112" t="s">
        <v>99</v>
      </c>
      <c r="B31" s="113"/>
      <c r="C31" s="113"/>
      <c r="D31" s="114"/>
    </row>
    <row r="32" spans="1:4">
      <c r="A32" s="31" t="s">
        <v>28</v>
      </c>
      <c r="B32" s="24" t="s">
        <v>27</v>
      </c>
      <c r="C32" s="24" t="s">
        <v>30</v>
      </c>
      <c r="D32" s="32" t="s">
        <v>26</v>
      </c>
    </row>
    <row r="33" spans="1:4">
      <c r="A33" s="18"/>
      <c r="B33" s="25"/>
      <c r="C33" s="22">
        <v>89516</v>
      </c>
      <c r="D33" s="33"/>
    </row>
    <row r="34" spans="1:4">
      <c r="A34" s="18"/>
      <c r="B34" s="22">
        <v>8151</v>
      </c>
      <c r="C34" s="22"/>
      <c r="D34" s="34">
        <v>7527</v>
      </c>
    </row>
    <row r="35" spans="1:4">
      <c r="A35" s="35" t="s">
        <v>94</v>
      </c>
      <c r="B35" s="23"/>
      <c r="C35" s="23">
        <f>C33-B34-D34</f>
        <v>73838</v>
      </c>
      <c r="D35" s="36"/>
    </row>
    <row r="36" spans="1:4">
      <c r="A36" s="18"/>
      <c r="B36" s="22">
        <v>7264</v>
      </c>
      <c r="C36" s="22"/>
      <c r="D36" s="34">
        <v>6789</v>
      </c>
    </row>
    <row r="37" spans="1:4">
      <c r="A37" s="18"/>
      <c r="B37" s="22"/>
      <c r="C37" s="37">
        <f>C35+B36+D36</f>
        <v>87891</v>
      </c>
      <c r="D37" s="34"/>
    </row>
    <row r="38" spans="1:4">
      <c r="A38" s="18"/>
      <c r="B38" s="22"/>
      <c r="C38" s="22"/>
      <c r="D38" s="34"/>
    </row>
    <row r="39" spans="1:4" ht="15.75" thickBot="1">
      <c r="A39" s="67" t="s">
        <v>95</v>
      </c>
      <c r="B39" s="68"/>
      <c r="C39" s="68"/>
      <c r="D39" s="69"/>
    </row>
    <row r="40" spans="1:4" ht="15.75" thickBot="1">
      <c r="A40" s="49"/>
      <c r="B40" s="49"/>
      <c r="C40" s="49"/>
      <c r="D40" s="49"/>
    </row>
    <row r="41" spans="1:4">
      <c r="A41" s="112" t="s">
        <v>100</v>
      </c>
      <c r="B41" s="113"/>
      <c r="C41" s="113"/>
      <c r="D41" s="114"/>
    </row>
    <row r="42" spans="1:4">
      <c r="A42" s="31" t="s">
        <v>28</v>
      </c>
      <c r="B42" s="24" t="s">
        <v>27</v>
      </c>
      <c r="C42" s="24" t="s">
        <v>30</v>
      </c>
      <c r="D42" s="32" t="s">
        <v>26</v>
      </c>
    </row>
    <row r="43" spans="1:4">
      <c r="A43" s="18"/>
      <c r="B43" s="25"/>
      <c r="C43" s="22">
        <v>87858</v>
      </c>
      <c r="D43" s="33"/>
    </row>
    <row r="44" spans="1:4">
      <c r="A44" s="18"/>
      <c r="B44" s="22">
        <v>8151</v>
      </c>
      <c r="C44" s="22"/>
      <c r="D44" s="34">
        <v>7527</v>
      </c>
    </row>
    <row r="45" spans="1:4">
      <c r="A45" s="35" t="s">
        <v>94</v>
      </c>
      <c r="B45" s="23"/>
      <c r="C45" s="23">
        <f>C43-B44-D44</f>
        <v>72180</v>
      </c>
      <c r="D45" s="36"/>
    </row>
    <row r="46" spans="1:4">
      <c r="A46" s="18"/>
      <c r="B46" s="22">
        <v>7264</v>
      </c>
      <c r="C46" s="22"/>
      <c r="D46" s="34">
        <v>6789</v>
      </c>
    </row>
    <row r="47" spans="1:4">
      <c r="A47" s="18"/>
      <c r="B47" s="22"/>
      <c r="C47" s="37">
        <f>C45+B46+D46</f>
        <v>86233</v>
      </c>
      <c r="D47" s="34"/>
    </row>
    <row r="48" spans="1:4">
      <c r="A48" s="18"/>
      <c r="B48" s="22"/>
      <c r="C48" s="22"/>
      <c r="D48" s="34"/>
    </row>
    <row r="49" spans="1:4" ht="15.75" thickBot="1">
      <c r="A49" s="67" t="s">
        <v>95</v>
      </c>
      <c r="B49" s="68"/>
      <c r="C49" s="68"/>
      <c r="D49" s="69"/>
    </row>
  </sheetData>
  <mergeCells count="5">
    <mergeCell ref="A41:D41"/>
    <mergeCell ref="A1:D1"/>
    <mergeCell ref="A11:D11"/>
    <mergeCell ref="A21:D21"/>
    <mergeCell ref="A31:D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"/>
  <sheetViews>
    <sheetView zoomScale="70" zoomScaleNormal="70" workbookViewId="0">
      <selection activeCell="M64" sqref="M64"/>
    </sheetView>
  </sheetViews>
  <sheetFormatPr defaultRowHeight="15"/>
  <cols>
    <col min="1" max="1" width="27.5703125" customWidth="1"/>
    <col min="2" max="2" width="14.5703125" bestFit="1" customWidth="1"/>
    <col min="4" max="4" width="9.5703125" bestFit="1" customWidth="1"/>
    <col min="5" max="5" width="11.5703125" bestFit="1" customWidth="1"/>
    <col min="6" max="6" width="12" customWidth="1"/>
    <col min="7" max="7" width="15.42578125" bestFit="1" customWidth="1"/>
    <col min="10" max="10" width="16.28515625" bestFit="1" customWidth="1"/>
    <col min="11" max="11" width="18.28515625" bestFit="1" customWidth="1"/>
    <col min="12" max="12" width="11.85546875" bestFit="1" customWidth="1"/>
    <col min="14" max="14" width="15" bestFit="1" customWidth="1"/>
    <col min="15" max="15" width="11.5703125" customWidth="1"/>
    <col min="16" max="16" width="15" bestFit="1" customWidth="1"/>
    <col min="18" max="18" width="3.28515625" customWidth="1"/>
    <col min="19" max="19" width="15" bestFit="1" customWidth="1"/>
    <col min="20" max="20" width="11.140625" customWidth="1"/>
    <col min="21" max="21" width="17.140625" customWidth="1"/>
    <col min="22" max="22" width="11" bestFit="1" customWidth="1"/>
    <col min="23" max="23" width="21.7109375" bestFit="1" customWidth="1"/>
  </cols>
  <sheetData>
    <row r="1" spans="1:24">
      <c r="A1" s="132" t="s">
        <v>15</v>
      </c>
      <c r="B1" s="132"/>
      <c r="C1" s="132" t="s">
        <v>16</v>
      </c>
      <c r="D1" s="132"/>
      <c r="E1" s="132"/>
      <c r="F1" s="132"/>
      <c r="G1" s="132"/>
      <c r="K1" s="1" t="s">
        <v>1</v>
      </c>
      <c r="L1" s="1" t="s">
        <v>2</v>
      </c>
      <c r="N1" s="5"/>
      <c r="O1" s="5"/>
      <c r="P1" s="5"/>
      <c r="Q1" s="5"/>
      <c r="R1" s="104"/>
      <c r="S1" s="5"/>
      <c r="T1" s="5"/>
      <c r="U1" s="5"/>
      <c r="V1" s="5"/>
      <c r="W1" s="5"/>
      <c r="X1" s="5"/>
    </row>
    <row r="2" spans="1:24">
      <c r="A2" s="2" t="s">
        <v>17</v>
      </c>
      <c r="B2" s="2"/>
      <c r="C2" s="115"/>
      <c r="D2" s="115"/>
      <c r="E2" s="115"/>
      <c r="F2" s="115"/>
      <c r="G2" s="115"/>
      <c r="K2" s="2" t="s">
        <v>3</v>
      </c>
      <c r="L2" s="3">
        <f>TDM!AQ4</f>
        <v>53919.957029999998</v>
      </c>
      <c r="N2" s="5"/>
      <c r="O2" s="5"/>
      <c r="P2" s="5"/>
      <c r="Q2" s="5"/>
      <c r="R2" s="104"/>
      <c r="U2" s="5"/>
      <c r="V2" s="5"/>
    </row>
    <row r="3" spans="1:24">
      <c r="A3" s="2" t="s">
        <v>7</v>
      </c>
      <c r="B3" s="2" t="s">
        <v>23</v>
      </c>
      <c r="C3" s="115" t="s">
        <v>18</v>
      </c>
      <c r="D3" s="115"/>
      <c r="E3" s="115"/>
      <c r="F3" s="115"/>
      <c r="G3" s="115"/>
      <c r="K3" s="2" t="s">
        <v>4</v>
      </c>
      <c r="L3" s="3">
        <f>TDM!AP16</f>
        <v>82881.78125</v>
      </c>
      <c r="O3" s="95"/>
      <c r="Q3" s="95"/>
      <c r="R3" s="95"/>
      <c r="T3" s="95"/>
    </row>
    <row r="4" spans="1:24" ht="30">
      <c r="A4" s="21" t="s">
        <v>24</v>
      </c>
      <c r="B4" s="2">
        <v>150119</v>
      </c>
      <c r="C4" s="134" t="s">
        <v>18</v>
      </c>
      <c r="D4" s="134"/>
      <c r="E4" s="134"/>
      <c r="F4" s="134"/>
      <c r="G4" s="134"/>
      <c r="K4" s="2" t="s">
        <v>5</v>
      </c>
      <c r="L4" s="4">
        <f>(L3-L2)/L2</f>
        <v>0.53712624815124044</v>
      </c>
      <c r="O4" s="105"/>
      <c r="Q4" s="105"/>
      <c r="R4" s="105"/>
      <c r="T4" s="105"/>
    </row>
    <row r="5" spans="1:24">
      <c r="A5" s="2" t="s">
        <v>25</v>
      </c>
      <c r="B5" s="2">
        <v>89342</v>
      </c>
      <c r="C5" s="115" t="s">
        <v>19</v>
      </c>
      <c r="D5" s="115"/>
      <c r="E5" s="115"/>
      <c r="F5" s="115"/>
      <c r="G5" s="115"/>
      <c r="O5" s="106"/>
      <c r="Q5" s="106"/>
      <c r="R5" s="106"/>
      <c r="T5" s="106"/>
      <c r="V5" s="106"/>
      <c r="X5" s="106"/>
    </row>
    <row r="6" spans="1:24">
      <c r="A6" s="2" t="s">
        <v>31</v>
      </c>
      <c r="B6" s="17">
        <v>4.4999999999999998E-2</v>
      </c>
      <c r="C6" s="115" t="s">
        <v>19</v>
      </c>
      <c r="D6" s="115"/>
      <c r="E6" s="115"/>
      <c r="F6" s="115"/>
      <c r="G6" s="115"/>
      <c r="O6" s="95"/>
      <c r="Q6" s="95"/>
      <c r="R6" s="95"/>
      <c r="T6" s="95"/>
    </row>
    <row r="7" spans="1:24">
      <c r="A7" s="2" t="s">
        <v>20</v>
      </c>
      <c r="B7" s="2">
        <v>0.1</v>
      </c>
      <c r="C7" s="115" t="s">
        <v>19</v>
      </c>
      <c r="D7" s="115"/>
      <c r="E7" s="115"/>
      <c r="F7" s="115"/>
      <c r="G7" s="115"/>
      <c r="O7" s="106"/>
      <c r="Q7" s="106"/>
      <c r="R7" s="106"/>
      <c r="T7" s="106"/>
      <c r="V7" s="106"/>
      <c r="X7" s="106"/>
    </row>
    <row r="8" spans="1:24">
      <c r="O8" s="107"/>
      <c r="Q8" s="107"/>
      <c r="R8" s="107"/>
      <c r="T8" s="107"/>
      <c r="V8" s="107"/>
      <c r="X8" s="107"/>
    </row>
    <row r="9" spans="1:24">
      <c r="A9" s="133" t="s">
        <v>29</v>
      </c>
      <c r="B9" s="133"/>
      <c r="C9" s="5"/>
      <c r="D9" s="5"/>
      <c r="O9" s="16"/>
      <c r="Q9" s="16"/>
      <c r="R9" s="16"/>
      <c r="T9" s="16"/>
      <c r="V9" s="16"/>
      <c r="X9" s="16"/>
    </row>
    <row r="10" spans="1:24">
      <c r="A10" s="10" t="s">
        <v>22</v>
      </c>
      <c r="B10" s="10" t="s">
        <v>0</v>
      </c>
      <c r="C10" s="49"/>
      <c r="D10" s="49"/>
      <c r="F10" s="104"/>
      <c r="G10" s="104"/>
      <c r="H10" s="104"/>
      <c r="I10" s="104"/>
      <c r="J10" s="104"/>
      <c r="K10" s="104"/>
      <c r="Q10" s="16"/>
      <c r="R10" s="16"/>
      <c r="X10" s="16"/>
    </row>
    <row r="11" spans="1:24">
      <c r="A11" s="54">
        <v>2022</v>
      </c>
      <c r="B11" s="61">
        <f>Volumes!C7</f>
        <v>80196</v>
      </c>
      <c r="C11" s="38"/>
      <c r="D11" s="62"/>
      <c r="G11" s="95"/>
      <c r="I11" s="16"/>
      <c r="K11" s="16"/>
      <c r="Q11" s="16"/>
      <c r="R11" s="16"/>
      <c r="T11" s="16"/>
      <c r="X11" s="16"/>
    </row>
    <row r="12" spans="1:24">
      <c r="A12" s="54">
        <v>2021</v>
      </c>
      <c r="B12" s="61">
        <f>Volumes!C17</f>
        <v>93818</v>
      </c>
      <c r="C12" s="38"/>
      <c r="D12" s="38"/>
      <c r="G12" s="16"/>
      <c r="I12" s="30"/>
      <c r="K12" s="30"/>
      <c r="Q12" s="70"/>
      <c r="R12" s="70"/>
      <c r="T12" s="16"/>
      <c r="V12" s="16"/>
      <c r="X12" s="16"/>
    </row>
    <row r="13" spans="1:24">
      <c r="A13" s="54">
        <v>2020</v>
      </c>
      <c r="B13" s="61">
        <f>Volumes!C27</f>
        <v>90531</v>
      </c>
      <c r="C13" s="38"/>
      <c r="D13" s="38"/>
      <c r="I13" s="16"/>
      <c r="K13" s="30"/>
      <c r="Q13" s="16"/>
      <c r="R13" s="16"/>
      <c r="T13" s="16"/>
      <c r="V13" s="16"/>
      <c r="X13" s="16"/>
    </row>
    <row r="14" spans="1:24">
      <c r="A14" s="54">
        <v>2019</v>
      </c>
      <c r="B14" s="61">
        <f>Volumes!C37</f>
        <v>87891</v>
      </c>
      <c r="C14" s="38"/>
      <c r="D14" s="38"/>
      <c r="I14" s="16"/>
      <c r="K14" s="30"/>
      <c r="Q14" s="16"/>
      <c r="T14" s="16"/>
      <c r="V14" s="16"/>
      <c r="X14" s="16"/>
    </row>
    <row r="15" spans="1:24">
      <c r="A15" s="54">
        <v>2018</v>
      </c>
      <c r="B15" s="61">
        <f>Volumes!C47</f>
        <v>86233</v>
      </c>
      <c r="C15" s="63"/>
      <c r="D15" s="38"/>
      <c r="G15" s="30"/>
      <c r="I15" s="16"/>
      <c r="K15" s="30"/>
      <c r="Q15" s="16"/>
      <c r="R15" s="16"/>
      <c r="V15" s="16"/>
    </row>
    <row r="16" spans="1:24">
      <c r="A16" s="2" t="s">
        <v>90</v>
      </c>
      <c r="B16" s="3">
        <f>SUM(B11:B15)</f>
        <v>438669</v>
      </c>
      <c r="C16" s="38"/>
      <c r="D16" s="38"/>
      <c r="G16" s="26"/>
      <c r="I16" s="27"/>
      <c r="L16" s="38"/>
    </row>
    <row r="17" spans="1:14">
      <c r="B17" s="38"/>
      <c r="C17" s="38"/>
      <c r="D17" s="38"/>
      <c r="H17" s="28"/>
      <c r="I17" s="29"/>
      <c r="L17" s="38"/>
      <c r="M17" s="16"/>
      <c r="N17" s="16"/>
    </row>
    <row r="18" spans="1:14">
      <c r="B18" s="38"/>
      <c r="C18" s="38"/>
      <c r="D18" s="38"/>
      <c r="G18" s="26"/>
      <c r="I18" s="27"/>
      <c r="L18" s="38"/>
      <c r="M18" s="16"/>
      <c r="N18" s="16"/>
    </row>
    <row r="19" spans="1:14">
      <c r="A19" s="30"/>
    </row>
    <row r="20" spans="1:14">
      <c r="F20" s="30"/>
    </row>
    <row r="21" spans="1:14">
      <c r="A21" s="127" t="s">
        <v>210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</row>
    <row r="22" spans="1:14" ht="45">
      <c r="A22" s="64" t="s">
        <v>87</v>
      </c>
      <c r="B22" s="64" t="s">
        <v>83</v>
      </c>
      <c r="C22" s="64" t="s">
        <v>85</v>
      </c>
      <c r="D22" s="65" t="s">
        <v>211</v>
      </c>
      <c r="E22" s="65" t="s">
        <v>212</v>
      </c>
      <c r="F22" s="65" t="s">
        <v>88</v>
      </c>
      <c r="G22" s="65" t="s">
        <v>89</v>
      </c>
      <c r="H22" s="65" t="s">
        <v>91</v>
      </c>
      <c r="I22" s="65" t="s">
        <v>92</v>
      </c>
      <c r="J22" s="65" t="s">
        <v>213</v>
      </c>
      <c r="K22" s="65" t="s">
        <v>214</v>
      </c>
    </row>
    <row r="23" spans="1:14" ht="14.45" customHeight="1">
      <c r="A23" s="57" t="s">
        <v>93</v>
      </c>
      <c r="B23" s="2" t="s">
        <v>84</v>
      </c>
      <c r="C23" s="2" t="s">
        <v>101</v>
      </c>
      <c r="D23" s="3">
        <v>0</v>
      </c>
      <c r="E23" s="3">
        <f>TDM!AP32</f>
        <v>6528.8427733333338</v>
      </c>
      <c r="F23" s="3">
        <v>0</v>
      </c>
      <c r="G23" s="3">
        <f>TDM!P29</f>
        <v>38.25</v>
      </c>
      <c r="H23" s="3">
        <f>E23*2</f>
        <v>13057.685546666668</v>
      </c>
      <c r="I23" s="3" t="s">
        <v>215</v>
      </c>
      <c r="J23" s="96">
        <f>(H23*0.1/4)/1900</f>
        <v>0.17181165192982459</v>
      </c>
      <c r="K23" s="96">
        <f>TDM!S32</f>
        <v>0.45772999999999997</v>
      </c>
    </row>
    <row r="24" spans="1:14">
      <c r="A24" s="115" t="s">
        <v>223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</row>
    <row r="25" spans="1:14">
      <c r="A25" s="46"/>
    </row>
    <row r="26" spans="1:14">
      <c r="A26" s="98"/>
      <c r="D26" s="16"/>
      <c r="E26" s="16"/>
      <c r="F26" s="16"/>
      <c r="G26" s="16"/>
      <c r="I26" s="16"/>
      <c r="J26" s="16"/>
    </row>
    <row r="27" spans="1:14">
      <c r="A27" s="98"/>
      <c r="B27" s="60"/>
      <c r="C27" s="60"/>
      <c r="D27" s="60"/>
      <c r="E27" s="99"/>
      <c r="F27" s="60"/>
      <c r="G27" s="60"/>
      <c r="H27" s="97"/>
      <c r="I27" s="60"/>
      <c r="J27" s="99"/>
    </row>
    <row r="28" spans="1:14" ht="28.9" customHeight="1">
      <c r="A28" s="95"/>
      <c r="B28" s="100"/>
    </row>
    <row r="30" spans="1:14">
      <c r="A30" s="60"/>
      <c r="D30" s="16"/>
      <c r="E30" s="16"/>
    </row>
    <row r="31" spans="1:14">
      <c r="A31" s="125" t="s">
        <v>14</v>
      </c>
      <c r="B31" s="126"/>
      <c r="C31" s="126"/>
      <c r="D31" s="126"/>
      <c r="E31" s="126"/>
      <c r="F31" s="126"/>
      <c r="G31" s="126"/>
      <c r="H31" s="126"/>
    </row>
    <row r="32" spans="1:14">
      <c r="A32" s="127" t="s">
        <v>106</v>
      </c>
      <c r="B32" s="127"/>
      <c r="C32" s="127" t="s">
        <v>107</v>
      </c>
      <c r="D32" s="128"/>
      <c r="E32" s="129" t="s">
        <v>108</v>
      </c>
      <c r="F32" s="129"/>
      <c r="G32" s="130" t="s">
        <v>109</v>
      </c>
      <c r="H32" s="131"/>
    </row>
    <row r="33" spans="1:8" ht="18">
      <c r="A33" s="2" t="s">
        <v>12</v>
      </c>
      <c r="B33" s="12">
        <f>MIN(TDM!T4:T5,TDM!Z4:Z5,TDM!AF4:AF5)</f>
        <v>50.74</v>
      </c>
      <c r="C33" s="2" t="s">
        <v>12</v>
      </c>
      <c r="D33" s="15">
        <f>MIN(TDM!U10:U11,TDM!AA10:AA11,TDM!AG10:AG11)</f>
        <v>50.03</v>
      </c>
      <c r="E33" s="2" t="s">
        <v>12</v>
      </c>
      <c r="F33" s="15">
        <f>MIN(TDM!U16:U17,TDM!AA16:AA17,TDM!AG16:AG17)</f>
        <v>50.89</v>
      </c>
      <c r="G33" s="2" t="s">
        <v>12</v>
      </c>
      <c r="H33" s="13">
        <f>MIN(TDM!U32,TDM!AA32,TDM!AG32)</f>
        <v>33.416666666666664</v>
      </c>
    </row>
    <row r="34" spans="1:8">
      <c r="A34" s="2" t="s">
        <v>11</v>
      </c>
      <c r="B34" s="13">
        <f>TDM!I4+TDM!I5</f>
        <v>0.86752999999999991</v>
      </c>
      <c r="C34" s="2" t="s">
        <v>11</v>
      </c>
      <c r="D34" s="44">
        <f>TDM!J10+TDM!J11</f>
        <v>0.86752999999999991</v>
      </c>
      <c r="E34" s="2" t="s">
        <v>11</v>
      </c>
      <c r="F34" s="44">
        <f>TDM!J16+TDM!J17</f>
        <v>0.86752999999999991</v>
      </c>
      <c r="G34" s="2" t="s">
        <v>11</v>
      </c>
      <c r="H34" s="13">
        <f>TDM!J29+TDM!J30+TDM!J31</f>
        <v>1.3611200000000001</v>
      </c>
    </row>
    <row r="35" spans="1:8" ht="18">
      <c r="A35" s="2" t="s">
        <v>8</v>
      </c>
      <c r="B35" s="14">
        <f>B34/B33</f>
        <v>1.709755616870319E-2</v>
      </c>
      <c r="C35" s="2" t="s">
        <v>8</v>
      </c>
      <c r="D35" s="45">
        <f>D34/D33</f>
        <v>1.7340195882470516E-2</v>
      </c>
      <c r="E35" s="2" t="s">
        <v>8</v>
      </c>
      <c r="F35" s="45">
        <f>F34/F33</f>
        <v>1.7047160542346236E-2</v>
      </c>
      <c r="G35" s="2" t="s">
        <v>8</v>
      </c>
      <c r="H35" s="45">
        <f>H34/H33</f>
        <v>4.0731770573566091E-2</v>
      </c>
    </row>
    <row r="36" spans="1:8" ht="18">
      <c r="A36" s="2" t="s">
        <v>13</v>
      </c>
      <c r="B36" s="12">
        <f>TDM!O4</f>
        <v>65</v>
      </c>
      <c r="C36" s="2" t="s">
        <v>13</v>
      </c>
      <c r="D36" s="15">
        <f>TDM!P10</f>
        <v>65</v>
      </c>
      <c r="E36" s="2" t="s">
        <v>13</v>
      </c>
      <c r="F36" s="15">
        <f>TDM!P16</f>
        <v>65</v>
      </c>
      <c r="G36" s="2" t="s">
        <v>13</v>
      </c>
      <c r="H36" s="12">
        <f>TDM!P29</f>
        <v>38.25</v>
      </c>
    </row>
    <row r="37" spans="1:8" ht="18">
      <c r="A37" s="2" t="s">
        <v>9</v>
      </c>
      <c r="B37" s="14">
        <f>B34/B36</f>
        <v>1.3346615384615384E-2</v>
      </c>
      <c r="C37" s="2" t="s">
        <v>9</v>
      </c>
      <c r="D37" s="45">
        <f>D34/D36</f>
        <v>1.3346615384615384E-2</v>
      </c>
      <c r="E37" s="2" t="s">
        <v>9</v>
      </c>
      <c r="F37" s="45">
        <f>F34/F36</f>
        <v>1.3346615384615384E-2</v>
      </c>
      <c r="G37" s="2" t="s">
        <v>9</v>
      </c>
      <c r="H37" s="14">
        <f>H34/H36</f>
        <v>3.5584836601307193E-2</v>
      </c>
    </row>
    <row r="38" spans="1:8" ht="15.75" thickBot="1">
      <c r="A38" s="43" t="s">
        <v>10</v>
      </c>
      <c r="B38" s="47">
        <f>B35/B37</f>
        <v>1.281040599132834</v>
      </c>
      <c r="C38" s="43" t="s">
        <v>10</v>
      </c>
      <c r="D38" s="47">
        <f>D35/D37</f>
        <v>1.2992204677193684</v>
      </c>
      <c r="E38" s="43" t="s">
        <v>10</v>
      </c>
      <c r="F38" s="71">
        <f>F35/F37</f>
        <v>1.2772646885439183</v>
      </c>
      <c r="G38" s="43" t="s">
        <v>10</v>
      </c>
      <c r="H38" s="108">
        <f>H35/H37</f>
        <v>1.144638403990025</v>
      </c>
    </row>
    <row r="41" spans="1:8">
      <c r="A41" s="116" t="s">
        <v>110</v>
      </c>
      <c r="B41" s="117"/>
      <c r="C41" s="117"/>
      <c r="D41" s="117"/>
      <c r="E41" s="118"/>
    </row>
    <row r="42" spans="1:8" ht="75">
      <c r="A42" s="48" t="s">
        <v>22</v>
      </c>
      <c r="B42" s="48" t="s">
        <v>79</v>
      </c>
      <c r="C42" s="66" t="s">
        <v>80</v>
      </c>
      <c r="D42" s="54" t="s">
        <v>104</v>
      </c>
    </row>
    <row r="43" spans="1:8">
      <c r="A43" s="12">
        <v>2023</v>
      </c>
      <c r="B43" s="61">
        <v>0</v>
      </c>
      <c r="C43" s="12" t="s">
        <v>111</v>
      </c>
      <c r="D43" s="2" t="s">
        <v>102</v>
      </c>
    </row>
    <row r="44" spans="1:8">
      <c r="A44" s="12">
        <v>2045</v>
      </c>
      <c r="B44" s="61">
        <v>0</v>
      </c>
      <c r="C44" s="12" t="s">
        <v>111</v>
      </c>
      <c r="D44" s="2" t="s">
        <v>103</v>
      </c>
    </row>
    <row r="45" spans="1:8">
      <c r="A45" s="12" t="s">
        <v>81</v>
      </c>
      <c r="B45" s="12">
        <v>0.08</v>
      </c>
      <c r="C45" s="119" t="s">
        <v>105</v>
      </c>
      <c r="D45" s="120"/>
      <c r="E45" s="121"/>
    </row>
    <row r="46" spans="1:8">
      <c r="A46" s="12" t="s">
        <v>82</v>
      </c>
      <c r="B46" s="12">
        <v>0.5</v>
      </c>
      <c r="C46" s="122"/>
      <c r="D46" s="123"/>
      <c r="E46" s="124"/>
    </row>
  </sheetData>
  <mergeCells count="18">
    <mergeCell ref="A1:B1"/>
    <mergeCell ref="A9:B9"/>
    <mergeCell ref="C1:G1"/>
    <mergeCell ref="C2:G2"/>
    <mergeCell ref="C3:G3"/>
    <mergeCell ref="C4:G4"/>
    <mergeCell ref="C5:G5"/>
    <mergeCell ref="C6:G6"/>
    <mergeCell ref="C7:G7"/>
    <mergeCell ref="A24:K24"/>
    <mergeCell ref="A41:E41"/>
    <mergeCell ref="C45:E46"/>
    <mergeCell ref="A31:H31"/>
    <mergeCell ref="A32:B32"/>
    <mergeCell ref="C32:D32"/>
    <mergeCell ref="E32:F32"/>
    <mergeCell ref="G32:H32"/>
    <mergeCell ref="A21:K21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70BF6-AB23-4C7E-8030-59B2C4F2E29C}">
  <dimension ref="B2:R37"/>
  <sheetViews>
    <sheetView workbookViewId="0">
      <selection activeCell="I27" sqref="I27"/>
    </sheetView>
  </sheetViews>
  <sheetFormatPr defaultRowHeight="15"/>
  <cols>
    <col min="2" max="2" width="57" customWidth="1"/>
    <col min="3" max="3" width="16" customWidth="1"/>
    <col min="4" max="4" width="5.28515625" customWidth="1"/>
    <col min="5" max="5" width="5.7109375" customWidth="1"/>
  </cols>
  <sheetData>
    <row r="2" spans="2:18" ht="18.75">
      <c r="B2" s="73" t="s">
        <v>178</v>
      </c>
      <c r="C2" s="74"/>
      <c r="D2" s="75"/>
      <c r="E2" s="60"/>
      <c r="F2" s="60"/>
      <c r="G2" s="60"/>
      <c r="K2" s="135" t="s">
        <v>171</v>
      </c>
      <c r="L2" s="135"/>
      <c r="M2" s="135"/>
      <c r="N2" s="135"/>
      <c r="O2" s="135"/>
      <c r="P2" s="135"/>
      <c r="Q2" s="135"/>
      <c r="R2" s="135"/>
    </row>
    <row r="3" spans="2:18">
      <c r="B3" s="60"/>
      <c r="C3" s="76"/>
      <c r="D3" s="60"/>
      <c r="E3" s="60"/>
      <c r="F3" s="60"/>
      <c r="G3" s="60"/>
      <c r="K3" s="115"/>
      <c r="L3" s="115"/>
      <c r="M3" s="115"/>
      <c r="N3" s="115"/>
      <c r="O3" s="54" t="s">
        <v>172</v>
      </c>
      <c r="P3" s="54" t="s">
        <v>173</v>
      </c>
      <c r="Q3" s="54" t="s">
        <v>174</v>
      </c>
      <c r="R3" s="54" t="s">
        <v>175</v>
      </c>
    </row>
    <row r="4" spans="2:18">
      <c r="B4" s="77" t="s">
        <v>179</v>
      </c>
      <c r="C4" s="76"/>
      <c r="D4" s="60"/>
      <c r="E4" s="60"/>
      <c r="F4" s="60"/>
      <c r="G4" s="60"/>
      <c r="K4" s="115" t="s">
        <v>176</v>
      </c>
      <c r="L4" s="115"/>
      <c r="M4" s="115"/>
      <c r="N4" s="115"/>
      <c r="O4" s="2">
        <v>0</v>
      </c>
      <c r="P4" s="2">
        <v>0</v>
      </c>
      <c r="Q4" s="2">
        <v>0</v>
      </c>
      <c r="R4" s="20">
        <f>AVERAGE(O4:Q4)</f>
        <v>0</v>
      </c>
    </row>
    <row r="5" spans="2:18">
      <c r="B5" s="78" t="s">
        <v>180</v>
      </c>
      <c r="C5" s="79" t="s">
        <v>181</v>
      </c>
      <c r="D5" s="60"/>
      <c r="E5" s="78"/>
      <c r="F5" s="60" t="s">
        <v>182</v>
      </c>
      <c r="G5" s="60"/>
      <c r="K5" s="115" t="s">
        <v>177</v>
      </c>
      <c r="L5" s="115"/>
      <c r="M5" s="115"/>
      <c r="N5" s="115"/>
      <c r="O5" s="2">
        <f>TDM!U16</f>
        <v>50.89</v>
      </c>
      <c r="P5" s="2">
        <f>TDM!AA16</f>
        <v>57.39</v>
      </c>
      <c r="Q5" s="2">
        <f>TDM!AG16</f>
        <v>53.11</v>
      </c>
      <c r="R5" s="20">
        <f>AVERAGE(O5:Q5)</f>
        <v>53.79666666666666</v>
      </c>
    </row>
    <row r="6" spans="2:18">
      <c r="B6" s="78" t="s">
        <v>183</v>
      </c>
      <c r="C6" s="80">
        <v>784</v>
      </c>
      <c r="D6" s="60"/>
      <c r="E6" s="81"/>
      <c r="F6" s="60" t="s">
        <v>184</v>
      </c>
      <c r="G6" s="60"/>
    </row>
    <row r="7" spans="2:18">
      <c r="B7" s="78" t="s">
        <v>185</v>
      </c>
      <c r="C7" s="80"/>
      <c r="D7" s="60"/>
      <c r="E7" s="82"/>
      <c r="F7" s="60" t="s">
        <v>186</v>
      </c>
      <c r="G7" s="60"/>
    </row>
    <row r="8" spans="2:18">
      <c r="B8" s="78" t="s">
        <v>187</v>
      </c>
      <c r="C8" s="80" t="s">
        <v>188</v>
      </c>
      <c r="D8" s="60"/>
      <c r="E8" s="60"/>
      <c r="F8" s="60"/>
      <c r="G8" s="60"/>
    </row>
    <row r="9" spans="2:18">
      <c r="B9" s="60"/>
      <c r="C9" s="76"/>
      <c r="D9" s="60"/>
      <c r="E9" s="60"/>
      <c r="F9" s="60"/>
      <c r="G9" s="60"/>
    </row>
    <row r="10" spans="2:18">
      <c r="B10" s="60"/>
      <c r="C10" s="76"/>
      <c r="D10" s="60"/>
      <c r="E10" s="60"/>
      <c r="F10" s="60"/>
      <c r="G10" s="60"/>
    </row>
    <row r="11" spans="2:18">
      <c r="B11" s="77" t="s">
        <v>189</v>
      </c>
      <c r="C11" s="76"/>
      <c r="D11" s="60"/>
      <c r="E11" s="60"/>
      <c r="F11" s="60"/>
      <c r="G11" s="60"/>
    </row>
    <row r="12" spans="2:18">
      <c r="B12" s="78" t="s">
        <v>190</v>
      </c>
      <c r="C12" s="80">
        <v>2025</v>
      </c>
      <c r="D12" s="60"/>
      <c r="E12" s="60"/>
      <c r="F12" s="60"/>
      <c r="G12" s="60"/>
    </row>
    <row r="13" spans="2:18">
      <c r="B13" s="78" t="s">
        <v>191</v>
      </c>
      <c r="C13" s="80" t="s">
        <v>192</v>
      </c>
      <c r="D13" s="60"/>
      <c r="E13" s="60"/>
      <c r="F13" s="60"/>
      <c r="G13" s="60"/>
    </row>
    <row r="14" spans="2:18">
      <c r="B14" s="83" t="s">
        <v>193</v>
      </c>
      <c r="C14" s="84" t="s">
        <v>194</v>
      </c>
      <c r="D14" s="60"/>
      <c r="E14" s="60"/>
      <c r="F14" s="60"/>
      <c r="G14" s="60"/>
    </row>
    <row r="15" spans="2:18">
      <c r="B15" s="83" t="s">
        <v>195</v>
      </c>
      <c r="C15" s="85">
        <v>1.3</v>
      </c>
      <c r="D15" s="60"/>
      <c r="E15" s="60"/>
      <c r="F15" s="60"/>
      <c r="G15" s="60"/>
    </row>
    <row r="16" spans="2:18">
      <c r="B16" s="83" t="s">
        <v>196</v>
      </c>
      <c r="C16" s="84">
        <v>0</v>
      </c>
      <c r="D16" s="60"/>
      <c r="E16" s="60"/>
      <c r="F16" s="60"/>
      <c r="G16" s="60"/>
    </row>
    <row r="17" spans="2:7">
      <c r="B17" s="86" t="s">
        <v>197</v>
      </c>
      <c r="C17" s="84">
        <v>53.8</v>
      </c>
      <c r="D17" s="60"/>
      <c r="E17" s="60"/>
      <c r="F17" s="60"/>
      <c r="G17" s="60"/>
    </row>
    <row r="18" spans="2:7">
      <c r="B18" s="87" t="s">
        <v>198</v>
      </c>
      <c r="C18" s="88">
        <v>20</v>
      </c>
      <c r="D18" s="60"/>
      <c r="E18" s="60"/>
      <c r="F18" s="60"/>
      <c r="G18" s="60"/>
    </row>
    <row r="19" spans="2:7">
      <c r="B19" s="60"/>
      <c r="C19" s="76"/>
      <c r="D19" s="60"/>
      <c r="E19" s="60"/>
      <c r="F19" s="60"/>
      <c r="G19" s="60"/>
    </row>
    <row r="20" spans="2:7">
      <c r="B20" s="77" t="s">
        <v>199</v>
      </c>
      <c r="C20" s="76"/>
      <c r="D20" s="60"/>
      <c r="E20" s="60"/>
      <c r="F20" s="60"/>
      <c r="G20" s="60"/>
    </row>
    <row r="21" spans="2:7" ht="30">
      <c r="B21" s="86" t="s">
        <v>200</v>
      </c>
      <c r="C21" s="84">
        <v>8541</v>
      </c>
      <c r="D21" s="60"/>
      <c r="E21" s="60"/>
      <c r="F21" s="60"/>
      <c r="G21" s="60"/>
    </row>
    <row r="22" spans="2:7">
      <c r="B22" s="89"/>
      <c r="C22" s="90"/>
      <c r="D22" s="60"/>
      <c r="E22" s="60"/>
      <c r="F22" s="60"/>
      <c r="G22" s="60"/>
    </row>
    <row r="23" spans="2:7">
      <c r="B23" s="60"/>
      <c r="C23" s="76"/>
      <c r="D23" s="60"/>
      <c r="E23" s="60"/>
      <c r="F23" s="60"/>
      <c r="G23" s="60"/>
    </row>
    <row r="24" spans="2:7">
      <c r="B24" s="60"/>
      <c r="C24" s="76"/>
      <c r="D24" s="60"/>
      <c r="E24" s="60"/>
      <c r="F24" s="60"/>
      <c r="G24" s="60"/>
    </row>
    <row r="25" spans="2:7" ht="18.75">
      <c r="B25" s="73" t="s">
        <v>201</v>
      </c>
      <c r="C25" s="74"/>
      <c r="D25" s="60"/>
      <c r="E25" s="60"/>
      <c r="F25" s="60"/>
      <c r="G25" s="60"/>
    </row>
    <row r="26" spans="2:7">
      <c r="B26" s="60"/>
      <c r="C26" s="76"/>
      <c r="D26" s="60"/>
      <c r="E26" s="60"/>
      <c r="F26" s="60"/>
      <c r="G26" s="60"/>
    </row>
    <row r="27" spans="2:7">
      <c r="B27" s="91" t="s">
        <v>202</v>
      </c>
      <c r="C27" s="76"/>
      <c r="D27" s="60"/>
      <c r="E27" s="60"/>
      <c r="F27" s="60"/>
      <c r="G27" s="60"/>
    </row>
    <row r="28" spans="2:7">
      <c r="B28" s="82" t="s">
        <v>203</v>
      </c>
      <c r="C28" s="92">
        <v>913.91455373444137</v>
      </c>
      <c r="D28" s="60"/>
      <c r="E28" s="60"/>
      <c r="F28" s="60"/>
      <c r="G28" s="60"/>
    </row>
    <row r="29" spans="2:7">
      <c r="B29" s="82" t="s">
        <v>204</v>
      </c>
      <c r="C29" s="92">
        <v>156772.62679864088</v>
      </c>
      <c r="D29" s="60"/>
      <c r="E29" s="60"/>
      <c r="F29" s="60"/>
      <c r="G29" s="60"/>
    </row>
    <row r="30" spans="2:7">
      <c r="B30" s="60"/>
      <c r="C30" s="93"/>
      <c r="D30" s="60"/>
      <c r="E30" s="60"/>
      <c r="F30" s="60"/>
      <c r="G30" s="60"/>
    </row>
    <row r="31" spans="2:7">
      <c r="B31" s="91" t="s">
        <v>205</v>
      </c>
      <c r="C31" s="93"/>
      <c r="D31" s="60"/>
      <c r="E31" s="60"/>
      <c r="F31" s="60"/>
      <c r="G31" s="60"/>
    </row>
    <row r="32" spans="2:7">
      <c r="B32" s="82" t="s">
        <v>206</v>
      </c>
      <c r="C32" s="92">
        <f>$C$28+$C$29</f>
        <v>157686.54135237532</v>
      </c>
      <c r="D32" s="60"/>
      <c r="E32" s="60"/>
      <c r="F32" s="60"/>
      <c r="G32" s="60"/>
    </row>
    <row r="33" spans="2:7">
      <c r="B33" s="60"/>
      <c r="C33" s="76"/>
      <c r="D33" s="60"/>
      <c r="E33" s="60"/>
      <c r="F33" s="60"/>
      <c r="G33" s="60"/>
    </row>
    <row r="34" spans="2:7">
      <c r="B34" s="91" t="s">
        <v>207</v>
      </c>
      <c r="C34" s="76"/>
      <c r="D34" s="60"/>
      <c r="E34" s="60"/>
      <c r="F34" s="60"/>
      <c r="G34" s="60"/>
    </row>
    <row r="35" spans="2:7">
      <c r="B35" s="82" t="s">
        <v>208</v>
      </c>
      <c r="C35" s="94">
        <v>0.12857436324939236</v>
      </c>
      <c r="D35" s="60"/>
      <c r="E35" s="60"/>
      <c r="F35" s="60"/>
      <c r="G35" s="60"/>
    </row>
    <row r="36" spans="2:7">
      <c r="B36" s="82" t="s">
        <v>209</v>
      </c>
      <c r="C36" s="94">
        <v>0.46539341039911619</v>
      </c>
      <c r="D36" s="60"/>
      <c r="E36" s="60"/>
      <c r="F36" s="60"/>
      <c r="G36" s="60"/>
    </row>
    <row r="37" spans="2:7">
      <c r="B37" s="60"/>
      <c r="C37" s="76"/>
      <c r="D37" s="60"/>
      <c r="E37" s="60"/>
      <c r="F37" s="60"/>
      <c r="G37" s="60"/>
    </row>
  </sheetData>
  <mergeCells count="4">
    <mergeCell ref="K2:R2"/>
    <mergeCell ref="K3:N3"/>
    <mergeCell ref="K4:N4"/>
    <mergeCell ref="K5:N5"/>
  </mergeCells>
  <dataValidations count="1">
    <dataValidation operator="lessThanOrEqual" allowBlank="1" showInputMessage="1" showErrorMessage="1" error="Volume Must Be Less Than Stated Capacity" sqref="C15" xr:uid="{42347CB3-63FD-471D-BFDA-15D95A8FBA83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DA6B2-81E1-4A15-8ACC-D1F71076F3EA}">
  <dimension ref="A1:H47"/>
  <sheetViews>
    <sheetView workbookViewId="0">
      <selection activeCell="F16" sqref="F16"/>
    </sheetView>
  </sheetViews>
  <sheetFormatPr defaultRowHeight="15"/>
  <cols>
    <col min="1" max="1" width="33.7109375" bestFit="1" customWidth="1"/>
    <col min="2" max="2" width="12.42578125" bestFit="1" customWidth="1"/>
    <col min="5" max="5" width="2.140625" bestFit="1" customWidth="1"/>
    <col min="6" max="6" width="33.7109375" customWidth="1"/>
    <col min="7" max="7" width="18" bestFit="1" customWidth="1"/>
    <col min="8" max="8" width="20.85546875" customWidth="1"/>
  </cols>
  <sheetData>
    <row r="1" spans="1:8" ht="15.75" thickBot="1">
      <c r="A1" s="39"/>
      <c r="B1" s="40"/>
      <c r="E1" s="127" t="s">
        <v>224</v>
      </c>
      <c r="F1" s="127"/>
      <c r="G1" s="127"/>
      <c r="H1" s="127"/>
    </row>
    <row r="2" spans="1:8">
      <c r="A2" s="42"/>
      <c r="B2" s="42"/>
      <c r="E2" s="12" t="s">
        <v>61</v>
      </c>
      <c r="F2" s="101" t="s">
        <v>225</v>
      </c>
      <c r="G2" s="101" t="s">
        <v>226</v>
      </c>
      <c r="H2" s="101" t="s">
        <v>227</v>
      </c>
    </row>
    <row r="3" spans="1:8" ht="60">
      <c r="E3" s="102">
        <v>1</v>
      </c>
      <c r="F3" s="103" t="s">
        <v>228</v>
      </c>
      <c r="G3" s="103"/>
      <c r="H3" s="103" t="s">
        <v>229</v>
      </c>
    </row>
    <row r="4" spans="1:8" ht="15.75" thickBot="1"/>
    <row r="5" spans="1:8" ht="15.75" thickBot="1">
      <c r="A5" s="39" t="s">
        <v>60</v>
      </c>
      <c r="B5" s="40" t="s">
        <v>32</v>
      </c>
    </row>
    <row r="6" spans="1:8">
      <c r="A6" s="136" t="s">
        <v>33</v>
      </c>
      <c r="B6" s="136"/>
    </row>
    <row r="7" spans="1:8">
      <c r="A7" s="42" t="s">
        <v>34</v>
      </c>
      <c r="B7" s="42" t="s">
        <v>21</v>
      </c>
    </row>
    <row r="8" spans="1:8">
      <c r="A8" s="2" t="s">
        <v>35</v>
      </c>
      <c r="B8" s="110">
        <f>2256+506</f>
        <v>2762</v>
      </c>
    </row>
    <row r="9" spans="1:8">
      <c r="A9" s="2" t="s">
        <v>36</v>
      </c>
      <c r="B9" s="110">
        <f>3686+4569</f>
        <v>8255</v>
      </c>
    </row>
    <row r="10" spans="1:8">
      <c r="A10" s="2" t="s">
        <v>37</v>
      </c>
      <c r="B10" s="109">
        <v>430</v>
      </c>
    </row>
    <row r="11" spans="1:8">
      <c r="A11" s="2" t="s">
        <v>38</v>
      </c>
      <c r="B11" s="109">
        <v>489</v>
      </c>
    </row>
    <row r="12" spans="1:8">
      <c r="A12" s="2" t="s">
        <v>39</v>
      </c>
      <c r="B12" s="109">
        <v>469</v>
      </c>
    </row>
    <row r="13" spans="1:8">
      <c r="A13" s="2" t="s">
        <v>40</v>
      </c>
      <c r="B13" s="109">
        <v>706</v>
      </c>
    </row>
    <row r="14" spans="1:8">
      <c r="A14" s="2" t="s">
        <v>41</v>
      </c>
      <c r="B14" s="109">
        <v>15473</v>
      </c>
    </row>
    <row r="15" spans="1:8">
      <c r="A15" s="2" t="s">
        <v>42</v>
      </c>
      <c r="B15" s="17">
        <f>B8/B14</f>
        <v>0.17850449169521102</v>
      </c>
    </row>
    <row r="16" spans="1:8">
      <c r="A16" s="2" t="s">
        <v>43</v>
      </c>
      <c r="B16" s="17">
        <f>B9/B14</f>
        <v>0.53350998513539716</v>
      </c>
    </row>
    <row r="17" spans="1:4" ht="15.75" thickBot="1"/>
    <row r="18" spans="1:4" ht="15.75" thickBot="1">
      <c r="A18" s="39" t="s">
        <v>216</v>
      </c>
      <c r="B18" s="137" t="s">
        <v>54</v>
      </c>
      <c r="C18" s="138"/>
    </row>
    <row r="19" spans="1:4">
      <c r="A19" s="129" t="s">
        <v>44</v>
      </c>
      <c r="B19" s="129"/>
    </row>
    <row r="20" spans="1:4">
      <c r="A20" s="42" t="s">
        <v>34</v>
      </c>
      <c r="B20" s="42" t="s">
        <v>21</v>
      </c>
      <c r="C20" s="41" t="s">
        <v>53</v>
      </c>
    </row>
    <row r="21" spans="1:4">
      <c r="A21" s="2" t="s">
        <v>45</v>
      </c>
      <c r="B21" s="2">
        <v>97500</v>
      </c>
      <c r="C21" s="2"/>
    </row>
    <row r="22" spans="1:4">
      <c r="A22" s="2" t="s">
        <v>46</v>
      </c>
      <c r="B22" s="2">
        <v>11.1</v>
      </c>
      <c r="C22" s="2"/>
    </row>
    <row r="23" spans="1:4">
      <c r="A23" s="2" t="s">
        <v>48</v>
      </c>
      <c r="B23" s="2">
        <v>95599</v>
      </c>
      <c r="C23" s="2"/>
    </row>
    <row r="24" spans="1:4">
      <c r="A24" s="2" t="s">
        <v>47</v>
      </c>
      <c r="B24" s="2">
        <v>110840</v>
      </c>
      <c r="C24" s="4">
        <f>(B24-B23)/B23</f>
        <v>0.15942635383215306</v>
      </c>
    </row>
    <row r="25" spans="1:4">
      <c r="A25" s="2" t="s">
        <v>49</v>
      </c>
      <c r="B25" s="2">
        <v>18455</v>
      </c>
      <c r="C25" s="2"/>
    </row>
    <row r="26" spans="1:4">
      <c r="A26" s="2" t="s">
        <v>50</v>
      </c>
      <c r="B26" s="2">
        <v>20739</v>
      </c>
      <c r="C26" s="4">
        <f>(B26-B25)/B25</f>
        <v>0.12376049850988892</v>
      </c>
    </row>
    <row r="27" spans="1:4">
      <c r="A27" s="2" t="s">
        <v>51</v>
      </c>
      <c r="B27" s="2">
        <v>31421</v>
      </c>
      <c r="C27" s="2"/>
    </row>
    <row r="28" spans="1:4">
      <c r="A28" s="2" t="s">
        <v>52</v>
      </c>
      <c r="B28" s="2">
        <v>38944</v>
      </c>
      <c r="C28" s="4">
        <f>(B28-B27)/B27</f>
        <v>0.23942586168486044</v>
      </c>
    </row>
    <row r="30" spans="1:4">
      <c r="A30" s="127" t="s">
        <v>217</v>
      </c>
      <c r="B30" s="127"/>
      <c r="C30" s="127"/>
      <c r="D30" s="127"/>
    </row>
    <row r="31" spans="1:4">
      <c r="A31" s="2" t="s">
        <v>34</v>
      </c>
      <c r="B31" s="2" t="s">
        <v>218</v>
      </c>
      <c r="C31" s="2">
        <v>2045</v>
      </c>
      <c r="D31" s="2" t="s">
        <v>54</v>
      </c>
    </row>
    <row r="32" spans="1:4">
      <c r="A32" s="2" t="s">
        <v>219</v>
      </c>
      <c r="B32" s="2">
        <v>3774.88</v>
      </c>
      <c r="C32" s="2">
        <v>3856.15</v>
      </c>
      <c r="D32" s="19">
        <f>(C32-B32)/B32</f>
        <v>2.1529161191878941E-2</v>
      </c>
    </row>
    <row r="33" spans="1:4">
      <c r="A33" s="2" t="s">
        <v>220</v>
      </c>
      <c r="B33" s="2">
        <v>552.47</v>
      </c>
      <c r="C33" s="2">
        <v>559.13</v>
      </c>
      <c r="D33" s="19">
        <f t="shared" ref="D33:D35" si="0">(C33-B33)/B33</f>
        <v>1.2054953210128998E-2</v>
      </c>
    </row>
    <row r="34" spans="1:4">
      <c r="A34" s="2" t="s">
        <v>221</v>
      </c>
      <c r="B34" s="2">
        <v>18.45</v>
      </c>
      <c r="C34" s="2">
        <v>18.45</v>
      </c>
      <c r="D34" s="19">
        <f t="shared" si="0"/>
        <v>0</v>
      </c>
    </row>
    <row r="35" spans="1:4">
      <c r="A35" s="2" t="s">
        <v>222</v>
      </c>
      <c r="B35" s="2">
        <v>738.55</v>
      </c>
      <c r="C35" s="2">
        <v>750.11</v>
      </c>
      <c r="D35" s="19">
        <f t="shared" si="0"/>
        <v>1.5652291652562534E-2</v>
      </c>
    </row>
    <row r="42" spans="1:4" ht="30">
      <c r="A42" s="49" t="s">
        <v>55</v>
      </c>
      <c r="B42" s="48" t="s">
        <v>45</v>
      </c>
    </row>
    <row r="43" spans="1:4">
      <c r="A43" t="s">
        <v>56</v>
      </c>
      <c r="B43" s="2">
        <v>21926</v>
      </c>
    </row>
    <row r="44" spans="1:4">
      <c r="A44" t="s">
        <v>57</v>
      </c>
      <c r="B44" s="2">
        <v>17259</v>
      </c>
    </row>
    <row r="45" spans="1:4">
      <c r="A45" s="2" t="s">
        <v>58</v>
      </c>
      <c r="B45" s="2">
        <v>221450</v>
      </c>
    </row>
    <row r="46" spans="1:4">
      <c r="A46" s="2" t="s">
        <v>59</v>
      </c>
      <c r="B46" s="2">
        <v>195258</v>
      </c>
    </row>
    <row r="47" spans="1:4">
      <c r="B47">
        <f>SUM(B43:B46)</f>
        <v>455893</v>
      </c>
    </row>
  </sheetData>
  <mergeCells count="5">
    <mergeCell ref="A6:B6"/>
    <mergeCell ref="A19:B19"/>
    <mergeCell ref="B18:C18"/>
    <mergeCell ref="A30:D30"/>
    <mergeCell ref="E1:H1"/>
  </mergeCells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9C6CA-2FDA-4112-906E-78F560109038}">
  <dimension ref="A1:G8"/>
  <sheetViews>
    <sheetView tabSelected="1" workbookViewId="0">
      <selection activeCell="C17" sqref="C17"/>
    </sheetView>
  </sheetViews>
  <sheetFormatPr defaultRowHeight="15"/>
  <cols>
    <col min="2" max="2" width="51" customWidth="1"/>
    <col min="3" max="3" width="12.28515625" customWidth="1"/>
    <col min="4" max="4" width="21.5703125" bestFit="1" customWidth="1"/>
    <col min="5" max="5" width="27.7109375" customWidth="1"/>
    <col min="6" max="6" width="44.5703125" customWidth="1"/>
    <col min="7" max="7" width="48.7109375" customWidth="1"/>
  </cols>
  <sheetData>
    <row r="1" spans="1:7">
      <c r="A1" t="s">
        <v>61</v>
      </c>
      <c r="B1" s="50" t="s">
        <v>62</v>
      </c>
      <c r="C1" s="50" t="s">
        <v>63</v>
      </c>
      <c r="D1" s="50" t="s">
        <v>64</v>
      </c>
      <c r="E1" s="50" t="s">
        <v>65</v>
      </c>
      <c r="F1" s="51" t="s">
        <v>66</v>
      </c>
      <c r="G1" s="52" t="s">
        <v>67</v>
      </c>
    </row>
    <row r="2" spans="1:7" ht="30">
      <c r="A2">
        <v>1</v>
      </c>
      <c r="B2" s="53" t="s">
        <v>68</v>
      </c>
      <c r="C2" s="54">
        <v>401</v>
      </c>
      <c r="D2" s="55">
        <v>0.2</v>
      </c>
      <c r="E2" s="54">
        <v>2</v>
      </c>
      <c r="F2" s="56" t="s">
        <v>69</v>
      </c>
      <c r="G2" s="57" t="s">
        <v>70</v>
      </c>
    </row>
    <row r="3" spans="1:7">
      <c r="A3">
        <v>2</v>
      </c>
      <c r="B3" s="53" t="s">
        <v>71</v>
      </c>
      <c r="C3" s="54">
        <v>407</v>
      </c>
      <c r="D3" s="58">
        <v>0.65</v>
      </c>
      <c r="E3" s="54">
        <v>10</v>
      </c>
      <c r="F3" s="59" t="s">
        <v>72</v>
      </c>
      <c r="G3" s="57" t="s">
        <v>72</v>
      </c>
    </row>
    <row r="4" spans="1:7">
      <c r="A4">
        <v>3</v>
      </c>
      <c r="B4" s="53" t="s">
        <v>73</v>
      </c>
      <c r="C4" s="54">
        <v>517</v>
      </c>
      <c r="D4" s="58">
        <v>0.28000000000000003</v>
      </c>
      <c r="E4" s="54">
        <v>20</v>
      </c>
      <c r="F4" s="56" t="s">
        <v>69</v>
      </c>
      <c r="G4" s="57" t="s">
        <v>74</v>
      </c>
    </row>
    <row r="5" spans="1:7" ht="30">
      <c r="A5">
        <v>4</v>
      </c>
      <c r="B5" s="53" t="s">
        <v>75</v>
      </c>
      <c r="C5" s="54">
        <v>521</v>
      </c>
      <c r="D5" s="55">
        <v>0.25</v>
      </c>
      <c r="E5" s="54">
        <v>10</v>
      </c>
      <c r="F5" s="59" t="s">
        <v>76</v>
      </c>
      <c r="G5" s="57" t="s">
        <v>77</v>
      </c>
    </row>
    <row r="8" spans="1:7">
      <c r="B8" s="53" t="s">
        <v>78</v>
      </c>
      <c r="C8" s="2"/>
      <c r="D8" s="111">
        <f>1-((1-D2)*(1-D3)*(1-D4)*(1-D5))</f>
        <v>0.8488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TDM</vt:lpstr>
      <vt:lpstr>Volumes</vt:lpstr>
      <vt:lpstr>Traffic</vt:lpstr>
      <vt:lpstr>Emissions</vt:lpstr>
      <vt:lpstr>Demographics</vt:lpstr>
      <vt:lpstr>CRF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Manthan Gajera</dc:creator>
  <cp:lastModifiedBy>Manthan Gajera</cp:lastModifiedBy>
  <dcterms:created xsi:type="dcterms:W3CDTF">2015-06-05T18:17:20Z</dcterms:created>
  <dcterms:modified xsi:type="dcterms:W3CDTF">2024-02-12T19:35:15Z</dcterms:modified>
</cp:coreProperties>
</file>