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etorgft4168179-my.sharepoint.com/personal/ashish_loney_aigtechnical_com/Documents/AIG2/Projects2/2319_HGAC_CFP_FBC/04_Technical/41_Data Collection/Project related data/10_FM 762 BNSF Rail Underpass/"/>
    </mc:Choice>
  </mc:AlternateContent>
  <xr:revisionPtr revIDLastSave="439" documentId="11_F25DC773A252ABDACC10480171DC540E5BDE58ED" xr6:coauthVersionLast="47" xr6:coauthVersionMax="47" xr10:uidLastSave="{399F9479-D5B6-4B50-AF84-E8A58B998847}"/>
  <bookViews>
    <workbookView xWindow="-120" yWindow="-120" windowWidth="29040" windowHeight="15720" xr2:uid="{00000000-000D-0000-FFFF-FFFF00000000}"/>
  </bookViews>
  <sheets>
    <sheet name="TDM" sheetId="4" r:id="rId1"/>
    <sheet name="Traffic" sheetId="3" r:id="rId2"/>
    <sheet name="Emissions" sheetId="5" r:id="rId3"/>
    <sheet name="Demographics" sheetId="1" r:id="rId4"/>
    <sheet name="CRF" sheetId="2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4" l="1"/>
  <c r="P18" i="4"/>
  <c r="P12" i="4"/>
  <c r="D27" i="3"/>
  <c r="AQ6" i="4" l="1"/>
  <c r="L2" i="3" s="1"/>
  <c r="L3" i="3"/>
  <c r="D35" i="1"/>
  <c r="D34" i="1"/>
  <c r="D33" i="1"/>
  <c r="D32" i="1"/>
  <c r="C28" i="1"/>
  <c r="C26" i="1"/>
  <c r="C24" i="1"/>
  <c r="C36" i="5"/>
  <c r="C35" i="5"/>
  <c r="C29" i="5"/>
  <c r="C28" i="5"/>
  <c r="C18" i="5"/>
  <c r="Q5" i="5"/>
  <c r="Q4" i="5"/>
  <c r="P5" i="5"/>
  <c r="P4" i="5"/>
  <c r="O5" i="5"/>
  <c r="O4" i="5"/>
  <c r="T25" i="4"/>
  <c r="T24" i="4"/>
  <c r="AF6" i="4"/>
  <c r="T6" i="4"/>
  <c r="Z6" i="4"/>
  <c r="O6" i="4"/>
  <c r="H27" i="3"/>
  <c r="S18" i="4"/>
  <c r="G27" i="3" s="1"/>
  <c r="F27" i="3"/>
  <c r="AP12" i="4"/>
  <c r="C27" i="3" s="1"/>
  <c r="AP18" i="4"/>
  <c r="D35" i="3"/>
  <c r="D33" i="3"/>
  <c r="D32" i="3"/>
  <c r="AG18" i="4"/>
  <c r="AA18" i="4"/>
  <c r="U18" i="4"/>
  <c r="B35" i="3"/>
  <c r="B33" i="3"/>
  <c r="J12" i="4"/>
  <c r="AG12" i="4"/>
  <c r="AA12" i="4"/>
  <c r="U12" i="4"/>
  <c r="C32" i="5" l="1"/>
  <c r="R5" i="5"/>
  <c r="R4" i="5"/>
  <c r="D36" i="3"/>
  <c r="B36" i="3"/>
  <c r="B32" i="3"/>
  <c r="B34" i="3" s="1"/>
  <c r="D34" i="3"/>
  <c r="B8" i="1"/>
  <c r="B9" i="1"/>
  <c r="B18" i="3"/>
  <c r="D37" i="3" l="1"/>
  <c r="B37" i="3"/>
  <c r="D4" i="3"/>
  <c r="D5" i="3"/>
  <c r="D6" i="3"/>
  <c r="D7" i="3"/>
  <c r="D3" i="3"/>
  <c r="D8" i="3" l="1"/>
  <c r="L4" i="3" l="1"/>
  <c r="D8" i="2" l="1"/>
  <c r="B16" i="1" l="1"/>
  <c r="B15" i="1"/>
</calcChain>
</file>

<file path=xl/sharedStrings.xml><?xml version="1.0" encoding="utf-8"?>
<sst xmlns="http://schemas.openxmlformats.org/spreadsheetml/2006/main" count="301" uniqueCount="189">
  <si>
    <t>Area</t>
  </si>
  <si>
    <t>block groups within 5 miles radius</t>
  </si>
  <si>
    <t>Population</t>
  </si>
  <si>
    <t>Demographic Data Explorer</t>
  </si>
  <si>
    <t>Attributes</t>
  </si>
  <si>
    <t>Value</t>
  </si>
  <si>
    <t>Low-income Population</t>
  </si>
  <si>
    <t>Minority Population</t>
  </si>
  <si>
    <t>Household Population Under Poverty</t>
  </si>
  <si>
    <t>Disabled Persons</t>
  </si>
  <si>
    <t>Elderly Persons</t>
  </si>
  <si>
    <t>Limited English Proficiency</t>
  </si>
  <si>
    <t>Total population</t>
  </si>
  <si>
    <t>% low-income population</t>
  </si>
  <si>
    <t>% minority population</t>
  </si>
  <si>
    <t>Data:</t>
  </si>
  <si>
    <t>EJ population</t>
  </si>
  <si>
    <t>#</t>
  </si>
  <si>
    <t>Work Type (TxDOT HSIP)</t>
  </si>
  <si>
    <t>Work Code</t>
  </si>
  <si>
    <t>Crash Reduction Factor</t>
  </si>
  <si>
    <t>Service life</t>
  </si>
  <si>
    <t>Preventable Crash types</t>
  </si>
  <si>
    <t>Preventable Crash types (HSIP guidelines)</t>
  </si>
  <si>
    <t>Install Raised Median</t>
  </si>
  <si>
    <t>Non-Intersection related (Roadway Related)</t>
  </si>
  <si>
    <t>Part of Roadway No. 1 Involved, (Vehicle Movements/Manner
of Collision</t>
  </si>
  <si>
    <t>Roadway Related, Vehicle Movements/Manner of Collision</t>
  </si>
  <si>
    <t>Widen Paved Shoulders (to &gt; 5 ft.)</t>
  </si>
  <si>
    <t>Roadway Related</t>
  </si>
  <si>
    <t>Install Pavement Markings</t>
  </si>
  <si>
    <t>Consolidated CRF</t>
  </si>
  <si>
    <t>Grade Separation</t>
  </si>
  <si>
    <t>Intersection Related</t>
  </si>
  <si>
    <t>Install Sidewalks</t>
  </si>
  <si>
    <t>Pedestrian, Cyclist</t>
  </si>
  <si>
    <t>C</t>
  </si>
  <si>
    <t>Volume Growth</t>
  </si>
  <si>
    <t>Total Volume</t>
  </si>
  <si>
    <t>HGAC TDM 2023</t>
  </si>
  <si>
    <t>HGAC TDM 2045</t>
  </si>
  <si>
    <t>% growth</t>
  </si>
  <si>
    <t>Year</t>
  </si>
  <si>
    <t>TCDS1</t>
  </si>
  <si>
    <t>Average</t>
  </si>
  <si>
    <t>Total AADT</t>
  </si>
  <si>
    <t>FM 762 (BNSG Rail underpass)</t>
  </si>
  <si>
    <t>Travel Time Index (2022)</t>
  </si>
  <si>
    <t>Avg. TTI</t>
  </si>
  <si>
    <t>B</t>
  </si>
  <si>
    <t>Road</t>
  </si>
  <si>
    <t>LOS</t>
  </si>
  <si>
    <t>FM 762</t>
  </si>
  <si>
    <t>LOS D</t>
  </si>
  <si>
    <t>Growth</t>
  </si>
  <si>
    <t>Activity Connectivity Explorer</t>
  </si>
  <si>
    <t>% change</t>
  </si>
  <si>
    <t>Population (2021)</t>
  </si>
  <si>
    <t>Liveable center need index</t>
  </si>
  <si>
    <t>Forecast: population 2018</t>
  </si>
  <si>
    <t>Forecast: population 2045</t>
  </si>
  <si>
    <t>Forecast: Jobs 2018</t>
  </si>
  <si>
    <t>Forecast: Jobs 2045</t>
  </si>
  <si>
    <t>Forecast: Households 2018</t>
  </si>
  <si>
    <t>Forecast: Households 2045</t>
  </si>
  <si>
    <t>Residential</t>
  </si>
  <si>
    <t>Commercial</t>
  </si>
  <si>
    <t>Multiple</t>
  </si>
  <si>
    <t>Data: 1/4 mile buffer</t>
  </si>
  <si>
    <t>OBJECTID *</t>
  </si>
  <si>
    <t>Shape *</t>
  </si>
  <si>
    <t>FUNCL</t>
  </si>
  <si>
    <t>FACILITY_N</t>
  </si>
  <si>
    <t>ABNODE</t>
  </si>
  <si>
    <t>A</t>
  </si>
  <si>
    <t>LANES</t>
  </si>
  <si>
    <t>DISTANCE</t>
  </si>
  <si>
    <t>RTYPE</t>
  </si>
  <si>
    <t>AREA_TYP</t>
  </si>
  <si>
    <t>OV11HRSPD</t>
  </si>
  <si>
    <t>OV11HRTIME</t>
  </si>
  <si>
    <t>FFSPD</t>
  </si>
  <si>
    <t>PMVOL</t>
  </si>
  <si>
    <t>PMTIME</t>
  </si>
  <si>
    <t>PM_VC</t>
  </si>
  <si>
    <t>PMVOL_T</t>
  </si>
  <si>
    <t>PM4HRSPD</t>
  </si>
  <si>
    <t>PM4HRTIME</t>
  </si>
  <si>
    <t>MDVOL</t>
  </si>
  <si>
    <t>MDTIME</t>
  </si>
  <si>
    <t>MD_VC</t>
  </si>
  <si>
    <t>MDVOL_T</t>
  </si>
  <si>
    <t>MD6HRSPD</t>
  </si>
  <si>
    <t>MD6HRTIME</t>
  </si>
  <si>
    <t>AMVOL</t>
  </si>
  <si>
    <t>AMTIME</t>
  </si>
  <si>
    <t>AM_VC</t>
  </si>
  <si>
    <t>AMVOL_T</t>
  </si>
  <si>
    <t>AM3HRSPD</t>
  </si>
  <si>
    <t>AM3HRTIME</t>
  </si>
  <si>
    <t>TOTVOL</t>
  </si>
  <si>
    <t>VMT</t>
  </si>
  <si>
    <t>TRUCK_VMT</t>
  </si>
  <si>
    <t>AM3HRVHT</t>
  </si>
  <si>
    <t>MD6HRVHT</t>
  </si>
  <si>
    <t>PM4HRVHT</t>
  </si>
  <si>
    <t>OV11HRVHT</t>
  </si>
  <si>
    <t>HR24VHT</t>
  </si>
  <si>
    <t>TRUCKHRVHT</t>
  </si>
  <si>
    <t>TOTVOL_T</t>
  </si>
  <si>
    <t>TRUCKVHT</t>
  </si>
  <si>
    <t>Shape_Length</t>
  </si>
  <si>
    <t>Polyline</t>
  </si>
  <si>
    <t>CRABB RIVER RD/ FM 2759</t>
  </si>
  <si>
    <t>34020-26364</t>
  </si>
  <si>
    <t>41135-26364</t>
  </si>
  <si>
    <t>FM 762 Underpass</t>
  </si>
  <si>
    <t>2045 NB</t>
  </si>
  <si>
    <t>FID</t>
  </si>
  <si>
    <t>Shape</t>
  </si>
  <si>
    <t>PROJ_ID</t>
  </si>
  <si>
    <t>PROJ_IDA</t>
  </si>
  <si>
    <t>2045 B</t>
  </si>
  <si>
    <t xml:space="preserve">FM 762 (TDM Volumes) </t>
  </si>
  <si>
    <t>Volume (2045 NB)</t>
  </si>
  <si>
    <t>Volume 
(2045 B)</t>
  </si>
  <si>
    <t>V/C Ratio</t>
  </si>
  <si>
    <t>TDM PM Peak 
V/C Ratio</t>
  </si>
  <si>
    <t>Travel Time Index (TTI)</t>
  </si>
  <si>
    <t>2045 No Build</t>
  </si>
  <si>
    <t>2045 Build</t>
  </si>
  <si>
    <r>
      <t>SPD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(MPH)</t>
    </r>
  </si>
  <si>
    <t>Distance (miles)</t>
  </si>
  <si>
    <r>
      <t xml:space="preserve">TT </t>
    </r>
    <r>
      <rPr>
        <vertAlign val="subscript"/>
        <sz val="11"/>
        <color theme="1"/>
        <rFont val="Calibri"/>
        <family val="2"/>
        <scheme val="minor"/>
      </rPr>
      <t>peak</t>
    </r>
  </si>
  <si>
    <r>
      <t>SPD</t>
    </r>
    <r>
      <rPr>
        <vertAlign val="subscript"/>
        <sz val="11"/>
        <color theme="1"/>
        <rFont val="Calibri"/>
        <family val="2"/>
        <scheme val="minor"/>
      </rPr>
      <t xml:space="preserve">FF </t>
    </r>
    <r>
      <rPr>
        <sz val="11"/>
        <color theme="1"/>
        <rFont val="Calibri"/>
        <family val="2"/>
        <scheme val="minor"/>
      </rPr>
      <t>(MPH)</t>
    </r>
  </si>
  <si>
    <r>
      <t>TT</t>
    </r>
    <r>
      <rPr>
        <vertAlign val="subscript"/>
        <sz val="11"/>
        <color theme="1"/>
        <rFont val="Calibri"/>
        <family val="2"/>
        <scheme val="minor"/>
      </rPr>
      <t>free flow</t>
    </r>
  </si>
  <si>
    <t>TTI</t>
  </si>
  <si>
    <t>At FM 762 and FM 2759 intersection</t>
  </si>
  <si>
    <t>TDM Avg. V/C ratio</t>
  </si>
  <si>
    <t>INPUTS</t>
  </si>
  <si>
    <t>Project Information</t>
  </si>
  <si>
    <t>Project Title:</t>
  </si>
  <si>
    <t>Data entered by the sponsors</t>
  </si>
  <si>
    <t>Application ID Number:</t>
  </si>
  <si>
    <t>Data populated/calculated based on inputs</t>
  </si>
  <si>
    <t>MPOID/CSJ #</t>
  </si>
  <si>
    <t>Benefits calculated by the template</t>
  </si>
  <si>
    <t>Project County</t>
  </si>
  <si>
    <t>Fort Bend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</si>
  <si>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</si>
  <si>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&gt;=2025)</t>
    </r>
  </si>
  <si>
    <t>Type of Improvement</t>
  </si>
  <si>
    <t>Roadway improvements (Added Capacity, Grade Separations)  including HOV</t>
  </si>
  <si>
    <t>Type of Facility</t>
  </si>
  <si>
    <t>Non-Freeway</t>
  </si>
  <si>
    <t>Total Length of Corridors Affected by Project (miles)</t>
  </si>
  <si>
    <t>Average Roadway Speed Before Improvement (mph)</t>
  </si>
  <si>
    <t>Average Roadway Speed After Improvement (mph)</t>
  </si>
  <si>
    <t>Service Life of Project (from MoSERS)</t>
  </si>
  <si>
    <t>Daily Travel Demand</t>
  </si>
  <si>
    <t>2021 Average Daily Traffic Volume of Corridors Affected by project</t>
  </si>
  <si>
    <t>OUTPUTS</t>
  </si>
  <si>
    <t>Benefit Results</t>
  </si>
  <si>
    <t>Discounted NOx Benefits @ 7% (2021 $)</t>
  </si>
  <si>
    <t>Discounted VOC Benefits @ 7% (2021 $)</t>
  </si>
  <si>
    <t>Total Emissions Benefit Results</t>
  </si>
  <si>
    <t>Discounted Emissions Benefits @ 7% (2021 $)</t>
  </si>
  <si>
    <t>Total Emissions Reductions</t>
  </si>
  <si>
    <t>NOx Emission Reductions (tons)</t>
  </si>
  <si>
    <t>VOC Emission Reductions (tons)</t>
  </si>
  <si>
    <t>Speed</t>
  </si>
  <si>
    <t>PM 4 Hr</t>
  </si>
  <si>
    <t>MD 6 Hr</t>
  </si>
  <si>
    <t>AM 3 Hr</t>
  </si>
  <si>
    <t>Avg. Spd</t>
  </si>
  <si>
    <t>Avg. Speed before improvements (2045 NB)</t>
  </si>
  <si>
    <t>Avg. Speed after improvements (2045 B)</t>
  </si>
  <si>
    <t>FM 762 NBSF Rail Underpass</t>
  </si>
  <si>
    <t>Data: 2 miles buffer</t>
  </si>
  <si>
    <t>Land Use Growth (2 miles buffer)</t>
  </si>
  <si>
    <t>Current</t>
  </si>
  <si>
    <t>Industrial</t>
  </si>
  <si>
    <t>Assumed K factor=0.12, D factor= 0.5, HCM 7 Exhibit 12-42</t>
  </si>
  <si>
    <t>Within 1/4 mile buffer</t>
  </si>
  <si>
    <t>Medical facilities</t>
  </si>
  <si>
    <t>Education facilities</t>
  </si>
  <si>
    <t>Social services facilities</t>
  </si>
  <si>
    <t>Centro de Campeones Church;
Dominion Church</t>
  </si>
  <si>
    <t>Care &amp; Comfort Home Health;
Greatwood Veterinary Hospital,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</si>
</sst>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0.0"/>
    <numFmt numFmtId="166" formatCode="0.0000"/>
    <numFmt numFmtId="167" formatCode="#,##0.0"/>
    <numFmt numFmtId="168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9" fontId="0" fillId="0" borderId="3" xfId="0" applyNumberFormat="1" applyBorder="1" applyAlignment="1">
      <alignment horizontal="center" vertical="center" wrapText="1"/>
    </xf>
    <xf numFmtId="0" fontId="0" fillId="0" borderId="3" xfId="0" applyBorder="1"/>
    <xf numFmtId="1" fontId="0" fillId="0" borderId="3" xfId="0" applyNumberFormat="1" applyBorder="1"/>
    <xf numFmtId="2" fontId="0" fillId="0" borderId="3" xfId="0" applyNumberFormat="1" applyBorder="1"/>
    <xf numFmtId="1" fontId="0" fillId="0" borderId="0" xfId="0" applyNumberFormat="1"/>
    <xf numFmtId="2" fontId="0" fillId="0" borderId="0" xfId="0" applyNumberFormat="1"/>
    <xf numFmtId="0" fontId="2" fillId="4" borderId="3" xfId="0" applyFont="1" applyFill="1" applyBorder="1"/>
    <xf numFmtId="9" fontId="0" fillId="0" borderId="3" xfId="1" applyFont="1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6" fillId="0" borderId="3" xfId="0" applyFont="1" applyBorder="1"/>
    <xf numFmtId="1" fontId="2" fillId="0" borderId="3" xfId="0" applyNumberFormat="1" applyFont="1" applyBorder="1"/>
    <xf numFmtId="0" fontId="0" fillId="0" borderId="4" xfId="0" applyBorder="1"/>
    <xf numFmtId="1" fontId="0" fillId="0" borderId="4" xfId="0" applyNumberFormat="1" applyBorder="1"/>
    <xf numFmtId="0" fontId="0" fillId="0" borderId="5" xfId="0" applyBorder="1"/>
    <xf numFmtId="1" fontId="0" fillId="0" borderId="5" xfId="0" applyNumberFormat="1" applyBorder="1"/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/>
    <xf numFmtId="0" fontId="2" fillId="6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/>
    </xf>
    <xf numFmtId="0" fontId="2" fillId="7" borderId="0" xfId="0" applyFont="1" applyFill="1"/>
    <xf numFmtId="9" fontId="0" fillId="0" borderId="0" xfId="1" applyFont="1"/>
    <xf numFmtId="2" fontId="0" fillId="0" borderId="3" xfId="0" applyNumberFormat="1" applyBorder="1" applyAlignment="1">
      <alignment horizontal="center" vertical="center"/>
    </xf>
    <xf numFmtId="0" fontId="2" fillId="0" borderId="0" xfId="0" applyFont="1"/>
    <xf numFmtId="0" fontId="2" fillId="6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0" fontId="0" fillId="0" borderId="14" xfId="0" applyBorder="1"/>
    <xf numFmtId="2" fontId="2" fillId="0" borderId="9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9" fillId="0" borderId="17" xfId="0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3" xfId="0" applyFill="1" applyBorder="1" applyAlignment="1" applyProtection="1">
      <alignment horizontal="left" vertical="center" wrapText="1"/>
      <protection locked="0"/>
    </xf>
    <xf numFmtId="0" fontId="0" fillId="6" borderId="3" xfId="0" applyFill="1" applyBorder="1" applyAlignment="1" applyProtection="1">
      <alignment horizontal="left" vertical="center"/>
      <protection locked="0"/>
    </xf>
    <xf numFmtId="0" fontId="0" fillId="8" borderId="3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6" borderId="3" xfId="0" applyFill="1" applyBorder="1" applyAlignment="1">
      <alignment horizontal="left" vertical="center"/>
    </xf>
    <xf numFmtId="3" fontId="0" fillId="6" borderId="3" xfId="0" applyNumberFormat="1" applyFill="1" applyBorder="1" applyAlignment="1" applyProtection="1">
      <alignment horizontal="left" vertical="center"/>
      <protection locked="0"/>
    </xf>
    <xf numFmtId="167" fontId="0" fillId="6" borderId="3" xfId="0" applyNumberFormat="1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>
      <alignment horizontal="left" vertical="center" wrapText="1"/>
    </xf>
    <xf numFmtId="0" fontId="0" fillId="8" borderId="11" xfId="0" applyFill="1" applyBorder="1" applyAlignment="1">
      <alignment vertical="center"/>
    </xf>
    <xf numFmtId="0" fontId="0" fillId="8" borderId="3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8" fillId="10" borderId="3" xfId="0" applyFont="1" applyFill="1" applyBorder="1" applyAlignment="1">
      <alignment vertical="center"/>
    </xf>
    <xf numFmtId="168" fontId="0" fillId="9" borderId="3" xfId="0" applyNumberFormat="1" applyFill="1" applyBorder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43" fontId="0" fillId="9" borderId="3" xfId="2" applyFont="1" applyFill="1" applyBorder="1" applyAlignment="1" applyProtection="1">
      <alignment horizontal="left" vertical="center"/>
    </xf>
    <xf numFmtId="164" fontId="0" fillId="0" borderId="3" xfId="1" applyNumberFormat="1" applyFont="1" applyBorder="1"/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0" fillId="0" borderId="18" xfId="0" applyBorder="1" applyAlignment="1">
      <alignment horizontal="center" wrapText="1"/>
    </xf>
    <xf numFmtId="2" fontId="0" fillId="0" borderId="3" xfId="0" applyNumberForma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/>
    <xf numFmtId="2" fontId="0" fillId="0" borderId="0" xfId="0" applyNumberFormat="1" applyFill="1" applyBorder="1"/>
    <xf numFmtId="0" fontId="2" fillId="2" borderId="3" xfId="0" applyFont="1" applyFill="1" applyBorder="1" applyAlignment="1">
      <alignment horizontal="center" vertical="center"/>
    </xf>
    <xf numFmtId="9" fontId="0" fillId="0" borderId="3" xfId="0" applyNumberForma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6</xdr:row>
      <xdr:rowOff>0</xdr:rowOff>
    </xdr:from>
    <xdr:to>
      <xdr:col>22</xdr:col>
      <xdr:colOff>478672</xdr:colOff>
      <xdr:row>28</xdr:row>
      <xdr:rowOff>135674</xdr:rowOff>
    </xdr:to>
    <xdr:pic>
      <xdr:nvPicPr>
        <xdr:cNvPr id="2" name="Picture 1" descr="A white sheet with black text&#10;&#10;Description automatically generated">
          <a:extLst>
            <a:ext uri="{FF2B5EF4-FFF2-40B4-BE49-F238E27FC236}">
              <a16:creationId xmlns:a16="http://schemas.microsoft.com/office/drawing/2014/main" id="{C91C5F34-C0A3-40D7-958F-B88294067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2225" y="1457325"/>
          <a:ext cx="5972692" cy="4861979"/>
        </a:xfrm>
        <a:prstGeom prst="rect">
          <a:avLst/>
        </a:prstGeom>
      </xdr:spPr>
    </xdr:pic>
    <xdr:clientData/>
  </xdr:twoCellAnchor>
  <xdr:twoCellAnchor>
    <xdr:from>
      <xdr:col>13</xdr:col>
      <xdr:colOff>135255</xdr:colOff>
      <xdr:row>25</xdr:row>
      <xdr:rowOff>371475</xdr:rowOff>
    </xdr:from>
    <xdr:to>
      <xdr:col>21</xdr:col>
      <xdr:colOff>268605</xdr:colOff>
      <xdr:row>25</xdr:row>
      <xdr:rowOff>542925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E0B38F5-227D-4905-B7CC-4340E0B97B5F}"/>
            </a:ext>
          </a:extLst>
        </xdr:cNvPr>
        <xdr:cNvSpPr/>
      </xdr:nvSpPr>
      <xdr:spPr>
        <a:xfrm>
          <a:off x="11289030" y="5324475"/>
          <a:ext cx="5010150" cy="1714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1095375</xdr:colOff>
      <xdr:row>38</xdr:row>
      <xdr:rowOff>0</xdr:rowOff>
    </xdr:from>
    <xdr:to>
      <xdr:col>7</xdr:col>
      <xdr:colOff>1020006</xdr:colOff>
      <xdr:row>76</xdr:row>
      <xdr:rowOff>20063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454875-2020-7523-CA73-448533A6D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5375" y="8362950"/>
          <a:ext cx="5953956" cy="7259063"/>
        </a:xfrm>
        <a:prstGeom prst="rect">
          <a:avLst/>
        </a:prstGeom>
      </xdr:spPr>
    </xdr:pic>
    <xdr:clientData/>
  </xdr:twoCellAnchor>
  <xdr:twoCellAnchor>
    <xdr:from>
      <xdr:col>0</xdr:col>
      <xdr:colOff>1123950</xdr:colOff>
      <xdr:row>61</xdr:row>
      <xdr:rowOff>142875</xdr:rowOff>
    </xdr:from>
    <xdr:to>
      <xdr:col>3</xdr:col>
      <xdr:colOff>276225</xdr:colOff>
      <xdr:row>62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C0130AB-99F8-4F7A-8D40-179B375E37DE}"/>
            </a:ext>
          </a:extLst>
        </xdr:cNvPr>
        <xdr:cNvSpPr/>
      </xdr:nvSpPr>
      <xdr:spPr>
        <a:xfrm>
          <a:off x="1123950" y="12887325"/>
          <a:ext cx="2400300" cy="1714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etorgft4168179-my.sharepoint.com/personal/ashish_loney_aigtechnical_com/Documents/AIG2/Projects2/2319_HGAC_CFP_FBC/04_Technical/41_Data%20Collection/00_H-GAC%20Resources/benefit%20Cost%20Analysis/Roadway-Emissions-Benefits-Template-August-1-2023.xlsx" TargetMode="External"/><Relationship Id="rId2" Type="http://schemas.microsoft.com/office/2019/04/relationships/externalLinkLongPath" Target="/personal/ashish_loney_aigtechnical_com/Documents/AIG2/Projects2/2319_HGAC_CFP_FBC/04_Technical/41_Data%20Collection/00_H-GAC%20Resources/benefit%20Cost%20Analysis/Roadway-Emissions-Benefits-Template-August-1-2023.xlsx?EE14C0C8" TargetMode="External"/><Relationship Id="rId1" Type="http://schemas.openxmlformats.org/officeDocument/2006/relationships/externalLinkPath" Target="file:///\\EE14C0C8\Roadway-Emissions-Benefits-Template-August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ITS Delay Worksheet"/>
      <sheetName val="Emissions Reduction Worksheet"/>
      <sheetName val="Inputs &amp; Outputs"/>
      <sheetName val="Benefit Calculations"/>
      <sheetName val="Value of Emissions"/>
      <sheetName val="Emission Factors - NOx"/>
      <sheetName val="Emission Factors - VOC"/>
      <sheetName val="Service Life"/>
      <sheetName val="Assumed Values"/>
      <sheetName val="Growth Rates"/>
    </sheetNames>
    <sheetDataSet>
      <sheetData sheetId="0"/>
      <sheetData sheetId="1"/>
      <sheetData sheetId="2"/>
      <sheetData sheetId="3"/>
      <sheetData sheetId="4">
        <row r="35">
          <cell r="K35">
            <v>0.12857436324939236</v>
          </cell>
          <cell r="M35">
            <v>913.91455373444137</v>
          </cell>
          <cell r="O35">
            <v>0.46539341039911619</v>
          </cell>
          <cell r="Q35">
            <v>156772.62679864088</v>
          </cell>
        </row>
      </sheetData>
      <sheetData sheetId="5"/>
      <sheetData sheetId="6"/>
      <sheetData sheetId="7"/>
      <sheetData sheetId="8">
        <row r="6">
          <cell r="C6" t="str">
            <v>Existing transit service improvements, TDM programs, ridesharing
and vanpool programs, and pricing and fare strategies</v>
          </cell>
          <cell r="D6">
            <v>2</v>
          </cell>
        </row>
        <row r="7">
          <cell r="C7" t="str">
            <v>Intersection improvements</v>
          </cell>
          <cell r="D7">
            <v>4</v>
          </cell>
        </row>
        <row r="8">
          <cell r="C8" t="str">
            <v>Signalization improvements</v>
          </cell>
          <cell r="D8">
            <v>3</v>
          </cell>
        </row>
        <row r="9">
          <cell r="C9" t="str">
            <v>Telecommunications/telework programs</v>
          </cell>
          <cell r="D9">
            <v>5</v>
          </cell>
        </row>
        <row r="10">
          <cell r="C10" t="str">
            <v>Intelligent transportation systems (ITS), new buses or alternative fuel buses, bicycle/pedestrian facilities, and park-and-ride lots</v>
          </cell>
          <cell r="D10">
            <v>12</v>
          </cell>
        </row>
        <row r="11">
          <cell r="C11" t="str">
            <v>Roadway improvements (Added Capacity, Grade Separations)  including HOV</v>
          </cell>
          <cell r="D11">
            <v>20</v>
          </cell>
        </row>
        <row r="12">
          <cell r="C12" t="str">
            <v>For rail transit systems, parking structures, and pavements</v>
          </cell>
          <cell r="D12">
            <v>35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377C-8C64-4675-9A1C-7C26E2E19401}">
  <dimension ref="A1:AS25"/>
  <sheetViews>
    <sheetView tabSelected="1" workbookViewId="0">
      <selection activeCell="J18" sqref="J18"/>
    </sheetView>
  </sheetViews>
  <sheetFormatPr defaultRowHeight="15" x14ac:dyDescent="0.25"/>
  <sheetData>
    <row r="1" spans="1:45" x14ac:dyDescent="0.25">
      <c r="A1" s="42">
        <v>2023</v>
      </c>
      <c r="B1" s="42" t="s">
        <v>116</v>
      </c>
    </row>
    <row r="3" spans="1:45" x14ac:dyDescent="0.25">
      <c r="A3" s="19" t="s">
        <v>69</v>
      </c>
      <c r="B3" s="19" t="s">
        <v>70</v>
      </c>
      <c r="C3" s="19" t="s">
        <v>71</v>
      </c>
      <c r="D3" s="19" t="s">
        <v>72</v>
      </c>
      <c r="E3" s="19" t="s">
        <v>73</v>
      </c>
      <c r="F3" s="19" t="s">
        <v>74</v>
      </c>
      <c r="G3" s="19" t="s">
        <v>49</v>
      </c>
      <c r="H3" s="19" t="s">
        <v>75</v>
      </c>
      <c r="I3" s="19" t="s">
        <v>76</v>
      </c>
      <c r="J3" s="19" t="s">
        <v>77</v>
      </c>
      <c r="K3" s="19" t="s">
        <v>78</v>
      </c>
      <c r="L3" s="19" t="s">
        <v>36</v>
      </c>
      <c r="M3" s="19" t="s">
        <v>79</v>
      </c>
      <c r="N3" s="19" t="s">
        <v>80</v>
      </c>
      <c r="O3" s="19" t="s">
        <v>81</v>
      </c>
      <c r="P3" s="19" t="s">
        <v>82</v>
      </c>
      <c r="Q3" s="19" t="s">
        <v>83</v>
      </c>
      <c r="R3" s="19" t="s">
        <v>84</v>
      </c>
      <c r="S3" s="19" t="s">
        <v>85</v>
      </c>
      <c r="T3" s="19" t="s">
        <v>86</v>
      </c>
      <c r="U3" s="19" t="s">
        <v>87</v>
      </c>
      <c r="V3" s="19" t="s">
        <v>88</v>
      </c>
      <c r="W3" s="19" t="s">
        <v>89</v>
      </c>
      <c r="X3" s="19" t="s">
        <v>90</v>
      </c>
      <c r="Y3" s="19" t="s">
        <v>91</v>
      </c>
      <c r="Z3" s="19" t="s">
        <v>92</v>
      </c>
      <c r="AA3" s="19" t="s">
        <v>93</v>
      </c>
      <c r="AB3" s="19" t="s">
        <v>94</v>
      </c>
      <c r="AC3" s="19" t="s">
        <v>95</v>
      </c>
      <c r="AD3" s="19" t="s">
        <v>96</v>
      </c>
      <c r="AE3" s="19" t="s">
        <v>97</v>
      </c>
      <c r="AF3" s="19" t="s">
        <v>98</v>
      </c>
      <c r="AG3" s="19" t="s">
        <v>99</v>
      </c>
      <c r="AH3" s="19" t="s">
        <v>100</v>
      </c>
      <c r="AI3" s="19" t="s">
        <v>101</v>
      </c>
      <c r="AJ3" s="19" t="s">
        <v>102</v>
      </c>
      <c r="AK3" s="19" t="s">
        <v>103</v>
      </c>
      <c r="AL3" s="19" t="s">
        <v>104</v>
      </c>
      <c r="AM3" s="19" t="s">
        <v>105</v>
      </c>
      <c r="AN3" s="19" t="s">
        <v>106</v>
      </c>
      <c r="AO3" s="19" t="s">
        <v>107</v>
      </c>
      <c r="AP3" s="19" t="s">
        <v>108</v>
      </c>
      <c r="AQ3" s="19" t="s">
        <v>109</v>
      </c>
      <c r="AR3" s="19" t="s">
        <v>110</v>
      </c>
      <c r="AS3" s="19" t="s">
        <v>111</v>
      </c>
    </row>
    <row r="4" spans="1:45" x14ac:dyDescent="0.25">
      <c r="A4" s="19">
        <v>10186</v>
      </c>
      <c r="B4" s="19" t="s">
        <v>112</v>
      </c>
      <c r="C4" s="19">
        <v>13</v>
      </c>
      <c r="D4" s="19" t="s">
        <v>113</v>
      </c>
      <c r="E4" s="19" t="s">
        <v>114</v>
      </c>
      <c r="F4" s="19">
        <v>34020</v>
      </c>
      <c r="G4" s="19">
        <v>26364</v>
      </c>
      <c r="H4" s="19">
        <v>1</v>
      </c>
      <c r="I4" s="19">
        <v>0.70774999999999999</v>
      </c>
      <c r="J4" s="19">
        <v>13</v>
      </c>
      <c r="K4" s="19">
        <v>4</v>
      </c>
      <c r="L4" s="19">
        <v>18792</v>
      </c>
      <c r="M4" s="19">
        <v>33.83</v>
      </c>
      <c r="N4" s="19">
        <v>1.25525</v>
      </c>
      <c r="O4" s="19">
        <v>36</v>
      </c>
      <c r="P4" s="19">
        <v>3784.7192399999999</v>
      </c>
      <c r="Q4" s="19">
        <v>2.77616</v>
      </c>
      <c r="R4" s="19">
        <v>1.2083999999999999</v>
      </c>
      <c r="S4" s="19">
        <v>6898.3540000000003</v>
      </c>
      <c r="T4" s="19">
        <v>25.5</v>
      </c>
      <c r="U4" s="19">
        <v>1.6652899999999999</v>
      </c>
      <c r="V4" s="19">
        <v>4384.1601600000004</v>
      </c>
      <c r="W4" s="19">
        <v>1.7254499999999999</v>
      </c>
      <c r="X4" s="19">
        <v>0.93320000000000003</v>
      </c>
      <c r="Y4" s="19">
        <v>8931.9599600000001</v>
      </c>
      <c r="Z4" s="19">
        <v>30.31</v>
      </c>
      <c r="AA4" s="19">
        <v>1.4010199999999999</v>
      </c>
      <c r="AB4" s="19">
        <v>1713.16858</v>
      </c>
      <c r="AC4" s="19">
        <v>1.31253</v>
      </c>
      <c r="AD4" s="19">
        <v>0.72931999999999997</v>
      </c>
      <c r="AE4" s="19">
        <v>4581.7700199999999</v>
      </c>
      <c r="AF4" s="19">
        <v>33.159999999999997</v>
      </c>
      <c r="AG4" s="19">
        <v>1.28061</v>
      </c>
      <c r="AH4" s="19">
        <v>14941.247069999999</v>
      </c>
      <c r="AI4" s="19">
        <v>10574.66797</v>
      </c>
      <c r="AJ4" s="19">
        <v>162.81369000000001</v>
      </c>
      <c r="AK4" s="19">
        <v>36.564990000000002</v>
      </c>
      <c r="AL4" s="19">
        <v>102.37179999999999</v>
      </c>
      <c r="AM4" s="19">
        <v>105.04452000000001</v>
      </c>
      <c r="AN4" s="19">
        <v>105.84238999999999</v>
      </c>
      <c r="AO4" s="19">
        <v>349.82369999999997</v>
      </c>
      <c r="AP4" s="19">
        <v>5.0119600000000002</v>
      </c>
      <c r="AQ4" s="19">
        <v>28440.26367</v>
      </c>
      <c r="AR4" s="19">
        <v>5.2163500000000003</v>
      </c>
      <c r="AS4" s="19">
        <v>3736.9244389999999</v>
      </c>
    </row>
    <row r="5" spans="1:45" x14ac:dyDescent="0.25">
      <c r="A5" s="19">
        <v>17536</v>
      </c>
      <c r="B5" s="19" t="s">
        <v>112</v>
      </c>
      <c r="C5" s="19">
        <v>15</v>
      </c>
      <c r="D5" s="19" t="s">
        <v>52</v>
      </c>
      <c r="E5" s="19" t="s">
        <v>115</v>
      </c>
      <c r="F5" s="19">
        <v>41135</v>
      </c>
      <c r="G5" s="19">
        <v>26364</v>
      </c>
      <c r="H5" s="19">
        <v>1</v>
      </c>
      <c r="I5" s="19">
        <v>1.0345500000000001</v>
      </c>
      <c r="J5" s="19">
        <v>16</v>
      </c>
      <c r="K5" s="19">
        <v>5</v>
      </c>
      <c r="L5" s="19">
        <v>16512</v>
      </c>
      <c r="M5" s="19">
        <v>51.69</v>
      </c>
      <c r="N5" s="19">
        <v>1.2008700000000001</v>
      </c>
      <c r="O5" s="19">
        <v>54</v>
      </c>
      <c r="P5" s="19">
        <v>3307.7866199999999</v>
      </c>
      <c r="Q5" s="19">
        <v>4.5156799999999997</v>
      </c>
      <c r="R5" s="19">
        <v>1.2019599999999999</v>
      </c>
      <c r="S5" s="19">
        <v>7067.4204099999997</v>
      </c>
      <c r="T5" s="19">
        <v>38.450000000000003</v>
      </c>
      <c r="U5" s="19">
        <v>1.6143799999999999</v>
      </c>
      <c r="V5" s="19">
        <v>3870.94922</v>
      </c>
      <c r="W5" s="19">
        <v>2.5739700000000001</v>
      </c>
      <c r="X5" s="19">
        <v>0.93772999999999995</v>
      </c>
      <c r="Y5" s="19">
        <v>7190.3237300000001</v>
      </c>
      <c r="Z5" s="19">
        <v>45.46</v>
      </c>
      <c r="AA5" s="19">
        <v>1.36544</v>
      </c>
      <c r="AB5" s="19">
        <v>2872.51514</v>
      </c>
      <c r="AC5" s="19">
        <v>6.7578500000000004</v>
      </c>
      <c r="AD5" s="19">
        <v>1.3917200000000001</v>
      </c>
      <c r="AE5" s="19">
        <v>4810.4843799999999</v>
      </c>
      <c r="AF5" s="19">
        <v>34.93</v>
      </c>
      <c r="AG5" s="19">
        <v>1.7770699999999999</v>
      </c>
      <c r="AH5" s="19">
        <v>11977.247069999999</v>
      </c>
      <c r="AI5" s="19">
        <v>12391.06055</v>
      </c>
      <c r="AJ5" s="19">
        <v>357.72219999999999</v>
      </c>
      <c r="AK5" s="19">
        <v>85.077600000000004</v>
      </c>
      <c r="AL5" s="19">
        <v>88.092609999999993</v>
      </c>
      <c r="AM5" s="19">
        <v>89.000529999999998</v>
      </c>
      <c r="AN5" s="19">
        <v>38.547870000000003</v>
      </c>
      <c r="AO5" s="19">
        <v>300.71863000000002</v>
      </c>
      <c r="AP5" s="19">
        <v>7.5190000000000001</v>
      </c>
      <c r="AQ5" s="19">
        <v>23848.636719999999</v>
      </c>
      <c r="AR5" s="19">
        <v>11.78947</v>
      </c>
      <c r="AS5" s="19">
        <v>5462.4105060000002</v>
      </c>
    </row>
    <row r="6" spans="1:45" x14ac:dyDescent="0.25">
      <c r="O6">
        <f>AVERAGE(O4:O5)</f>
        <v>45</v>
      </c>
      <c r="T6">
        <f>AVERAGE(T4:T5)</f>
        <v>31.975000000000001</v>
      </c>
      <c r="Z6">
        <f>AVERAGE(Z4:Z5)</f>
        <v>37.884999999999998</v>
      </c>
      <c r="AF6">
        <f>AVERAGE(AF4:AF5)</f>
        <v>34.045000000000002</v>
      </c>
      <c r="AQ6">
        <f>AVERAGE(AQ4:AQ5)</f>
        <v>26144.450194999998</v>
      </c>
    </row>
    <row r="7" spans="1:45" x14ac:dyDescent="0.25">
      <c r="A7" s="42" t="s">
        <v>117</v>
      </c>
      <c r="B7" s="42" t="s">
        <v>116</v>
      </c>
    </row>
    <row r="9" spans="1:45" x14ac:dyDescent="0.25">
      <c r="A9" s="19" t="s">
        <v>118</v>
      </c>
      <c r="B9" s="19" t="s">
        <v>119</v>
      </c>
      <c r="C9" s="19" t="s">
        <v>72</v>
      </c>
      <c r="D9" s="19" t="s">
        <v>120</v>
      </c>
      <c r="E9" s="19" t="s">
        <v>121</v>
      </c>
      <c r="F9" s="19" t="s">
        <v>73</v>
      </c>
      <c r="G9" s="19" t="s">
        <v>74</v>
      </c>
      <c r="H9" s="19" t="s">
        <v>49</v>
      </c>
      <c r="I9" s="19" t="s">
        <v>75</v>
      </c>
      <c r="J9" s="19" t="s">
        <v>76</v>
      </c>
      <c r="K9" s="19" t="s">
        <v>77</v>
      </c>
      <c r="L9" s="19" t="s">
        <v>78</v>
      </c>
      <c r="M9" s="19" t="s">
        <v>36</v>
      </c>
      <c r="N9" s="19" t="s">
        <v>79</v>
      </c>
      <c r="O9" s="19" t="s">
        <v>80</v>
      </c>
      <c r="P9" s="19" t="s">
        <v>81</v>
      </c>
      <c r="Q9" s="19" t="s">
        <v>82</v>
      </c>
      <c r="R9" s="19" t="s">
        <v>83</v>
      </c>
      <c r="S9" s="19" t="s">
        <v>84</v>
      </c>
      <c r="T9" s="19" t="s">
        <v>85</v>
      </c>
      <c r="U9" s="19" t="s">
        <v>86</v>
      </c>
      <c r="V9" s="19" t="s">
        <v>87</v>
      </c>
      <c r="W9" s="19" t="s">
        <v>88</v>
      </c>
      <c r="X9" s="19" t="s">
        <v>89</v>
      </c>
      <c r="Y9" s="19" t="s">
        <v>90</v>
      </c>
      <c r="Z9" s="19" t="s">
        <v>91</v>
      </c>
      <c r="AA9" s="19" t="s">
        <v>92</v>
      </c>
      <c r="AB9" s="19" t="s">
        <v>93</v>
      </c>
      <c r="AC9" s="19" t="s">
        <v>94</v>
      </c>
      <c r="AD9" s="19" t="s">
        <v>95</v>
      </c>
      <c r="AE9" s="19" t="s">
        <v>96</v>
      </c>
      <c r="AF9" s="19" t="s">
        <v>97</v>
      </c>
      <c r="AG9" s="19" t="s">
        <v>98</v>
      </c>
      <c r="AH9" s="19" t="s">
        <v>99</v>
      </c>
      <c r="AI9" s="19" t="s">
        <v>100</v>
      </c>
      <c r="AJ9" s="19" t="s">
        <v>101</v>
      </c>
      <c r="AK9" s="19" t="s">
        <v>103</v>
      </c>
      <c r="AL9" s="19" t="s">
        <v>104</v>
      </c>
      <c r="AM9" s="19" t="s">
        <v>105</v>
      </c>
      <c r="AN9" s="19" t="s">
        <v>106</v>
      </c>
      <c r="AO9" s="19" t="s">
        <v>107</v>
      </c>
      <c r="AP9" s="19" t="s">
        <v>109</v>
      </c>
    </row>
    <row r="10" spans="1:45" x14ac:dyDescent="0.25">
      <c r="A10" s="19">
        <v>10401</v>
      </c>
      <c r="B10" s="19" t="s">
        <v>112</v>
      </c>
      <c r="C10" s="19" t="s">
        <v>113</v>
      </c>
      <c r="D10" s="19">
        <v>14711</v>
      </c>
      <c r="E10" s="19">
        <v>15382</v>
      </c>
      <c r="F10" s="19" t="s">
        <v>114</v>
      </c>
      <c r="G10" s="19">
        <v>34020</v>
      </c>
      <c r="H10" s="19">
        <v>26364</v>
      </c>
      <c r="I10" s="19">
        <v>2</v>
      </c>
      <c r="J10" s="19">
        <v>0.70774999999999999</v>
      </c>
      <c r="K10" s="19">
        <v>12</v>
      </c>
      <c r="L10" s="19">
        <v>4</v>
      </c>
      <c r="M10" s="19">
        <v>37512</v>
      </c>
      <c r="N10" s="19">
        <v>37.93</v>
      </c>
      <c r="O10" s="19">
        <v>1.1195600000000001</v>
      </c>
      <c r="P10" s="19">
        <v>40.5</v>
      </c>
      <c r="Q10" s="19">
        <v>9710.9716800000006</v>
      </c>
      <c r="R10" s="19">
        <v>5.1386099999999999</v>
      </c>
      <c r="S10" s="19">
        <v>1.5532600000000001</v>
      </c>
      <c r="T10" s="19">
        <v>15090.344730000001</v>
      </c>
      <c r="U10" s="19">
        <v>21.96</v>
      </c>
      <c r="V10" s="19">
        <v>1.93374</v>
      </c>
      <c r="W10" s="19">
        <v>6770.4379900000004</v>
      </c>
      <c r="X10" s="19">
        <v>1.27173</v>
      </c>
      <c r="Y10" s="19">
        <v>0.72194999999999998</v>
      </c>
      <c r="Z10" s="19">
        <v>14052.896479999999</v>
      </c>
      <c r="AA10" s="19">
        <v>36.28</v>
      </c>
      <c r="AB10" s="19">
        <v>1.17048</v>
      </c>
      <c r="AC10" s="19">
        <v>3244.7748999999999</v>
      </c>
      <c r="AD10" s="19">
        <v>1.2325600000000001</v>
      </c>
      <c r="AE10" s="19">
        <v>0.69199999999999995</v>
      </c>
      <c r="AF10" s="19">
        <v>9699.4433599999993</v>
      </c>
      <c r="AG10" s="19">
        <v>36.72</v>
      </c>
      <c r="AH10" s="19">
        <v>1.15645</v>
      </c>
      <c r="AI10" s="19">
        <v>26759.472659999999</v>
      </c>
      <c r="AJ10" s="19">
        <v>18939.01758</v>
      </c>
      <c r="AK10" s="19">
        <v>62.540570000000002</v>
      </c>
      <c r="AL10" s="19">
        <v>132.07767000000001</v>
      </c>
      <c r="AM10" s="19">
        <v>312.97543000000002</v>
      </c>
      <c r="AN10" s="19">
        <v>131.23676</v>
      </c>
      <c r="AO10" s="19">
        <v>638.83043999999995</v>
      </c>
      <c r="AP10" s="19">
        <v>51438.339840000001</v>
      </c>
    </row>
    <row r="11" spans="1:45" x14ac:dyDescent="0.25">
      <c r="A11" s="19">
        <v>17840</v>
      </c>
      <c r="B11" s="19" t="s">
        <v>112</v>
      </c>
      <c r="C11" s="19" t="s">
        <v>52</v>
      </c>
      <c r="D11" s="19">
        <v>14710</v>
      </c>
      <c r="E11" s="19">
        <v>15382</v>
      </c>
      <c r="F11" s="19" t="s">
        <v>115</v>
      </c>
      <c r="G11" s="19">
        <v>41135</v>
      </c>
      <c r="H11" s="19">
        <v>26364</v>
      </c>
      <c r="I11" s="19">
        <v>2</v>
      </c>
      <c r="J11" s="19">
        <v>1.0345500000000001</v>
      </c>
      <c r="K11" s="19">
        <v>16</v>
      </c>
      <c r="L11" s="19">
        <v>5</v>
      </c>
      <c r="M11" s="19">
        <v>31752</v>
      </c>
      <c r="N11" s="19">
        <v>55.96</v>
      </c>
      <c r="O11" s="19">
        <v>1.10924</v>
      </c>
      <c r="P11" s="19">
        <v>59</v>
      </c>
      <c r="Q11" s="19">
        <v>7379.6201199999996</v>
      </c>
      <c r="R11" s="19">
        <v>6.7967700000000004</v>
      </c>
      <c r="S11" s="19">
        <v>1.39449</v>
      </c>
      <c r="T11" s="19">
        <v>18520.091799999998</v>
      </c>
      <c r="U11" s="19">
        <v>35.9</v>
      </c>
      <c r="V11" s="19">
        <v>1.72905</v>
      </c>
      <c r="W11" s="19">
        <v>9021.7216800000006</v>
      </c>
      <c r="X11" s="19">
        <v>3.92062</v>
      </c>
      <c r="Y11" s="19">
        <v>1.13652</v>
      </c>
      <c r="Z11" s="19">
        <v>17087.191409999999</v>
      </c>
      <c r="AA11" s="19">
        <v>41.31</v>
      </c>
      <c r="AB11" s="19">
        <v>1.50261</v>
      </c>
      <c r="AC11" s="19">
        <v>8032.3134799999998</v>
      </c>
      <c r="AD11" s="19">
        <v>21.88579</v>
      </c>
      <c r="AE11" s="19">
        <v>2.0237599999999998</v>
      </c>
      <c r="AF11" s="19">
        <v>12372.478520000001</v>
      </c>
      <c r="AG11" s="19">
        <v>23.42</v>
      </c>
      <c r="AH11" s="19">
        <v>2.6504300000000001</v>
      </c>
      <c r="AI11" s="19">
        <v>30021.988280000001</v>
      </c>
      <c r="AJ11" s="19">
        <v>31059.246090000001</v>
      </c>
      <c r="AK11" s="19">
        <v>354.81765999999999</v>
      </c>
      <c r="AL11" s="19">
        <v>225.93612999999999</v>
      </c>
      <c r="AM11" s="19">
        <v>212.66256999999999</v>
      </c>
      <c r="AN11" s="19">
        <v>103.31323999999999</v>
      </c>
      <c r="AO11" s="19">
        <v>896.72960999999998</v>
      </c>
      <c r="AP11" s="19">
        <v>62648.699220000002</v>
      </c>
    </row>
    <row r="12" spans="1:45" x14ac:dyDescent="0.25">
      <c r="J12">
        <f>SUM(J10:J11)</f>
        <v>1.7423000000000002</v>
      </c>
      <c r="P12">
        <f>AVERAGE(P10:P11)</f>
        <v>49.75</v>
      </c>
      <c r="U12">
        <f>AVERAGE(U10:U11)</f>
        <v>28.93</v>
      </c>
      <c r="AA12" s="23">
        <f>AVERAGE(AA10:AA11)</f>
        <v>38.795000000000002</v>
      </c>
      <c r="AG12">
        <f>AVERAGE(AG10:AG11)</f>
        <v>30.07</v>
      </c>
      <c r="AP12">
        <f>AVERAGE(AP10:AP11)</f>
        <v>57043.519530000005</v>
      </c>
    </row>
    <row r="13" spans="1:45" x14ac:dyDescent="0.25">
      <c r="A13" s="42" t="s">
        <v>122</v>
      </c>
      <c r="B13" s="42" t="s">
        <v>116</v>
      </c>
    </row>
    <row r="15" spans="1:45" x14ac:dyDescent="0.25">
      <c r="A15" s="19" t="s">
        <v>118</v>
      </c>
      <c r="B15" s="19" t="s">
        <v>119</v>
      </c>
      <c r="C15" s="19" t="s">
        <v>72</v>
      </c>
      <c r="D15" s="19" t="s">
        <v>120</v>
      </c>
      <c r="E15" s="19" t="s">
        <v>121</v>
      </c>
      <c r="F15" s="19" t="s">
        <v>73</v>
      </c>
      <c r="G15" s="19" t="s">
        <v>74</v>
      </c>
      <c r="H15" s="19" t="s">
        <v>49</v>
      </c>
      <c r="I15" s="19" t="s">
        <v>75</v>
      </c>
      <c r="J15" s="19" t="s">
        <v>76</v>
      </c>
      <c r="K15" s="19" t="s">
        <v>77</v>
      </c>
      <c r="L15" s="19" t="s">
        <v>78</v>
      </c>
      <c r="M15" s="19" t="s">
        <v>36</v>
      </c>
      <c r="N15" s="19" t="s">
        <v>79</v>
      </c>
      <c r="O15" s="19" t="s">
        <v>80</v>
      </c>
      <c r="P15" s="19" t="s">
        <v>81</v>
      </c>
      <c r="Q15" s="19" t="s">
        <v>82</v>
      </c>
      <c r="R15" s="19" t="s">
        <v>83</v>
      </c>
      <c r="S15" s="19" t="s">
        <v>84</v>
      </c>
      <c r="T15" s="19" t="s">
        <v>85</v>
      </c>
      <c r="U15" s="19" t="s">
        <v>86</v>
      </c>
      <c r="V15" s="19" t="s">
        <v>87</v>
      </c>
      <c r="W15" s="19" t="s">
        <v>88</v>
      </c>
      <c r="X15" s="19" t="s">
        <v>89</v>
      </c>
      <c r="Y15" s="19" t="s">
        <v>90</v>
      </c>
      <c r="Z15" s="19" t="s">
        <v>91</v>
      </c>
      <c r="AA15" s="19" t="s">
        <v>92</v>
      </c>
      <c r="AB15" s="19" t="s">
        <v>93</v>
      </c>
      <c r="AC15" s="19" t="s">
        <v>94</v>
      </c>
      <c r="AD15" s="19" t="s">
        <v>95</v>
      </c>
      <c r="AE15" s="19" t="s">
        <v>96</v>
      </c>
      <c r="AF15" s="19" t="s">
        <v>97</v>
      </c>
      <c r="AG15" s="19" t="s">
        <v>98</v>
      </c>
      <c r="AH15" s="19" t="s">
        <v>99</v>
      </c>
      <c r="AI15" s="19" t="s">
        <v>100</v>
      </c>
      <c r="AJ15" s="19" t="s">
        <v>101</v>
      </c>
      <c r="AK15" s="19" t="s">
        <v>103</v>
      </c>
      <c r="AL15" s="19" t="s">
        <v>104</v>
      </c>
      <c r="AM15" s="19" t="s">
        <v>105</v>
      </c>
      <c r="AN15" s="19" t="s">
        <v>106</v>
      </c>
      <c r="AO15" s="19" t="s">
        <v>107</v>
      </c>
      <c r="AP15" s="19" t="s">
        <v>109</v>
      </c>
    </row>
    <row r="16" spans="1:45" x14ac:dyDescent="0.25">
      <c r="A16" s="19">
        <v>10406</v>
      </c>
      <c r="B16" s="19" t="s">
        <v>112</v>
      </c>
      <c r="C16" s="19" t="s">
        <v>113</v>
      </c>
      <c r="D16" s="19">
        <v>14711</v>
      </c>
      <c r="E16" s="19">
        <v>15382</v>
      </c>
      <c r="F16" s="19" t="s">
        <v>114</v>
      </c>
      <c r="G16" s="19">
        <v>34020</v>
      </c>
      <c r="H16" s="19">
        <v>26364</v>
      </c>
      <c r="I16" s="19">
        <v>2</v>
      </c>
      <c r="J16" s="19">
        <v>0.70774999999999999</v>
      </c>
      <c r="K16" s="19">
        <v>12</v>
      </c>
      <c r="L16" s="19">
        <v>4</v>
      </c>
      <c r="M16" s="19">
        <v>37512</v>
      </c>
      <c r="N16" s="19">
        <v>38.090000000000003</v>
      </c>
      <c r="O16" s="19">
        <v>1.11486</v>
      </c>
      <c r="P16" s="19">
        <v>40.5</v>
      </c>
      <c r="Q16" s="19">
        <v>6695.90967</v>
      </c>
      <c r="R16" s="19">
        <v>2.11754</v>
      </c>
      <c r="S16" s="19">
        <v>1.071</v>
      </c>
      <c r="T16" s="19">
        <v>11028.502930000001</v>
      </c>
      <c r="U16" s="19">
        <v>28.79</v>
      </c>
      <c r="V16" s="19">
        <v>1.47499</v>
      </c>
      <c r="W16" s="19">
        <v>5391.4116199999999</v>
      </c>
      <c r="X16" s="19">
        <v>1.11561</v>
      </c>
      <c r="Y16" s="19">
        <v>0.57489999999999997</v>
      </c>
      <c r="Z16" s="19">
        <v>11773.2168</v>
      </c>
      <c r="AA16" s="19">
        <v>37.49</v>
      </c>
      <c r="AB16" s="19">
        <v>1.1327</v>
      </c>
      <c r="AC16" s="19">
        <v>2708.7849099999999</v>
      </c>
      <c r="AD16" s="19">
        <v>1.1177999999999999</v>
      </c>
      <c r="AE16" s="19">
        <v>0.57769000000000004</v>
      </c>
      <c r="AF16" s="19">
        <v>7331.5205100000003</v>
      </c>
      <c r="AG16" s="19">
        <v>37.479999999999997</v>
      </c>
      <c r="AH16" s="19">
        <v>1.133</v>
      </c>
      <c r="AI16" s="19">
        <v>20356.453130000002</v>
      </c>
      <c r="AJ16" s="19">
        <v>14407.280269999999</v>
      </c>
      <c r="AK16" s="19">
        <v>51.15108</v>
      </c>
      <c r="AL16" s="19">
        <v>101.78106</v>
      </c>
      <c r="AM16" s="19">
        <v>164.60681</v>
      </c>
      <c r="AN16" s="19">
        <v>103.31677000000001</v>
      </c>
      <c r="AO16" s="19">
        <v>420.85570999999999</v>
      </c>
      <c r="AP16" s="19">
        <v>41249.230470000002</v>
      </c>
    </row>
    <row r="17" spans="1:42" x14ac:dyDescent="0.25">
      <c r="A17" s="19">
        <v>17846</v>
      </c>
      <c r="B17" s="19" t="s">
        <v>112</v>
      </c>
      <c r="C17" s="19" t="s">
        <v>52</v>
      </c>
      <c r="D17" s="19">
        <v>14710</v>
      </c>
      <c r="E17" s="19">
        <v>15382</v>
      </c>
      <c r="F17" s="19" t="s">
        <v>115</v>
      </c>
      <c r="G17" s="19">
        <v>41135</v>
      </c>
      <c r="H17" s="19">
        <v>26364</v>
      </c>
      <c r="I17" s="19">
        <v>2</v>
      </c>
      <c r="J17" s="19">
        <v>1.0345500000000001</v>
      </c>
      <c r="K17" s="19">
        <v>16</v>
      </c>
      <c r="L17" s="19">
        <v>5</v>
      </c>
      <c r="M17" s="19">
        <v>31752</v>
      </c>
      <c r="N17" s="19">
        <v>55.91</v>
      </c>
      <c r="O17" s="19">
        <v>1.1102300000000001</v>
      </c>
      <c r="P17" s="19">
        <v>59</v>
      </c>
      <c r="Q17" s="19">
        <v>7007.0449200000003</v>
      </c>
      <c r="R17" s="19">
        <v>5.8638700000000004</v>
      </c>
      <c r="S17" s="19">
        <v>1.3240799999999999</v>
      </c>
      <c r="T17" s="19">
        <v>16164.252930000001</v>
      </c>
      <c r="U17" s="19">
        <v>37.42</v>
      </c>
      <c r="V17" s="19">
        <v>1.65882</v>
      </c>
      <c r="W17" s="19">
        <v>8778.4541000000008</v>
      </c>
      <c r="X17" s="19">
        <v>3.6697600000000001</v>
      </c>
      <c r="Y17" s="19">
        <v>1.10588</v>
      </c>
      <c r="Z17" s="19">
        <v>16658.439450000002</v>
      </c>
      <c r="AA17" s="19">
        <v>41.91</v>
      </c>
      <c r="AB17" s="19">
        <v>1.4811000000000001</v>
      </c>
      <c r="AC17" s="19">
        <v>6636.9804700000004</v>
      </c>
      <c r="AD17" s="19">
        <v>11.793799999999999</v>
      </c>
      <c r="AE17" s="19">
        <v>1.6721999999999999</v>
      </c>
      <c r="AF17" s="19">
        <v>10967.034180000001</v>
      </c>
      <c r="AG17" s="19">
        <v>29.98</v>
      </c>
      <c r="AH17" s="19">
        <v>2.0704799999999999</v>
      </c>
      <c r="AI17" s="19">
        <v>28271.539059999999</v>
      </c>
      <c r="AJ17" s="19">
        <v>29248.320309999999</v>
      </c>
      <c r="AK17" s="19">
        <v>229.02893</v>
      </c>
      <c r="AL17" s="19">
        <v>216.69649000000001</v>
      </c>
      <c r="AM17" s="19">
        <v>193.72362000000001</v>
      </c>
      <c r="AN17" s="19">
        <v>108.23009</v>
      </c>
      <c r="AO17" s="19">
        <v>747.67913999999996</v>
      </c>
      <c r="AP17" s="19">
        <v>57838.945310000003</v>
      </c>
    </row>
    <row r="18" spans="1:42" x14ac:dyDescent="0.25">
      <c r="J18">
        <f>AVERAGE(J16:J17)</f>
        <v>0.87115000000000009</v>
      </c>
      <c r="P18">
        <f>AVERAGE(P16:P17)</f>
        <v>49.75</v>
      </c>
      <c r="S18">
        <f>AVERAGE(S16:S17)</f>
        <v>1.19754</v>
      </c>
      <c r="U18">
        <f>AVERAGE(U16:U17)</f>
        <v>33.105000000000004</v>
      </c>
      <c r="AA18">
        <f>AVERAGE(AA16:AA17)</f>
        <v>39.700000000000003</v>
      </c>
      <c r="AG18">
        <f>AVERAGE(AG16:AG17)</f>
        <v>33.729999999999997</v>
      </c>
      <c r="AP18">
        <f>AVERAGE(AP16:AP17)</f>
        <v>49544.087890000003</v>
      </c>
    </row>
    <row r="24" spans="1:42" x14ac:dyDescent="0.25">
      <c r="T24">
        <f>AVERAGE(T4:T5,Z4:Z5,AF4:AF5)</f>
        <v>34.634999999999998</v>
      </c>
    </row>
    <row r="25" spans="1:42" x14ac:dyDescent="0.25">
      <c r="T25">
        <f>AVERAGE(U16:U17,AA16:AA17,AG16:AG17)</f>
        <v>35.511666666666663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EB432-9ED8-42D0-A4D2-1F97561FB890}">
  <dimension ref="A1:N43"/>
  <sheetViews>
    <sheetView workbookViewId="0">
      <selection activeCell="N63" sqref="N63"/>
    </sheetView>
  </sheetViews>
  <sheetFormatPr defaultRowHeight="15" x14ac:dyDescent="0.25"/>
  <cols>
    <col min="1" max="1" width="24.5703125" customWidth="1"/>
    <col min="3" max="3" width="15" bestFit="1" customWidth="1"/>
    <col min="4" max="4" width="12.7109375" customWidth="1"/>
    <col min="5" max="5" width="10.7109375" bestFit="1" customWidth="1"/>
    <col min="8" max="8" width="16.28515625" bestFit="1" customWidth="1"/>
    <col min="9" max="9" width="15.7109375" customWidth="1"/>
    <col min="11" max="11" width="14.7109375" customWidth="1"/>
    <col min="12" max="12" width="12.7109375" customWidth="1"/>
  </cols>
  <sheetData>
    <row r="1" spans="1:14" ht="30" x14ac:dyDescent="0.25">
      <c r="A1" s="26" t="s">
        <v>46</v>
      </c>
      <c r="B1" s="34"/>
      <c r="C1" s="34"/>
      <c r="D1" s="56"/>
      <c r="K1" s="24" t="s">
        <v>37</v>
      </c>
      <c r="L1" s="24" t="s">
        <v>38</v>
      </c>
    </row>
    <row r="2" spans="1:14" x14ac:dyDescent="0.25">
      <c r="A2" s="27" t="s">
        <v>42</v>
      </c>
      <c r="B2" s="19" t="s">
        <v>43</v>
      </c>
      <c r="C2" s="19"/>
      <c r="D2" s="30" t="s">
        <v>44</v>
      </c>
      <c r="E2" s="32"/>
      <c r="K2" s="19" t="s">
        <v>39</v>
      </c>
      <c r="L2" s="20">
        <f>TDM!AQ6</f>
        <v>26144.450194999998</v>
      </c>
      <c r="M2">
        <v>23849</v>
      </c>
      <c r="N2">
        <v>28440</v>
      </c>
    </row>
    <row r="3" spans="1:14" x14ac:dyDescent="0.25">
      <c r="A3" s="27">
        <v>2022</v>
      </c>
      <c r="B3" s="19">
        <v>20521</v>
      </c>
      <c r="C3" s="19">
        <v>16602</v>
      </c>
      <c r="D3" s="31">
        <f>AVERAGE(B3,C3)</f>
        <v>18561.5</v>
      </c>
      <c r="E3" s="32"/>
      <c r="K3" s="19" t="s">
        <v>40</v>
      </c>
      <c r="L3" s="20">
        <f>TDM!AP18</f>
        <v>49544.087890000003</v>
      </c>
      <c r="M3">
        <v>57638</v>
      </c>
      <c r="N3">
        <v>40779</v>
      </c>
    </row>
    <row r="4" spans="1:14" x14ac:dyDescent="0.25">
      <c r="A4" s="27">
        <v>2021</v>
      </c>
      <c r="B4" s="19">
        <v>21716</v>
      </c>
      <c r="C4" s="19">
        <v>16759</v>
      </c>
      <c r="D4" s="31">
        <f t="shared" ref="D4:D7" si="0">AVERAGE(B4,C4)</f>
        <v>19237.5</v>
      </c>
      <c r="E4" s="32"/>
      <c r="K4" s="19" t="s">
        <v>41</v>
      </c>
      <c r="L4" s="25">
        <f>(L3-L2)/L2</f>
        <v>0.89501356962844358</v>
      </c>
    </row>
    <row r="5" spans="1:14" x14ac:dyDescent="0.25">
      <c r="A5" s="27">
        <v>2020</v>
      </c>
      <c r="B5" s="19">
        <v>16355</v>
      </c>
      <c r="C5" s="28">
        <v>11776</v>
      </c>
      <c r="D5" s="31">
        <f t="shared" si="0"/>
        <v>14065.5</v>
      </c>
      <c r="E5" s="33"/>
      <c r="F5" s="22"/>
      <c r="I5" s="23"/>
    </row>
    <row r="6" spans="1:14" x14ac:dyDescent="0.25">
      <c r="A6" s="27">
        <v>2019</v>
      </c>
      <c r="B6" s="19">
        <v>21500</v>
      </c>
      <c r="C6" s="28">
        <v>14593</v>
      </c>
      <c r="D6" s="31">
        <f t="shared" si="0"/>
        <v>18046.5</v>
      </c>
      <c r="E6" s="33"/>
      <c r="F6" s="22"/>
      <c r="I6" s="23"/>
    </row>
    <row r="7" spans="1:14" x14ac:dyDescent="0.25">
      <c r="A7" s="27">
        <v>2018</v>
      </c>
      <c r="B7" s="19">
        <v>18681</v>
      </c>
      <c r="C7" s="28">
        <v>13829</v>
      </c>
      <c r="D7" s="31">
        <f t="shared" si="0"/>
        <v>16255</v>
      </c>
      <c r="E7" s="33"/>
      <c r="F7" s="22"/>
    </row>
    <row r="8" spans="1:14" x14ac:dyDescent="0.25">
      <c r="C8" s="19" t="s">
        <v>45</v>
      </c>
      <c r="D8" s="29">
        <f>SUM(D3:D7)</f>
        <v>86166</v>
      </c>
    </row>
    <row r="10" spans="1:14" x14ac:dyDescent="0.25">
      <c r="A10" s="110"/>
      <c r="B10" s="110"/>
      <c r="C10" s="110"/>
      <c r="D10" s="110"/>
      <c r="E10" s="110"/>
      <c r="F10" s="110"/>
    </row>
    <row r="11" spans="1:14" x14ac:dyDescent="0.25">
      <c r="A11" s="111"/>
      <c r="B11" s="111"/>
      <c r="C11" s="112"/>
      <c r="D11" s="112"/>
      <c r="E11" s="112"/>
      <c r="F11" s="112"/>
    </row>
    <row r="12" spans="1:14" x14ac:dyDescent="0.25">
      <c r="A12" s="113"/>
      <c r="B12" s="114"/>
      <c r="C12" s="113"/>
      <c r="D12" s="115"/>
      <c r="E12" s="113"/>
      <c r="F12" s="115"/>
    </row>
    <row r="13" spans="1:14" x14ac:dyDescent="0.25">
      <c r="A13" s="113"/>
      <c r="B13" s="115"/>
      <c r="C13" s="113"/>
      <c r="D13" s="116"/>
      <c r="E13" s="113"/>
      <c r="F13" s="116"/>
    </row>
    <row r="14" spans="1:14" x14ac:dyDescent="0.25">
      <c r="A14" s="113"/>
      <c r="B14" s="113"/>
      <c r="C14" s="113"/>
      <c r="D14" s="115"/>
      <c r="E14" s="113"/>
      <c r="F14" s="116"/>
    </row>
    <row r="15" spans="1:14" x14ac:dyDescent="0.25">
      <c r="A15" s="113"/>
      <c r="B15" s="113"/>
      <c r="C15" s="113"/>
      <c r="D15" s="115"/>
      <c r="E15" s="113"/>
      <c r="F15" s="116"/>
    </row>
    <row r="17" spans="1:8" x14ac:dyDescent="0.25">
      <c r="A17" s="19" t="s">
        <v>47</v>
      </c>
      <c r="B17" s="19" t="s">
        <v>48</v>
      </c>
      <c r="D17" s="90"/>
      <c r="E17" s="90"/>
      <c r="F17" s="90"/>
      <c r="G17" s="90"/>
      <c r="H17" s="90"/>
    </row>
    <row r="18" spans="1:8" x14ac:dyDescent="0.25">
      <c r="A18" s="19">
        <v>1.03</v>
      </c>
      <c r="B18" s="101">
        <f>AVERAGE(A18:A20)</f>
        <v>1.0733333333333335</v>
      </c>
      <c r="D18" s="82"/>
      <c r="E18" s="83"/>
      <c r="F18" s="84"/>
      <c r="G18" s="85"/>
      <c r="H18" s="86"/>
    </row>
    <row r="19" spans="1:8" x14ac:dyDescent="0.25">
      <c r="A19" s="19">
        <v>1.04</v>
      </c>
      <c r="B19" s="101"/>
      <c r="D19" s="87"/>
      <c r="E19" s="88"/>
      <c r="F19" s="82"/>
      <c r="G19" s="87"/>
      <c r="H19" s="82"/>
    </row>
    <row r="20" spans="1:8" x14ac:dyDescent="0.25">
      <c r="A20" s="19">
        <v>1.1499999999999999</v>
      </c>
      <c r="B20" s="101"/>
      <c r="D20" s="87"/>
      <c r="E20" s="88"/>
      <c r="F20" s="89"/>
      <c r="G20" s="87"/>
      <c r="H20" s="82"/>
    </row>
    <row r="21" spans="1:8" x14ac:dyDescent="0.25">
      <c r="D21" s="87"/>
      <c r="E21" s="87"/>
      <c r="F21" s="91"/>
      <c r="G21" s="91"/>
      <c r="H21" s="91"/>
    </row>
    <row r="22" spans="1:8" x14ac:dyDescent="0.25">
      <c r="D22" s="87"/>
      <c r="E22" s="87"/>
      <c r="F22" s="91"/>
      <c r="G22" s="91"/>
      <c r="H22" s="91"/>
    </row>
    <row r="25" spans="1:8" x14ac:dyDescent="0.25">
      <c r="A25" s="98" t="s">
        <v>123</v>
      </c>
      <c r="B25" s="99"/>
      <c r="C25" s="99"/>
      <c r="D25" s="99"/>
      <c r="E25" s="99"/>
      <c r="F25" s="99"/>
      <c r="G25" s="99"/>
      <c r="H25" s="99"/>
    </row>
    <row r="26" spans="1:8" ht="60" x14ac:dyDescent="0.25">
      <c r="A26" s="43"/>
      <c r="B26" s="43" t="s">
        <v>50</v>
      </c>
      <c r="C26" s="37" t="s">
        <v>124</v>
      </c>
      <c r="D26" s="37" t="s">
        <v>125</v>
      </c>
      <c r="E26" s="37" t="s">
        <v>51</v>
      </c>
      <c r="F26" s="37" t="s">
        <v>126</v>
      </c>
      <c r="G26" s="37" t="s">
        <v>127</v>
      </c>
      <c r="H26" s="37" t="s">
        <v>138</v>
      </c>
    </row>
    <row r="27" spans="1:8" ht="30" x14ac:dyDescent="0.25">
      <c r="A27" s="34" t="s">
        <v>137</v>
      </c>
      <c r="B27" s="9" t="s">
        <v>52</v>
      </c>
      <c r="C27" s="55">
        <f>TDM!AP12</f>
        <v>57043.519530000005</v>
      </c>
      <c r="D27" s="55">
        <f>TDM!AP18</f>
        <v>49544.087890000003</v>
      </c>
      <c r="E27" s="41" t="s">
        <v>53</v>
      </c>
      <c r="F27" s="41">
        <f>(D27*0.105/4)/2000</f>
        <v>0.65026615355625006</v>
      </c>
      <c r="G27" s="41">
        <f>TDM!S18</f>
        <v>1.19754</v>
      </c>
      <c r="H27" s="41">
        <f>AVERAGE(TDM!S16:S17,TDM!Y16:Y17,TDM!AE16:AE17)</f>
        <v>1.0542916666666668</v>
      </c>
    </row>
    <row r="28" spans="1:8" x14ac:dyDescent="0.25">
      <c r="A28" s="100" t="s">
        <v>182</v>
      </c>
      <c r="B28" s="100"/>
      <c r="C28" s="100"/>
      <c r="D28" s="100"/>
      <c r="E28" s="100"/>
      <c r="F28" s="100"/>
      <c r="G28" s="100"/>
      <c r="H28" s="100"/>
    </row>
    <row r="29" spans="1:8" ht="15.75" thickBot="1" x14ac:dyDescent="0.3">
      <c r="A29" s="35"/>
      <c r="E29" s="22"/>
    </row>
    <row r="30" spans="1:8" x14ac:dyDescent="0.25">
      <c r="A30" s="102" t="s">
        <v>128</v>
      </c>
      <c r="B30" s="103"/>
      <c r="C30" s="103"/>
      <c r="D30" s="104"/>
    </row>
    <row r="31" spans="1:8" x14ac:dyDescent="0.25">
      <c r="A31" s="94" t="s">
        <v>129</v>
      </c>
      <c r="B31" s="95"/>
      <c r="C31" s="96" t="s">
        <v>130</v>
      </c>
      <c r="D31" s="97"/>
      <c r="E31" s="44"/>
    </row>
    <row r="32" spans="1:8" ht="18" x14ac:dyDescent="0.35">
      <c r="A32" s="45" t="s">
        <v>131</v>
      </c>
      <c r="B32" s="46">
        <f>MIN(TDM!U12,TDM!AA12,TDM!AG12)</f>
        <v>28.93</v>
      </c>
      <c r="C32" s="19" t="s">
        <v>131</v>
      </c>
      <c r="D32" s="47">
        <f>MIN(TDM!U18,TDM!AA18,TDM!AG18)</f>
        <v>33.105000000000004</v>
      </c>
      <c r="E32" s="23"/>
    </row>
    <row r="33" spans="1:5" x14ac:dyDescent="0.25">
      <c r="A33" s="45" t="s">
        <v>132</v>
      </c>
      <c r="B33" s="48">
        <f>TDM!J12</f>
        <v>1.7423000000000002</v>
      </c>
      <c r="C33" s="19" t="s">
        <v>132</v>
      </c>
      <c r="D33" s="49">
        <f>TDM!J18</f>
        <v>0.87115000000000009</v>
      </c>
      <c r="E33" s="23"/>
    </row>
    <row r="34" spans="1:5" ht="18" x14ac:dyDescent="0.35">
      <c r="A34" s="45" t="s">
        <v>133</v>
      </c>
      <c r="B34" s="50">
        <f>B33/B32</f>
        <v>6.0224680262703084E-2</v>
      </c>
      <c r="C34" s="19" t="s">
        <v>133</v>
      </c>
      <c r="D34" s="51">
        <f>D33/D32</f>
        <v>2.6314756079142122E-2</v>
      </c>
      <c r="E34" s="23"/>
    </row>
    <row r="35" spans="1:5" ht="18" x14ac:dyDescent="0.35">
      <c r="A35" s="45" t="s">
        <v>134</v>
      </c>
      <c r="B35" s="46">
        <f>TDM!P12</f>
        <v>49.75</v>
      </c>
      <c r="C35" s="19" t="s">
        <v>134</v>
      </c>
      <c r="D35" s="47">
        <f>TDM!P18</f>
        <v>49.75</v>
      </c>
      <c r="E35" s="23"/>
    </row>
    <row r="36" spans="1:5" ht="18" x14ac:dyDescent="0.35">
      <c r="A36" s="45" t="s">
        <v>135</v>
      </c>
      <c r="B36" s="50">
        <f>B33/B35</f>
        <v>3.5021105527638194E-2</v>
      </c>
      <c r="C36" s="19" t="s">
        <v>135</v>
      </c>
      <c r="D36" s="51">
        <f>D33/D35</f>
        <v>1.7510552763819097E-2</v>
      </c>
      <c r="E36" s="23"/>
    </row>
    <row r="37" spans="1:5" ht="15.75" thickBot="1" x14ac:dyDescent="0.3">
      <c r="A37" s="52" t="s">
        <v>136</v>
      </c>
      <c r="B37" s="53">
        <f>B34/B36</f>
        <v>1.7196681645350849</v>
      </c>
      <c r="C37" s="36" t="s">
        <v>136</v>
      </c>
      <c r="D37" s="54">
        <f>D34/D36</f>
        <v>1.5027941398580273</v>
      </c>
      <c r="E37" s="23"/>
    </row>
    <row r="40" spans="1:5" x14ac:dyDescent="0.25">
      <c r="C40" s="1"/>
      <c r="E40" s="22"/>
    </row>
    <row r="41" spans="1:5" x14ac:dyDescent="0.25">
      <c r="C41" s="1"/>
      <c r="E41" s="22"/>
    </row>
    <row r="42" spans="1:5" x14ac:dyDescent="0.25">
      <c r="C42" s="1"/>
      <c r="E42" s="22"/>
    </row>
    <row r="43" spans="1:5" x14ac:dyDescent="0.25">
      <c r="C43" s="1"/>
      <c r="E43" s="22"/>
    </row>
  </sheetData>
  <mergeCells count="6">
    <mergeCell ref="A30:D30"/>
    <mergeCell ref="A31:B31"/>
    <mergeCell ref="C31:D31"/>
    <mergeCell ref="A25:H25"/>
    <mergeCell ref="A28:H28"/>
    <mergeCell ref="B18:B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3E373-8A82-4025-852E-D874E86AB4E1}">
  <dimension ref="A1:R47"/>
  <sheetViews>
    <sheetView workbookViewId="0">
      <selection activeCell="F24" sqref="F24"/>
    </sheetView>
  </sheetViews>
  <sheetFormatPr defaultRowHeight="15" x14ac:dyDescent="0.25"/>
  <cols>
    <col min="2" max="2" width="57" customWidth="1"/>
    <col min="3" max="3" width="16" customWidth="1"/>
    <col min="4" max="4" width="5.28515625" customWidth="1"/>
    <col min="5" max="5" width="5.7109375" customWidth="1"/>
  </cols>
  <sheetData>
    <row r="1" spans="1:18" x14ac:dyDescent="0.25">
      <c r="A1" s="1"/>
      <c r="B1" s="1"/>
      <c r="C1" s="57"/>
      <c r="D1" s="1"/>
      <c r="E1" s="1"/>
      <c r="F1" s="1"/>
      <c r="G1" s="1"/>
      <c r="H1" s="1"/>
      <c r="I1" s="1"/>
      <c r="J1" s="1"/>
      <c r="K1" s="1"/>
    </row>
    <row r="2" spans="1:18" ht="18.75" x14ac:dyDescent="0.25">
      <c r="A2" s="1"/>
      <c r="B2" s="58" t="s">
        <v>139</v>
      </c>
      <c r="C2" s="59"/>
      <c r="D2" s="60"/>
      <c r="E2" s="1"/>
      <c r="F2" s="1"/>
      <c r="G2" s="1"/>
      <c r="H2" s="1"/>
      <c r="I2" s="1"/>
      <c r="J2" s="1"/>
      <c r="K2" s="105" t="s">
        <v>170</v>
      </c>
      <c r="L2" s="105"/>
      <c r="M2" s="105"/>
      <c r="N2" s="105"/>
      <c r="O2" s="105"/>
      <c r="P2" s="105"/>
      <c r="Q2" s="105"/>
      <c r="R2" s="105"/>
    </row>
    <row r="3" spans="1:18" x14ac:dyDescent="0.25">
      <c r="A3" s="1"/>
      <c r="B3" s="1"/>
      <c r="C3" s="57"/>
      <c r="D3" s="1"/>
      <c r="E3" s="1"/>
      <c r="F3" s="1"/>
      <c r="G3" s="1"/>
      <c r="H3" s="1"/>
      <c r="I3" s="1"/>
      <c r="J3" s="1"/>
      <c r="K3" s="106"/>
      <c r="L3" s="106"/>
      <c r="M3" s="106"/>
      <c r="N3" s="106"/>
      <c r="O3" s="9" t="s">
        <v>171</v>
      </c>
      <c r="P3" s="9" t="s">
        <v>172</v>
      </c>
      <c r="Q3" s="9" t="s">
        <v>173</v>
      </c>
      <c r="R3" s="9" t="s">
        <v>174</v>
      </c>
    </row>
    <row r="4" spans="1:18" x14ac:dyDescent="0.25">
      <c r="A4" s="1"/>
      <c r="B4" s="61" t="s">
        <v>140</v>
      </c>
      <c r="C4" s="57"/>
      <c r="D4" s="1"/>
      <c r="E4" s="1"/>
      <c r="F4" s="1"/>
      <c r="G4" s="1"/>
      <c r="H4" s="1"/>
      <c r="I4" s="1"/>
      <c r="J4" s="1"/>
      <c r="K4" s="106" t="s">
        <v>175</v>
      </c>
      <c r="L4" s="106"/>
      <c r="M4" s="106"/>
      <c r="N4" s="106"/>
      <c r="O4" s="19">
        <f>TDM!U12</f>
        <v>28.93</v>
      </c>
      <c r="P4" s="21">
        <f>TDM!AA12</f>
        <v>38.795000000000002</v>
      </c>
      <c r="Q4" s="19">
        <f>TDM!AG12</f>
        <v>30.07</v>
      </c>
      <c r="R4" s="21">
        <f>AVERAGE(O4:Q4)</f>
        <v>32.598333333333329</v>
      </c>
    </row>
    <row r="5" spans="1:18" ht="30" x14ac:dyDescent="0.25">
      <c r="A5" s="1"/>
      <c r="B5" s="62" t="s">
        <v>141</v>
      </c>
      <c r="C5" s="63" t="s">
        <v>177</v>
      </c>
      <c r="D5" s="1"/>
      <c r="E5" s="62"/>
      <c r="F5" s="1" t="s">
        <v>142</v>
      </c>
      <c r="G5" s="1"/>
      <c r="H5" s="1"/>
      <c r="I5" s="1"/>
      <c r="J5" s="1"/>
      <c r="K5" s="106" t="s">
        <v>176</v>
      </c>
      <c r="L5" s="106"/>
      <c r="M5" s="106"/>
      <c r="N5" s="106"/>
      <c r="O5" s="19">
        <f>TDM!U18</f>
        <v>33.105000000000004</v>
      </c>
      <c r="P5" s="19">
        <f>TDM!AA18</f>
        <v>39.700000000000003</v>
      </c>
      <c r="Q5" s="19">
        <f>TDM!AG18</f>
        <v>33.729999999999997</v>
      </c>
      <c r="R5" s="21">
        <f>AVERAGE(O5:Q5)</f>
        <v>35.511666666666663</v>
      </c>
    </row>
    <row r="6" spans="1:18" x14ac:dyDescent="0.25">
      <c r="A6" s="1"/>
      <c r="B6" s="62" t="s">
        <v>143</v>
      </c>
      <c r="C6" s="64">
        <v>797</v>
      </c>
      <c r="D6" s="1"/>
      <c r="E6" s="65"/>
      <c r="F6" s="1" t="s">
        <v>144</v>
      </c>
      <c r="G6" s="1"/>
      <c r="H6" s="1"/>
      <c r="I6" s="1"/>
      <c r="J6" s="1"/>
      <c r="K6" s="1"/>
    </row>
    <row r="7" spans="1:18" x14ac:dyDescent="0.25">
      <c r="A7" s="1"/>
      <c r="B7" s="62" t="s">
        <v>145</v>
      </c>
      <c r="C7" s="64"/>
      <c r="D7" s="1"/>
      <c r="E7" s="66"/>
      <c r="F7" s="1" t="s">
        <v>146</v>
      </c>
      <c r="G7" s="1"/>
      <c r="H7" s="1"/>
      <c r="I7" s="1"/>
      <c r="J7" s="1"/>
      <c r="K7" s="1"/>
    </row>
    <row r="8" spans="1:18" x14ac:dyDescent="0.25">
      <c r="A8" s="1"/>
      <c r="B8" s="62" t="s">
        <v>147</v>
      </c>
      <c r="C8" s="64" t="s">
        <v>148</v>
      </c>
      <c r="D8" s="1"/>
      <c r="E8" s="1"/>
      <c r="F8" s="1"/>
      <c r="G8" s="1"/>
      <c r="H8" s="1"/>
      <c r="I8" s="1"/>
      <c r="J8" s="1"/>
      <c r="K8" s="1"/>
    </row>
    <row r="9" spans="1:18" x14ac:dyDescent="0.25">
      <c r="A9" s="1"/>
      <c r="B9" s="1"/>
      <c r="C9" s="57"/>
      <c r="D9" s="1"/>
      <c r="E9" s="1"/>
      <c r="F9" s="1"/>
      <c r="G9" s="1"/>
      <c r="H9" s="1"/>
      <c r="I9" s="1"/>
      <c r="J9" s="1"/>
      <c r="K9" s="1"/>
    </row>
    <row r="10" spans="1:18" x14ac:dyDescent="0.25">
      <c r="A10" s="1"/>
      <c r="B10" s="1"/>
      <c r="C10" s="57"/>
      <c r="D10" s="1"/>
      <c r="E10" s="1"/>
      <c r="F10" s="1"/>
      <c r="G10" s="1"/>
      <c r="H10" s="1"/>
      <c r="I10" s="1"/>
      <c r="J10" s="1"/>
      <c r="K10" s="1"/>
    </row>
    <row r="11" spans="1:18" x14ac:dyDescent="0.25">
      <c r="A11" s="1"/>
      <c r="B11" s="61" t="s">
        <v>149</v>
      </c>
      <c r="C11" s="57"/>
      <c r="D11" s="1"/>
      <c r="E11" s="1"/>
      <c r="F11" s="1"/>
      <c r="G11" s="1"/>
      <c r="H11" s="1"/>
      <c r="I11" s="1"/>
      <c r="J11" s="1"/>
      <c r="K11" s="1"/>
    </row>
    <row r="12" spans="1:18" x14ac:dyDescent="0.25">
      <c r="A12" s="1"/>
      <c r="B12" s="62" t="s">
        <v>150</v>
      </c>
      <c r="C12" s="64">
        <v>2025</v>
      </c>
      <c r="D12" s="1"/>
      <c r="E12" s="1"/>
      <c r="F12" s="1"/>
      <c r="G12" s="1"/>
      <c r="H12" s="1"/>
      <c r="I12" s="1"/>
      <c r="J12" s="1"/>
      <c r="K12" s="1"/>
    </row>
    <row r="13" spans="1:18" x14ac:dyDescent="0.25">
      <c r="A13" s="1"/>
      <c r="B13" s="62" t="s">
        <v>151</v>
      </c>
      <c r="C13" s="64" t="s">
        <v>152</v>
      </c>
      <c r="D13" s="1"/>
      <c r="E13" s="1"/>
      <c r="F13" s="1"/>
      <c r="G13" s="1"/>
      <c r="H13" s="1"/>
      <c r="I13" s="1"/>
      <c r="J13" s="1"/>
      <c r="K13" s="1"/>
    </row>
    <row r="14" spans="1:18" x14ac:dyDescent="0.25">
      <c r="A14" s="1"/>
      <c r="B14" s="67" t="s">
        <v>153</v>
      </c>
      <c r="C14" s="68" t="s">
        <v>154</v>
      </c>
      <c r="D14" s="1"/>
      <c r="E14" s="1"/>
      <c r="F14" s="1"/>
      <c r="G14" s="1"/>
      <c r="H14" s="1"/>
      <c r="I14" s="1"/>
      <c r="J14" s="1"/>
      <c r="K14" s="1"/>
    </row>
    <row r="15" spans="1:18" x14ac:dyDescent="0.25">
      <c r="A15" s="1"/>
      <c r="B15" s="67" t="s">
        <v>155</v>
      </c>
      <c r="C15" s="69">
        <v>0.23</v>
      </c>
      <c r="D15" s="1"/>
      <c r="E15" s="1"/>
      <c r="F15" s="1"/>
      <c r="G15" s="1"/>
      <c r="H15" s="1"/>
      <c r="I15" s="1"/>
      <c r="J15" s="1"/>
      <c r="K15" s="1"/>
    </row>
    <row r="16" spans="1:18" x14ac:dyDescent="0.25">
      <c r="A16" s="1"/>
      <c r="B16" s="67" t="s">
        <v>156</v>
      </c>
      <c r="C16" s="68">
        <v>32.598333333333329</v>
      </c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70" t="s">
        <v>157</v>
      </c>
      <c r="C17" s="68">
        <v>35.511666666666663</v>
      </c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71" t="s">
        <v>158</v>
      </c>
      <c r="C18" s="72">
        <f>VLOOKUP(C13,'[1]Service Life'!C6:D12,2,FALSE)</f>
        <v>20</v>
      </c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57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61" t="s">
        <v>159</v>
      </c>
      <c r="C20" s="57"/>
      <c r="D20" s="1"/>
      <c r="E20" s="1"/>
      <c r="F20" s="1"/>
      <c r="G20" s="1"/>
      <c r="H20" s="1"/>
      <c r="I20" s="1"/>
      <c r="J20" s="1"/>
      <c r="K20" s="1"/>
    </row>
    <row r="21" spans="1:11" ht="30" x14ac:dyDescent="0.25">
      <c r="A21" s="1"/>
      <c r="B21" s="70" t="s">
        <v>160</v>
      </c>
      <c r="C21" s="68">
        <v>19238</v>
      </c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73"/>
      <c r="C22" s="74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57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57"/>
      <c r="D24" s="1"/>
      <c r="E24" s="1"/>
      <c r="F24" s="1"/>
      <c r="G24" s="1"/>
      <c r="H24" s="1"/>
      <c r="I24" s="1"/>
      <c r="J24" s="1"/>
      <c r="K24" s="1"/>
    </row>
    <row r="25" spans="1:11" ht="18.75" x14ac:dyDescent="0.25">
      <c r="A25" s="1"/>
      <c r="B25" s="58" t="s">
        <v>161</v>
      </c>
      <c r="C25" s="59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57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75" t="s">
        <v>162</v>
      </c>
      <c r="C27" s="57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66" t="s">
        <v>163</v>
      </c>
      <c r="C28" s="76">
        <f>'[1]Benefit Calculations'!M35</f>
        <v>913.91455373444137</v>
      </c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66" t="s">
        <v>164</v>
      </c>
      <c r="C29" s="76">
        <f>'[1]Benefit Calculations'!Q35</f>
        <v>156772.62679864088</v>
      </c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77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75" t="s">
        <v>165</v>
      </c>
      <c r="C31" s="77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66" t="s">
        <v>166</v>
      </c>
      <c r="C32" s="76">
        <f>$C$28+$C$29</f>
        <v>157686.54135237532</v>
      </c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57"/>
      <c r="D33" s="1"/>
      <c r="E33" s="1"/>
      <c r="F33" s="1"/>
      <c r="G33" s="1"/>
      <c r="H33" s="1"/>
      <c r="I33" s="1"/>
      <c r="J33" s="78"/>
      <c r="K33" s="1"/>
    </row>
    <row r="34" spans="1:11" x14ac:dyDescent="0.25">
      <c r="A34" s="1"/>
      <c r="B34" s="75" t="s">
        <v>167</v>
      </c>
      <c r="C34" s="57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66" t="s">
        <v>168</v>
      </c>
      <c r="C35" s="79">
        <f>'[1]Benefit Calculations'!K35</f>
        <v>0.12857436324939236</v>
      </c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66" t="s">
        <v>169</v>
      </c>
      <c r="C36" s="79">
        <f>'[1]Benefit Calculations'!O35</f>
        <v>0.46539341039911619</v>
      </c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57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57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57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57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57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57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57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57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57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57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57"/>
      <c r="D47" s="1"/>
      <c r="E47" s="1"/>
      <c r="F47" s="1"/>
      <c r="G47" s="1"/>
      <c r="H47" s="1"/>
      <c r="I47" s="1"/>
      <c r="J47" s="1"/>
      <c r="K47" s="1"/>
    </row>
  </sheetData>
  <mergeCells count="4">
    <mergeCell ref="K2:R2"/>
    <mergeCell ref="K3:N3"/>
    <mergeCell ref="K4:N4"/>
    <mergeCell ref="K5:N5"/>
  </mergeCells>
  <dataValidations count="1">
    <dataValidation operator="lessThanOrEqual" allowBlank="1" showInputMessage="1" showErrorMessage="1" error="Volume Must Be Less Than Stated Capacity" sqref="C15" xr:uid="{120FFA7A-D2A0-486D-93E2-559C88FF4AF3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opLeftCell="A10" workbookViewId="0">
      <selection activeCell="G16" sqref="G16"/>
    </sheetView>
  </sheetViews>
  <sheetFormatPr defaultRowHeight="15" x14ac:dyDescent="0.25"/>
  <cols>
    <col min="1" max="1" width="33.7109375" bestFit="1" customWidth="1"/>
    <col min="2" max="2" width="12.42578125" bestFit="1" customWidth="1"/>
    <col min="5" max="5" width="2" bestFit="1" customWidth="1"/>
    <col min="6" max="6" width="32.5703125" customWidth="1"/>
    <col min="7" max="7" width="22.7109375" bestFit="1" customWidth="1"/>
    <col min="8" max="8" width="27.5703125" customWidth="1"/>
  </cols>
  <sheetData>
    <row r="1" spans="1:8" ht="15.75" thickBot="1" x14ac:dyDescent="0.3">
      <c r="A1" s="3" t="s">
        <v>15</v>
      </c>
      <c r="B1" s="4" t="s">
        <v>2</v>
      </c>
      <c r="E1" s="109" t="s">
        <v>183</v>
      </c>
      <c r="F1" s="109"/>
      <c r="G1" s="109"/>
      <c r="H1" s="109"/>
    </row>
    <row r="2" spans="1:8" x14ac:dyDescent="0.25">
      <c r="A2" s="2" t="s">
        <v>0</v>
      </c>
      <c r="B2" s="2" t="s">
        <v>2</v>
      </c>
      <c r="E2" s="27" t="s">
        <v>17</v>
      </c>
      <c r="F2" s="81" t="s">
        <v>184</v>
      </c>
      <c r="G2" s="81" t="s">
        <v>185</v>
      </c>
      <c r="H2" s="81" t="s">
        <v>186</v>
      </c>
    </row>
    <row r="3" spans="1:8" ht="45" x14ac:dyDescent="0.25">
      <c r="A3" t="s">
        <v>1</v>
      </c>
      <c r="B3">
        <v>143619</v>
      </c>
      <c r="E3" s="9">
        <v>1</v>
      </c>
      <c r="F3" s="93" t="s">
        <v>188</v>
      </c>
      <c r="G3" s="92"/>
      <c r="H3" s="93" t="s">
        <v>187</v>
      </c>
    </row>
    <row r="4" spans="1:8" ht="15.75" thickBot="1" x14ac:dyDescent="0.3"/>
    <row r="5" spans="1:8" ht="15.75" thickBot="1" x14ac:dyDescent="0.3">
      <c r="A5" s="3" t="s">
        <v>68</v>
      </c>
      <c r="B5" s="4" t="s">
        <v>16</v>
      </c>
    </row>
    <row r="6" spans="1:8" x14ac:dyDescent="0.25">
      <c r="A6" s="96" t="s">
        <v>3</v>
      </c>
      <c r="B6" s="96"/>
    </row>
    <row r="7" spans="1:8" x14ac:dyDescent="0.25">
      <c r="A7" s="117" t="s">
        <v>4</v>
      </c>
      <c r="B7" s="117" t="s">
        <v>5</v>
      </c>
    </row>
    <row r="8" spans="1:8" x14ac:dyDescent="0.25">
      <c r="A8" s="19" t="s">
        <v>6</v>
      </c>
      <c r="B8" s="19">
        <f>343+416</f>
        <v>759</v>
      </c>
    </row>
    <row r="9" spans="1:8" x14ac:dyDescent="0.25">
      <c r="A9" s="19" t="s">
        <v>7</v>
      </c>
      <c r="B9" s="19">
        <f>2519+6690</f>
        <v>9209</v>
      </c>
    </row>
    <row r="10" spans="1:8" x14ac:dyDescent="0.25">
      <c r="A10" s="8" t="s">
        <v>8</v>
      </c>
      <c r="B10" s="19">
        <v>504</v>
      </c>
    </row>
    <row r="11" spans="1:8" x14ac:dyDescent="0.25">
      <c r="A11" s="8" t="s">
        <v>9</v>
      </c>
      <c r="B11" s="19">
        <v>818</v>
      </c>
    </row>
    <row r="12" spans="1:8" x14ac:dyDescent="0.25">
      <c r="A12" s="8" t="s">
        <v>10</v>
      </c>
      <c r="B12" s="19">
        <v>1018</v>
      </c>
    </row>
    <row r="13" spans="1:8" x14ac:dyDescent="0.25">
      <c r="A13" s="8" t="s">
        <v>11</v>
      </c>
      <c r="B13" s="19">
        <v>925</v>
      </c>
    </row>
    <row r="14" spans="1:8" x14ac:dyDescent="0.25">
      <c r="A14" s="8" t="s">
        <v>12</v>
      </c>
      <c r="B14" s="19">
        <v>143619</v>
      </c>
    </row>
    <row r="15" spans="1:8" x14ac:dyDescent="0.25">
      <c r="A15" s="8" t="s">
        <v>13</v>
      </c>
      <c r="B15" s="80">
        <f>B8/B14</f>
        <v>5.2848160758673995E-3</v>
      </c>
    </row>
    <row r="16" spans="1:8" x14ac:dyDescent="0.25">
      <c r="A16" s="8" t="s">
        <v>14</v>
      </c>
      <c r="B16" s="80">
        <f>B9/B14</f>
        <v>6.4121042480451751E-2</v>
      </c>
    </row>
    <row r="17" spans="1:4" x14ac:dyDescent="0.25">
      <c r="A17" s="19" t="s">
        <v>58</v>
      </c>
      <c r="B17" s="19">
        <v>25</v>
      </c>
    </row>
    <row r="18" spans="1:4" ht="15.75" thickBot="1" x14ac:dyDescent="0.3"/>
    <row r="19" spans="1:4" ht="15.75" thickBot="1" x14ac:dyDescent="0.3">
      <c r="A19" s="3" t="s">
        <v>178</v>
      </c>
      <c r="B19" s="107" t="s">
        <v>54</v>
      </c>
      <c r="C19" s="108"/>
    </row>
    <row r="20" spans="1:4" x14ac:dyDescent="0.25">
      <c r="A20" s="96" t="s">
        <v>55</v>
      </c>
      <c r="B20" s="96"/>
    </row>
    <row r="21" spans="1:4" x14ac:dyDescent="0.25">
      <c r="A21" s="38" t="s">
        <v>4</v>
      </c>
      <c r="B21" s="38" t="s">
        <v>5</v>
      </c>
      <c r="C21" s="39" t="s">
        <v>56</v>
      </c>
    </row>
    <row r="22" spans="1:4" x14ac:dyDescent="0.25">
      <c r="A22" s="19" t="s">
        <v>57</v>
      </c>
      <c r="B22" s="19">
        <v>47540</v>
      </c>
      <c r="C22" s="19"/>
    </row>
    <row r="23" spans="1:4" x14ac:dyDescent="0.25">
      <c r="A23" s="19" t="s">
        <v>59</v>
      </c>
      <c r="B23" s="19">
        <v>41328</v>
      </c>
      <c r="C23" s="19"/>
    </row>
    <row r="24" spans="1:4" x14ac:dyDescent="0.25">
      <c r="A24" s="19" t="s">
        <v>60</v>
      </c>
      <c r="B24" s="19">
        <v>87483</v>
      </c>
      <c r="C24" s="25">
        <f>(B24-B23)/B23</f>
        <v>1.1167973286875725</v>
      </c>
    </row>
    <row r="25" spans="1:4" x14ac:dyDescent="0.25">
      <c r="A25" s="19" t="s">
        <v>61</v>
      </c>
      <c r="B25" s="19">
        <v>6894</v>
      </c>
      <c r="C25" s="19"/>
    </row>
    <row r="26" spans="1:4" x14ac:dyDescent="0.25">
      <c r="A26" s="19" t="s">
        <v>62</v>
      </c>
      <c r="B26" s="19">
        <v>14154</v>
      </c>
      <c r="C26" s="25">
        <f>(B26-B25)/B25</f>
        <v>1.0530896431679722</v>
      </c>
    </row>
    <row r="27" spans="1:4" x14ac:dyDescent="0.25">
      <c r="A27" s="19" t="s">
        <v>63</v>
      </c>
      <c r="B27" s="19">
        <v>15850</v>
      </c>
      <c r="C27" s="19"/>
    </row>
    <row r="28" spans="1:4" x14ac:dyDescent="0.25">
      <c r="A28" s="19" t="s">
        <v>64</v>
      </c>
      <c r="B28" s="19">
        <v>34639</v>
      </c>
      <c r="C28" s="25">
        <f>(B28-B27)/B27</f>
        <v>1.1854258675078864</v>
      </c>
    </row>
    <row r="30" spans="1:4" x14ac:dyDescent="0.25">
      <c r="A30" s="109" t="s">
        <v>179</v>
      </c>
      <c r="B30" s="109"/>
      <c r="C30" s="109"/>
      <c r="D30" s="109"/>
    </row>
    <row r="31" spans="1:4" x14ac:dyDescent="0.25">
      <c r="A31" s="19" t="s">
        <v>4</v>
      </c>
      <c r="B31" s="19" t="s">
        <v>180</v>
      </c>
      <c r="C31" s="19">
        <v>2045</v>
      </c>
      <c r="D31" s="19" t="s">
        <v>54</v>
      </c>
    </row>
    <row r="32" spans="1:4" x14ac:dyDescent="0.25">
      <c r="A32" s="19" t="s">
        <v>65</v>
      </c>
      <c r="B32" s="19">
        <v>3022.2</v>
      </c>
      <c r="C32" s="19">
        <v>3784.85</v>
      </c>
      <c r="D32" s="80">
        <f>(C32-B32)/B32</f>
        <v>0.25234928198001461</v>
      </c>
    </row>
    <row r="33" spans="1:4" x14ac:dyDescent="0.25">
      <c r="A33" s="19" t="s">
        <v>66</v>
      </c>
      <c r="B33" s="19">
        <v>148.69999999999999</v>
      </c>
      <c r="C33" s="19">
        <v>166.27</v>
      </c>
      <c r="D33" s="80">
        <f t="shared" ref="D33:D35" si="0">(C33-B33)/B33</f>
        <v>0.1181573638197715</v>
      </c>
    </row>
    <row r="34" spans="1:4" x14ac:dyDescent="0.25">
      <c r="A34" s="19" t="s">
        <v>181</v>
      </c>
      <c r="B34" s="19">
        <v>30.52</v>
      </c>
      <c r="C34" s="19">
        <v>30.52</v>
      </c>
      <c r="D34" s="80">
        <f t="shared" si="0"/>
        <v>0</v>
      </c>
    </row>
    <row r="35" spans="1:4" x14ac:dyDescent="0.25">
      <c r="A35" s="19" t="s">
        <v>67</v>
      </c>
      <c r="B35" s="19">
        <v>332.39</v>
      </c>
      <c r="C35" s="19">
        <v>2849.17</v>
      </c>
      <c r="D35" s="80">
        <f t="shared" si="0"/>
        <v>7.5717681037335671</v>
      </c>
    </row>
    <row r="36" spans="1:4" x14ac:dyDescent="0.25">
      <c r="D36" s="40"/>
    </row>
  </sheetData>
  <mergeCells count="5">
    <mergeCell ref="A6:B6"/>
    <mergeCell ref="B19:C19"/>
    <mergeCell ref="A20:B20"/>
    <mergeCell ref="A30:D30"/>
    <mergeCell ref="E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7F626-3BBA-44D0-B417-56826ADF523A}">
  <dimension ref="A1:G8"/>
  <sheetViews>
    <sheetView workbookViewId="0">
      <selection activeCell="D25" sqref="D25"/>
    </sheetView>
  </sheetViews>
  <sheetFormatPr defaultRowHeight="15" x14ac:dyDescent="0.25"/>
  <cols>
    <col min="2" max="2" width="51" customWidth="1"/>
    <col min="3" max="3" width="12.28515625" customWidth="1"/>
    <col min="4" max="4" width="21.5703125" bestFit="1" customWidth="1"/>
    <col min="5" max="5" width="27.7109375" customWidth="1"/>
    <col min="6" max="6" width="44.5703125" customWidth="1"/>
    <col min="7" max="7" width="48.7109375" customWidth="1"/>
  </cols>
  <sheetData>
    <row r="1" spans="1:7" x14ac:dyDescent="0.25">
      <c r="A1" t="s">
        <v>17</v>
      </c>
      <c r="B1" s="5" t="s">
        <v>18</v>
      </c>
      <c r="C1" s="5" t="s">
        <v>19</v>
      </c>
      <c r="D1" s="5" t="s">
        <v>20</v>
      </c>
      <c r="E1" s="5" t="s">
        <v>21</v>
      </c>
      <c r="F1" s="6" t="s">
        <v>22</v>
      </c>
      <c r="G1" s="7" t="s">
        <v>23</v>
      </c>
    </row>
    <row r="2" spans="1:7" x14ac:dyDescent="0.25">
      <c r="A2">
        <v>1</v>
      </c>
      <c r="B2" s="8" t="s">
        <v>32</v>
      </c>
      <c r="C2" s="9">
        <v>514</v>
      </c>
      <c r="D2" s="10">
        <v>0.8</v>
      </c>
      <c r="E2" s="9">
        <v>30</v>
      </c>
      <c r="F2" s="17" t="s">
        <v>33</v>
      </c>
      <c r="G2" s="12" t="s">
        <v>33</v>
      </c>
    </row>
    <row r="3" spans="1:7" ht="45" x14ac:dyDescent="0.25">
      <c r="A3">
        <v>2</v>
      </c>
      <c r="B3" s="8" t="s">
        <v>24</v>
      </c>
      <c r="C3" s="9">
        <v>203</v>
      </c>
      <c r="D3" s="10">
        <v>0.25</v>
      </c>
      <c r="E3" s="9">
        <v>20</v>
      </c>
      <c r="F3" s="11" t="s">
        <v>25</v>
      </c>
      <c r="G3" s="12" t="s">
        <v>26</v>
      </c>
    </row>
    <row r="4" spans="1:7" x14ac:dyDescent="0.25">
      <c r="A4">
        <v>3</v>
      </c>
      <c r="B4" s="13" t="s">
        <v>28</v>
      </c>
      <c r="C4" s="14">
        <v>536</v>
      </c>
      <c r="D4" s="15">
        <v>0.31</v>
      </c>
      <c r="E4" s="14">
        <v>20</v>
      </c>
      <c r="F4" s="16" t="s">
        <v>25</v>
      </c>
      <c r="G4" s="16" t="s">
        <v>29</v>
      </c>
    </row>
    <row r="5" spans="1:7" ht="30" x14ac:dyDescent="0.25">
      <c r="A5">
        <v>4</v>
      </c>
      <c r="B5" s="8" t="s">
        <v>30</v>
      </c>
      <c r="C5" s="9">
        <v>401</v>
      </c>
      <c r="D5" s="10">
        <v>0.2</v>
      </c>
      <c r="E5" s="9">
        <v>2</v>
      </c>
      <c r="F5" s="11" t="s">
        <v>25</v>
      </c>
      <c r="G5" s="12" t="s">
        <v>27</v>
      </c>
    </row>
    <row r="6" spans="1:7" x14ac:dyDescent="0.25">
      <c r="A6">
        <v>5</v>
      </c>
      <c r="B6" s="8" t="s">
        <v>34</v>
      </c>
      <c r="C6" s="9">
        <v>407</v>
      </c>
      <c r="D6" s="18">
        <v>0.65</v>
      </c>
      <c r="E6" s="9">
        <v>10</v>
      </c>
      <c r="F6" s="17" t="s">
        <v>35</v>
      </c>
      <c r="G6" s="12" t="s">
        <v>35</v>
      </c>
    </row>
    <row r="8" spans="1:7" x14ac:dyDescent="0.25">
      <c r="B8" s="8" t="s">
        <v>31</v>
      </c>
      <c r="C8" s="19"/>
      <c r="D8" s="118">
        <f>1-((1-D2)*(1-D3)*(1-D4)*(1-D5)*(1-D6))</f>
        <v>0.97101999999999999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TDM</vt:lpstr>
      <vt:lpstr>Traffic</vt:lpstr>
      <vt:lpstr>Emissions</vt:lpstr>
      <vt:lpstr>Demographics</vt:lpstr>
      <vt:lpstr>CRF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Manthan Gajera</dc:creator>
  <cp:lastModifiedBy>Manthan Gajera</cp:lastModifiedBy>
  <dcterms:created xsi:type="dcterms:W3CDTF">2015-06-05T18:17:20Z</dcterms:created>
  <dcterms:modified xsi:type="dcterms:W3CDTF">2024-02-12T22:15:11Z</dcterms:modified>
</cp:coreProperties>
</file>