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9_FM 762 (Rosenberg)/"/>
    </mc:Choice>
  </mc:AlternateContent>
  <xr:revisionPtr revIDLastSave="1151" documentId="11_F25DC773A252ABDACC10480171DC540E5BDE58ED" xr6:coauthVersionLast="47" xr6:coauthVersionMax="47" xr10:uidLastSave="{29F6911A-1BC0-4179-8262-E99931596EAF}"/>
  <bookViews>
    <workbookView xWindow="-120" yWindow="-120" windowWidth="29040" windowHeight="15720" activeTab="1" xr2:uid="{00000000-000D-0000-FFFF-FFFF00000000}"/>
  </bookViews>
  <sheets>
    <sheet name="TDM" sheetId="2" r:id="rId1"/>
    <sheet name="Traffic" sheetId="1" r:id="rId2"/>
    <sheet name="Emissions" sheetId="6" r:id="rId3"/>
    <sheet name="Demographics" sheetId="4" r:id="rId4"/>
    <sheet name="CRF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AP22" i="2"/>
  <c r="AU17" i="2"/>
  <c r="AU18" i="2"/>
  <c r="AU19" i="2"/>
  <c r="AU20" i="2"/>
  <c r="AU21" i="2"/>
  <c r="AU16" i="2"/>
  <c r="AP32" i="2"/>
  <c r="AP35" i="2"/>
  <c r="AP36" i="2"/>
  <c r="AP37" i="2"/>
  <c r="AP38" i="2"/>
  <c r="AP39" i="2"/>
  <c r="AP34" i="2"/>
  <c r="L19" i="1"/>
  <c r="AG35" i="2"/>
  <c r="AG36" i="2"/>
  <c r="AG37" i="2"/>
  <c r="AG38" i="2"/>
  <c r="AG39" i="2"/>
  <c r="AG34" i="2"/>
  <c r="AA32" i="2"/>
  <c r="AA35" i="2"/>
  <c r="AA36" i="2"/>
  <c r="AA37" i="2"/>
  <c r="AA38" i="2"/>
  <c r="AA39" i="2"/>
  <c r="AA34" i="2"/>
  <c r="J32" i="2"/>
  <c r="U32" i="2"/>
  <c r="U35" i="2"/>
  <c r="U36" i="2"/>
  <c r="U37" i="2"/>
  <c r="U38" i="2"/>
  <c r="U39" i="2"/>
  <c r="U34" i="2"/>
  <c r="L2" i="1"/>
  <c r="AQ9" i="2"/>
  <c r="D33" i="4"/>
  <c r="D32" i="4"/>
  <c r="D31" i="4"/>
  <c r="D30" i="4"/>
  <c r="C26" i="4"/>
  <c r="C24" i="4"/>
  <c r="C22" i="4"/>
  <c r="AG32" i="2" l="1"/>
  <c r="D7" i="5"/>
  <c r="D8" i="5"/>
  <c r="C36" i="6"/>
  <c r="C35" i="6"/>
  <c r="C29" i="6"/>
  <c r="C28" i="6"/>
  <c r="C18" i="6"/>
  <c r="C32" i="6" l="1"/>
  <c r="AI39" i="2"/>
  <c r="AI40" i="2"/>
  <c r="AI41" i="2"/>
  <c r="AI35" i="2"/>
  <c r="AI36" i="2"/>
  <c r="AI37" i="2"/>
  <c r="AI38" i="2"/>
  <c r="Q32" i="2"/>
  <c r="AU27" i="2"/>
  <c r="AU28" i="2"/>
  <c r="AU29" i="2"/>
  <c r="AU30" i="2"/>
  <c r="AU31" i="2"/>
  <c r="AU26" i="2"/>
  <c r="S32" i="2"/>
  <c r="G19" i="1" s="1"/>
  <c r="S22" i="2"/>
  <c r="L3" i="1"/>
  <c r="L4" i="1" s="1"/>
  <c r="C19" i="1"/>
  <c r="L22" i="1"/>
  <c r="L20" i="1"/>
  <c r="P22" i="2"/>
  <c r="J22" i="1" s="1"/>
  <c r="J20" i="1"/>
  <c r="Q5" i="6"/>
  <c r="AG22" i="2"/>
  <c r="Q4" i="6" s="1"/>
  <c r="P5" i="6"/>
  <c r="AA22" i="2"/>
  <c r="P4" i="6" s="1"/>
  <c r="O5" i="6"/>
  <c r="U22" i="2"/>
  <c r="O4" i="6" s="1"/>
  <c r="B13" i="1"/>
  <c r="C7" i="1"/>
  <c r="C6" i="1"/>
  <c r="C5" i="1"/>
  <c r="F5" i="1" s="1"/>
  <c r="G4" i="1"/>
  <c r="G3" i="1"/>
  <c r="R5" i="6" l="1"/>
  <c r="AU32" i="2"/>
  <c r="D19" i="1"/>
  <c r="F19" i="1" s="1"/>
  <c r="J19" i="1"/>
  <c r="J21" i="1" s="1"/>
  <c r="R4" i="6"/>
  <c r="L21" i="1"/>
  <c r="L23" i="1"/>
  <c r="J23" i="1"/>
  <c r="F6" i="1"/>
  <c r="F7" i="1" s="1"/>
  <c r="D5" i="1"/>
  <c r="E5" i="1"/>
  <c r="E6" i="1" s="1"/>
  <c r="E7" i="1" s="1"/>
  <c r="L24" i="1" l="1"/>
  <c r="J24" i="1"/>
  <c r="D6" i="1"/>
  <c r="G5" i="1"/>
  <c r="D7" i="1" l="1"/>
  <c r="G7" i="1" s="1"/>
  <c r="G6" i="1"/>
  <c r="G8" i="1" l="1"/>
  <c r="B46" i="4" l="1"/>
  <c r="B8" i="4" l="1"/>
  <c r="B15" i="4" s="1"/>
  <c r="B9" i="4"/>
  <c r="B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X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<sst xmlns="http://schemas.openxmlformats.org/spreadsheetml/2006/main" count="357" uniqueCount="193">
  <si>
    <t>Volume Growth</t>
  </si>
  <si>
    <t>Total Volume</t>
  </si>
  <si>
    <t>HGAC TDM 2023</t>
  </si>
  <si>
    <t>HGAC TDM 2045</t>
  </si>
  <si>
    <t>% growth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</si>
  <si>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</si>
  <si>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</si>
  <si>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</si>
  <si>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</si>
  <si>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</si>
  <si>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</si>
  <si>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</si>
  <si>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</si>
  <si>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</si>
  <si>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</si>
  <si>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</si>
  <si>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</si>
  <si>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</si>
  <si>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</si>
  <si>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</si>
  <si>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</si>
  <si>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</si>
  <si>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</si>
  <si>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</si>
  <si>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</si>
  <si>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</si>
  <si>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</si>
  <si>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</si>
  <si>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</si>
  <si>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</si>
  <si>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</si>
  <si>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</si>
  <si>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</si>
  <si>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</si>
  <si>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</si>
  <si>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</si>
  <si>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</si>
  <si>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AM3HRVHT</t>
  </si>
  <si>
    <t>MD6HRVHT</t>
  </si>
  <si>
    <t>PM4HRVHT</t>
  </si>
  <si>
    <t>OV11HRVHT</t>
  </si>
  <si>
    <t>HR24VHT</t>
  </si>
  <si>
    <t>TOTVOL_T</t>
  </si>
  <si>
    <t>TRUCKVHT</t>
  </si>
  <si>
    <t>Shape_Length</t>
  </si>
  <si>
    <t>Polyline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</si>
  <si>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</si>
  <si>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</si>
  <si>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</si>
  <si>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</si>
  <si>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</si>
  <si>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</si>
  <si>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Value</t>
  </si>
  <si>
    <t>Year</t>
  </si>
  <si>
    <t>Average</t>
  </si>
  <si>
    <t>Data:</t>
  </si>
  <si>
    <t>Population</t>
  </si>
  <si>
    <t>Area</t>
  </si>
  <si>
    <t>block groups within 5 miles radius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</si>
  <si>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</si>
  <si>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</si>
  <si>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</si>
  <si>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</si>
  <si>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</si>
  <si>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</si>
  <si>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</si>
  <si>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</si>
  <si>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</si>
  <si>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</si>
  <si>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</si>
  <si>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</si>
  <si>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Population (2021)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</si>
  <si>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</si>
  <si>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</si>
  <si>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</si>
  <si>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</si>
  <si>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</si>
  <si>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</si>
  <si>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</si>
  <si>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</si>
  <si>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</si>
  <si>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</si>
  <si>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</si>
  <si>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</si>
  <si>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</si>
  <si>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</si>
  <si>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</si>
  <si>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</si>
  <si>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</si>
  <si>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</si>
  <si>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</si>
  <si>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</si>
  <si>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</si>
  <si>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</si>
  <si>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</si>
  <si>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</si>
  <si>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Consolidated CRF</t>
  </si>
  <si>
    <t>Convert 2-Lane Facility to 4-Lane Divided</t>
  </si>
  <si>
    <t>Install Edge Marking</t>
  </si>
  <si>
    <t>Roadway Related/Off road</t>
  </si>
  <si>
    <t>FM 762 (Brazon Town Blvd to FM 2759)</t>
  </si>
  <si>
    <t>K= 9</t>
  </si>
  <si>
    <t>TCDS1</t>
  </si>
  <si>
    <t>Total AADT</t>
  </si>
  <si>
    <t>Travel time Index (2022)</t>
  </si>
  <si>
    <t>Avg. TTI</t>
  </si>
  <si>
    <t>Limits</t>
  </si>
  <si>
    <t>Road</t>
  </si>
  <si>
    <t>LOS</t>
  </si>
  <si>
    <t>FM 762</t>
  </si>
  <si>
    <t>Travel Time Index (TTI)</t>
  </si>
  <si>
    <t>2045 No Build</t>
  </si>
  <si>
    <t>2045 Build</t>
  </si>
  <si>
    <t>FID</t>
  </si>
  <si>
    <t>Shape</t>
  </si>
  <si>
    <t>PROJ_ID</t>
  </si>
  <si>
    <t>PROJ_IDA</t>
  </si>
  <si>
    <t>26368-28025</t>
  </si>
  <si>
    <t>26008-26368</t>
  </si>
  <si>
    <t>26363-26364</t>
  </si>
  <si>
    <t>26363-26367</t>
  </si>
  <si>
    <t>38664-26008</t>
  </si>
  <si>
    <t>26367-38664</t>
  </si>
  <si>
    <t>Town Center Blvd to FM 2759</t>
  </si>
  <si>
    <t>2045 NB</t>
  </si>
  <si>
    <t>Volume (2045 NB)</t>
  </si>
  <si>
    <t>Volume 
(2045 B)</t>
  </si>
  <si>
    <t xml:space="preserve">FM 762 (TDM Volumes) </t>
  </si>
  <si>
    <t>Brazos Town Center Blvd to FM 2759</t>
  </si>
  <si>
    <t>V/C Ratio</t>
  </si>
  <si>
    <t>TDM PM Peak 
V/C Ratio</t>
  </si>
  <si>
    <t>COMPAT (FM 762 at US 90A)</t>
  </si>
  <si>
    <t>INPUTS</t>
  </si>
  <si>
    <t>Project Information</t>
  </si>
  <si>
    <t>Project Title: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</si>
  <si>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</si>
  <si>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</si>
  <si>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</si>
  <si>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</si>
  <si>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</si>
  <si>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</si>
  <si>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</si>
  <si>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</si>
  <si>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</si>
  <si>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</si>
  <si>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</si>
  <si>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</si>
  <si>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</si>
  <si>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</si>
  <si>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</si>
  <si>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</si>
  <si>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</si>
  <si>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</si>
  <si>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</si>
  <si>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</si>
  <si>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</si>
  <si>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</si>
  <si>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</si>
  <si>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</si>
  <si>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</si>
  <si>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</si>
  <si>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</si>
  <si>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</si>
  <si>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</si>
  <si>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</si>
  <si>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</si>
  <si>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</si>
  <si>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</si>
  <si>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</si>
  <si>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</si>
  <si>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Provide Additional Paved Surface Width</t>
  </si>
  <si>
    <t>Land Use Growth (2 miles buffer)</t>
  </si>
  <si>
    <t>Current</t>
  </si>
  <si>
    <t>Residential</t>
  </si>
  <si>
    <t>Commercial</t>
  </si>
  <si>
    <t>Industrial</t>
  </si>
  <si>
    <t>Multiple</t>
  </si>
  <si>
    <t>Forecast - 2 miles buffer</t>
  </si>
  <si>
    <t>OBJECTID *</t>
  </si>
  <si>
    <t>Shape *</t>
  </si>
  <si>
    <t>FUNCL</t>
  </si>
  <si>
    <t>TRUCK_VMT</t>
  </si>
  <si>
    <t>TRUCKHRVHT</t>
  </si>
  <si>
    <t>Assumed K factor= 0.12, D factor= 0.5, HCM 7 Exhibit 12-42</t>
  </si>
  <si>
    <t>Weighted Avg.</t>
  </si>
  <si>
    <t>LOS C</t>
  </si>
  <si>
    <t>Within 1/4 mile buffer</t>
  </si>
  <si>
    <t>Medical facilities</t>
  </si>
  <si>
    <t>Education facilities</t>
  </si>
  <si>
    <t>Social services facilities</t>
  </si>
  <si>
    <t>Manford Williams Elementary School</t>
  </si>
  <si>
    <t>Jones Cemetery</t>
  </si>
  <si>
    <t>Walgreens pharmacy;
Next Level Urgent Care;
Houston Methodist Primary Care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</si>
</sst>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#,##0.0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2" fontId="0" fillId="0" borderId="1" xfId="0" applyNumberFormat="1" applyBorder="1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/>
    <xf numFmtId="10" fontId="0" fillId="0" borderId="0" xfId="0" applyNumberFormat="1"/>
    <xf numFmtId="0" fontId="2" fillId="0" borderId="8" xfId="0" applyFont="1" applyBorder="1"/>
    <xf numFmtId="0" fontId="2" fillId="0" borderId="9" xfId="0" applyFont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0" fontId="0" fillId="0" borderId="1" xfId="0" applyBorder="1" applyAlignment="1">
      <alignment horizontal="center" wrapText="1"/>
    </xf>
    <xf numFmtId="0" fontId="10" fillId="0" borderId="1" xfId="0" applyFont="1" applyBorder="1"/>
    <xf numFmtId="1" fontId="0" fillId="0" borderId="6" xfId="0" applyNumberFormat="1" applyBorder="1"/>
    <xf numFmtId="1" fontId="2" fillId="0" borderId="1" xfId="0" applyNumberFormat="1" applyFont="1" applyBorder="1"/>
    <xf numFmtId="0" fontId="2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0" xfId="1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2" fillId="7" borderId="1" xfId="0" applyFont="1" applyFill="1" applyBorder="1"/>
    <xf numFmtId="0" fontId="2" fillId="2" borderId="2" xfId="0" applyFont="1" applyFill="1" applyBorder="1"/>
    <xf numFmtId="1" fontId="0" fillId="0" borderId="2" xfId="0" applyNumberFormat="1" applyBorder="1"/>
    <xf numFmtId="9" fontId="0" fillId="0" borderId="2" xfId="1" applyFont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/>
    <xf numFmtId="2" fontId="0" fillId="0" borderId="1" xfId="0" applyNumberFormat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3" fontId="0" fillId="10" borderId="1" xfId="0" applyNumberFormat="1" applyFill="1" applyBorder="1" applyAlignment="1" applyProtection="1">
      <alignment horizontal="left" vertical="center"/>
      <protection locked="0"/>
    </xf>
    <xf numFmtId="167" fontId="0" fillId="10" borderId="1" xfId="0" applyNumberFormat="1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>
      <alignment horizontal="left" vertical="center" wrapText="1"/>
    </xf>
    <xf numFmtId="0" fontId="0" fillId="12" borderId="11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1" fillId="13" borderId="1" xfId="0" applyFont="1" applyFill="1" applyBorder="1" applyAlignment="1">
      <alignment vertical="center"/>
    </xf>
    <xf numFmtId="168" fontId="0" fillId="6" borderId="1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2" fontId="2" fillId="14" borderId="1" xfId="0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97155</xdr:colOff>
      <xdr:row>9</xdr:row>
      <xdr:rowOff>0</xdr:rowOff>
    </xdr:from>
    <xdr:to>
      <xdr:col>20</xdr:col>
      <xdr:colOff>596782</xdr:colOff>
      <xdr:row>32</xdr:row>
      <xdr:rowOff>70904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9D4B4408-4170-47E3-999F-7A80805ED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6705" y="2240280"/>
          <a:ext cx="5976502" cy="4852454"/>
        </a:xfrm>
        <a:prstGeom prst="rect">
          <a:avLst/>
        </a:prstGeom>
      </xdr:spPr>
    </xdr:pic>
    <xdr:clientData/>
  </xdr:twoCellAnchor>
  <xdr:twoCellAnchor>
    <xdr:from>
      <xdr:col>13</xdr:col>
      <xdr:colOff>219075</xdr:colOff>
      <xdr:row>23</xdr:row>
      <xdr:rowOff>180975</xdr:rowOff>
    </xdr:from>
    <xdr:to>
      <xdr:col>19</xdr:col>
      <xdr:colOff>504825</xdr:colOff>
      <xdr:row>24</xdr:row>
      <xdr:rowOff>177165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4EC0240-B282-42D8-A5BD-907A381C547A}"/>
            </a:ext>
          </a:extLst>
        </xdr:cNvPr>
        <xdr:cNvSpPr/>
      </xdr:nvSpPr>
      <xdr:spPr>
        <a:xfrm>
          <a:off x="11858625" y="6229350"/>
          <a:ext cx="5000625" cy="18669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428625</xdr:colOff>
      <xdr:row>21</xdr:row>
      <xdr:rowOff>123825</xdr:rowOff>
    </xdr:from>
    <xdr:to>
      <xdr:col>7</xdr:col>
      <xdr:colOff>162756</xdr:colOff>
      <xdr:row>59</xdr:row>
      <xdr:rowOff>67688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716AFC-7ABD-F969-237E-CBE94532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6086475"/>
          <a:ext cx="5953956" cy="7259063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44</xdr:row>
      <xdr:rowOff>180976</xdr:rowOff>
    </xdr:from>
    <xdr:to>
      <xdr:col>2</xdr:col>
      <xdr:colOff>57150</xdr:colOff>
      <xdr:row>45</xdr:row>
      <xdr:rowOff>161926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B3BA59E-8753-292D-5404-C762B758B51C}"/>
            </a:ext>
          </a:extLst>
        </xdr:cNvPr>
        <xdr:cNvSpPr/>
      </xdr:nvSpPr>
      <xdr:spPr>
        <a:xfrm>
          <a:off x="495300" y="10610851"/>
          <a:ext cx="2371725" cy="1714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U41"/>
  <sheetViews>
    <sheetView topLeftCell="T1" workbookViewId="0">
      <selection activeCell="J22" sqref="J22"/>
    </sheetView>
  </sheetViews>
  <sheetFormatPr defaultRowHeight="15" x14ac:dyDescent="0.25"/>
  <cols>
    <col min="22" max="22" width="16.5703125" customWidth="1"/>
    <col min="29" max="29" width="17.28515625" customWidth="1"/>
    <col min="42" max="42" width="12.28515625" customWidth="1"/>
  </cols>
  <sheetData>
    <row r="1" spans="1:47" x14ac:dyDescent="0.25">
      <c r="A1" s="6" t="s">
        <v>124</v>
      </c>
      <c r="B1" s="7" t="s">
        <v>109</v>
      </c>
      <c r="C1" s="8"/>
      <c r="D1" s="8"/>
      <c r="E1" s="9" t="s">
        <v>123</v>
      </c>
    </row>
    <row r="2" spans="1:47" x14ac:dyDescent="0.25">
      <c r="A2" t="s">
        <v>178</v>
      </c>
      <c r="B2" t="s">
        <v>179</v>
      </c>
      <c r="C2" t="s">
        <v>180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23</v>
      </c>
      <c r="W2" t="s">
        <v>24</v>
      </c>
      <c r="X2" t="s">
        <v>25</v>
      </c>
      <c r="Y2" t="s">
        <v>26</v>
      </c>
      <c r="Z2" t="s">
        <v>27</v>
      </c>
      <c r="AA2" t="s">
        <v>28</v>
      </c>
      <c r="AB2" t="s">
        <v>29</v>
      </c>
      <c r="AC2" t="s">
        <v>30</v>
      </c>
      <c r="AD2" t="s">
        <v>31</v>
      </c>
      <c r="AE2" t="s">
        <v>32</v>
      </c>
      <c r="AF2" t="s">
        <v>33</v>
      </c>
      <c r="AG2" t="s">
        <v>34</v>
      </c>
      <c r="AH2" t="s">
        <v>35</v>
      </c>
      <c r="AI2" t="s">
        <v>36</v>
      </c>
      <c r="AJ2" t="s">
        <v>181</v>
      </c>
      <c r="AK2" t="s">
        <v>37</v>
      </c>
      <c r="AL2" t="s">
        <v>38</v>
      </c>
      <c r="AM2" t="s">
        <v>39</v>
      </c>
      <c r="AN2" t="s">
        <v>40</v>
      </c>
      <c r="AO2" t="s">
        <v>41</v>
      </c>
      <c r="AP2" t="s">
        <v>182</v>
      </c>
      <c r="AQ2" t="s">
        <v>42</v>
      </c>
      <c r="AR2" t="s">
        <v>43</v>
      </c>
      <c r="AS2" t="s">
        <v>44</v>
      </c>
    </row>
    <row r="3" spans="1:47" x14ac:dyDescent="0.25">
      <c r="A3">
        <v>8779</v>
      </c>
      <c r="B3" t="s">
        <v>45</v>
      </c>
      <c r="C3">
        <v>14</v>
      </c>
      <c r="D3" t="s">
        <v>109</v>
      </c>
      <c r="E3" t="s">
        <v>117</v>
      </c>
      <c r="F3">
        <v>26368</v>
      </c>
      <c r="G3">
        <v>28025</v>
      </c>
      <c r="H3">
        <v>2</v>
      </c>
      <c r="I3">
        <v>0.15256</v>
      </c>
      <c r="J3">
        <v>16</v>
      </c>
      <c r="K3">
        <v>4</v>
      </c>
      <c r="L3">
        <v>32664</v>
      </c>
      <c r="M3">
        <v>35.11</v>
      </c>
      <c r="N3">
        <v>0.26071</v>
      </c>
      <c r="O3">
        <v>45</v>
      </c>
      <c r="P3">
        <v>4592.68408</v>
      </c>
      <c r="Q3">
        <v>0.42886000000000002</v>
      </c>
      <c r="R3">
        <v>0.84362000000000004</v>
      </c>
      <c r="S3">
        <v>10020.677729999999</v>
      </c>
      <c r="T3">
        <v>27.37</v>
      </c>
      <c r="U3">
        <v>0.33444000000000002</v>
      </c>
      <c r="V3">
        <v>6517.7734399999999</v>
      </c>
      <c r="W3">
        <v>0.39463999999999999</v>
      </c>
      <c r="X3">
        <v>0.79815999999999998</v>
      </c>
      <c r="Y3">
        <v>11875.837890000001</v>
      </c>
      <c r="Z3">
        <v>29.27</v>
      </c>
      <c r="AA3">
        <v>0.31273000000000001</v>
      </c>
      <c r="AB3">
        <v>4275.3808600000002</v>
      </c>
      <c r="AC3">
        <v>0.64832999999999996</v>
      </c>
      <c r="AD3">
        <v>1.0471200000000001</v>
      </c>
      <c r="AE3">
        <v>6392.8622999999998</v>
      </c>
      <c r="AF3">
        <v>20.03</v>
      </c>
      <c r="AG3">
        <v>0.45699000000000001</v>
      </c>
      <c r="AH3">
        <v>19355.525389999999</v>
      </c>
      <c r="AI3">
        <v>2952.8789099999999</v>
      </c>
      <c r="AJ3">
        <v>2.1813699999999998</v>
      </c>
      <c r="AK3">
        <v>32.563760000000002</v>
      </c>
      <c r="AL3">
        <v>33.971690000000002</v>
      </c>
      <c r="AM3">
        <v>25.59956</v>
      </c>
      <c r="AN3">
        <v>17.249089999999999</v>
      </c>
      <c r="AO3">
        <v>109.3841</v>
      </c>
      <c r="AP3">
        <v>7.3330000000000006E-2</v>
      </c>
      <c r="AQ3">
        <v>37696.253909999999</v>
      </c>
      <c r="AR3">
        <v>8.5510000000000003E-2</v>
      </c>
      <c r="AS3">
        <v>805.53245900000002</v>
      </c>
    </row>
    <row r="4" spans="1:47" x14ac:dyDescent="0.25">
      <c r="A4">
        <v>8879</v>
      </c>
      <c r="B4" t="s">
        <v>45</v>
      </c>
      <c r="C4">
        <v>13</v>
      </c>
      <c r="D4" t="s">
        <v>109</v>
      </c>
      <c r="E4" t="s">
        <v>118</v>
      </c>
      <c r="F4">
        <v>26008</v>
      </c>
      <c r="G4">
        <v>26368</v>
      </c>
      <c r="H4">
        <v>1</v>
      </c>
      <c r="I4">
        <v>1.0735300000000001</v>
      </c>
      <c r="J4">
        <v>16</v>
      </c>
      <c r="K4">
        <v>4</v>
      </c>
      <c r="L4">
        <v>16992</v>
      </c>
      <c r="M4">
        <v>39.119999999999997</v>
      </c>
      <c r="N4">
        <v>1.64652</v>
      </c>
      <c r="O4">
        <v>40.5</v>
      </c>
      <c r="P4">
        <v>1683.0711699999999</v>
      </c>
      <c r="Q4">
        <v>2.05247</v>
      </c>
      <c r="R4">
        <v>0.59430000000000005</v>
      </c>
      <c r="S4">
        <v>4167.5541999999996</v>
      </c>
      <c r="T4">
        <v>38.56</v>
      </c>
      <c r="U4">
        <v>1.6704300000000001</v>
      </c>
      <c r="V4">
        <v>2311.1816399999998</v>
      </c>
      <c r="W4">
        <v>1.94587</v>
      </c>
      <c r="X4">
        <v>0.54405999999999999</v>
      </c>
      <c r="Y4">
        <v>3961.6835900000001</v>
      </c>
      <c r="Z4">
        <v>38.659999999999997</v>
      </c>
      <c r="AA4">
        <v>1.66611</v>
      </c>
      <c r="AB4">
        <v>1816.22424</v>
      </c>
      <c r="AC4">
        <v>3.08392</v>
      </c>
      <c r="AD4">
        <v>0.85509999999999997</v>
      </c>
      <c r="AE4">
        <v>2531.3720699999999</v>
      </c>
      <c r="AF4">
        <v>36.75</v>
      </c>
      <c r="AG4">
        <v>1.7526999999999999</v>
      </c>
      <c r="AH4">
        <v>6901.0512699999999</v>
      </c>
      <c r="AI4">
        <v>7408.4853499999999</v>
      </c>
      <c r="AJ4">
        <v>2.88029</v>
      </c>
      <c r="AK4">
        <v>53.055</v>
      </c>
      <c r="AL4">
        <v>64.178030000000007</v>
      </c>
      <c r="AM4">
        <v>46.857559999999999</v>
      </c>
      <c r="AN4">
        <v>29.927510000000002</v>
      </c>
      <c r="AO4">
        <v>194.0181</v>
      </c>
      <c r="AP4">
        <v>7.5120000000000006E-2</v>
      </c>
      <c r="AQ4">
        <v>13221.48633</v>
      </c>
      <c r="AR4">
        <v>9.5439999999999997E-2</v>
      </c>
      <c r="AS4">
        <v>5668.2236300000004</v>
      </c>
    </row>
    <row r="5" spans="1:47" x14ac:dyDescent="0.25">
      <c r="A5">
        <v>10443</v>
      </c>
      <c r="B5" t="s">
        <v>45</v>
      </c>
      <c r="C5">
        <v>13</v>
      </c>
      <c r="D5" t="s">
        <v>109</v>
      </c>
      <c r="E5" t="s">
        <v>119</v>
      </c>
      <c r="F5">
        <v>26363</v>
      </c>
      <c r="G5">
        <v>26364</v>
      </c>
      <c r="H5">
        <v>1</v>
      </c>
      <c r="I5">
        <v>0.14219000000000001</v>
      </c>
      <c r="J5">
        <v>16</v>
      </c>
      <c r="K5">
        <v>4</v>
      </c>
      <c r="L5">
        <v>16992</v>
      </c>
      <c r="M5">
        <v>33.69</v>
      </c>
      <c r="N5">
        <v>0.25323000000000001</v>
      </c>
      <c r="O5">
        <v>40.5</v>
      </c>
      <c r="P5">
        <v>2677.98657</v>
      </c>
      <c r="Q5">
        <v>0.48855999999999999</v>
      </c>
      <c r="R5">
        <v>0.94562000000000002</v>
      </c>
      <c r="S5">
        <v>5192.9526400000004</v>
      </c>
      <c r="T5">
        <v>23.93</v>
      </c>
      <c r="U5">
        <v>0.35650999999999999</v>
      </c>
      <c r="V5">
        <v>3314.7312000000002</v>
      </c>
      <c r="W5">
        <v>0.35647000000000001</v>
      </c>
      <c r="X5">
        <v>0.78029999999999999</v>
      </c>
      <c r="Y5">
        <v>6636.9711900000002</v>
      </c>
      <c r="Z5">
        <v>29.43</v>
      </c>
      <c r="AA5">
        <v>0.28988999999999998</v>
      </c>
      <c r="AB5">
        <v>1910.2683099999999</v>
      </c>
      <c r="AC5">
        <v>0.44513000000000003</v>
      </c>
      <c r="AD5">
        <v>0.89937</v>
      </c>
      <c r="AE5">
        <v>3892.4350599999998</v>
      </c>
      <c r="AF5">
        <v>25.99</v>
      </c>
      <c r="AG5">
        <v>0.32826</v>
      </c>
      <c r="AH5">
        <v>9972.47559</v>
      </c>
      <c r="AI5">
        <v>1417.98621</v>
      </c>
      <c r="AJ5">
        <v>0.83109999999999995</v>
      </c>
      <c r="AK5">
        <v>10.450979999999999</v>
      </c>
      <c r="AL5">
        <v>16.01501</v>
      </c>
      <c r="AM5">
        <v>15.91236</v>
      </c>
      <c r="AN5">
        <v>8.7343600000000006</v>
      </c>
      <c r="AO5">
        <v>51.11271</v>
      </c>
      <c r="AP5">
        <v>2.845E-2</v>
      </c>
      <c r="AQ5">
        <v>20423.648440000001</v>
      </c>
      <c r="AR5">
        <v>3.3430000000000001E-2</v>
      </c>
      <c r="AS5">
        <v>750.74633400000005</v>
      </c>
    </row>
    <row r="6" spans="1:47" x14ac:dyDescent="0.25">
      <c r="A6">
        <v>10444</v>
      </c>
      <c r="B6" t="s">
        <v>45</v>
      </c>
      <c r="C6">
        <v>13</v>
      </c>
      <c r="D6" t="s">
        <v>109</v>
      </c>
      <c r="E6" t="s">
        <v>120</v>
      </c>
      <c r="F6">
        <v>26363</v>
      </c>
      <c r="G6">
        <v>26367</v>
      </c>
      <c r="H6">
        <v>1</v>
      </c>
      <c r="I6">
        <v>0.13658999999999999</v>
      </c>
      <c r="J6">
        <v>16</v>
      </c>
      <c r="K6">
        <v>4</v>
      </c>
      <c r="L6">
        <v>16992</v>
      </c>
      <c r="M6">
        <v>33.47</v>
      </c>
      <c r="N6">
        <v>0.24485999999999999</v>
      </c>
      <c r="O6">
        <v>40.5</v>
      </c>
      <c r="P6">
        <v>2514.9658199999999</v>
      </c>
      <c r="Q6">
        <v>0.41816999999999999</v>
      </c>
      <c r="R6">
        <v>0.88805000000000001</v>
      </c>
      <c r="S6">
        <v>5192.9526400000004</v>
      </c>
      <c r="T6">
        <v>26.4</v>
      </c>
      <c r="U6">
        <v>0.31042999999999998</v>
      </c>
      <c r="V6">
        <v>3322.2397500000002</v>
      </c>
      <c r="W6">
        <v>0.34348000000000001</v>
      </c>
      <c r="X6">
        <v>0.78207000000000004</v>
      </c>
      <c r="Y6">
        <v>6636.9711900000002</v>
      </c>
      <c r="Z6">
        <v>29.4</v>
      </c>
      <c r="AA6">
        <v>0.27876000000000001</v>
      </c>
      <c r="AB6">
        <v>1982.16687</v>
      </c>
      <c r="AC6">
        <v>0.45762000000000003</v>
      </c>
      <c r="AD6">
        <v>0.93322000000000005</v>
      </c>
      <c r="AE6">
        <v>3892.4350599999998</v>
      </c>
      <c r="AF6">
        <v>24.55</v>
      </c>
      <c r="AG6">
        <v>0.33382000000000001</v>
      </c>
      <c r="AH6">
        <v>10451.172850000001</v>
      </c>
      <c r="AI6">
        <v>1427.52576</v>
      </c>
      <c r="AJ6">
        <v>0.79969000000000001</v>
      </c>
      <c r="AK6">
        <v>11.028280000000001</v>
      </c>
      <c r="AL6">
        <v>15.434850000000001</v>
      </c>
      <c r="AM6">
        <v>13.012090000000001</v>
      </c>
      <c r="AN6">
        <v>10.74029</v>
      </c>
      <c r="AO6">
        <v>50.215519999999998</v>
      </c>
      <c r="AP6">
        <v>2.6630000000000001E-2</v>
      </c>
      <c r="AQ6">
        <v>20423.648440000001</v>
      </c>
      <c r="AR6">
        <v>2.9989999999999999E-2</v>
      </c>
      <c r="AS6">
        <v>721.17179499999997</v>
      </c>
    </row>
    <row r="7" spans="1:47" x14ac:dyDescent="0.25">
      <c r="A7">
        <v>20675</v>
      </c>
      <c r="B7" t="s">
        <v>45</v>
      </c>
      <c r="C7">
        <v>13</v>
      </c>
      <c r="D7" t="s">
        <v>109</v>
      </c>
      <c r="E7" t="s">
        <v>121</v>
      </c>
      <c r="F7">
        <v>38664</v>
      </c>
      <c r="G7">
        <v>26008</v>
      </c>
      <c r="H7">
        <v>1</v>
      </c>
      <c r="I7">
        <v>0.70577000000000001</v>
      </c>
      <c r="J7">
        <v>16</v>
      </c>
      <c r="K7">
        <v>4</v>
      </c>
      <c r="L7">
        <v>16992</v>
      </c>
      <c r="M7">
        <v>38.35</v>
      </c>
      <c r="N7">
        <v>1.1042000000000001</v>
      </c>
      <c r="O7">
        <v>40.5</v>
      </c>
      <c r="P7">
        <v>2337.03271</v>
      </c>
      <c r="Q7">
        <v>1.91726</v>
      </c>
      <c r="R7">
        <v>0.82521999999999995</v>
      </c>
      <c r="S7">
        <v>4996.3959999999997</v>
      </c>
      <c r="T7">
        <v>35.74</v>
      </c>
      <c r="U7">
        <v>1.1848399999999999</v>
      </c>
      <c r="V7">
        <v>2429.4851100000001</v>
      </c>
      <c r="W7">
        <v>1.3162100000000001</v>
      </c>
      <c r="X7">
        <v>0.57191000000000003</v>
      </c>
      <c r="Y7">
        <v>4689.9921899999999</v>
      </c>
      <c r="Z7">
        <v>37.71</v>
      </c>
      <c r="AA7">
        <v>1.12294</v>
      </c>
      <c r="AB7">
        <v>1864.8267800000001</v>
      </c>
      <c r="AC7">
        <v>2.1186400000000001</v>
      </c>
      <c r="AD7">
        <v>0.87797999999999998</v>
      </c>
      <c r="AE7">
        <v>3097.6433099999999</v>
      </c>
      <c r="AF7">
        <v>34.700000000000003</v>
      </c>
      <c r="AG7">
        <v>1.22035</v>
      </c>
      <c r="AH7">
        <v>8484.0156299999999</v>
      </c>
      <c r="AI7">
        <v>5987.7641599999997</v>
      </c>
      <c r="AJ7">
        <v>1.1666000000000001</v>
      </c>
      <c r="AK7">
        <v>37.929070000000003</v>
      </c>
      <c r="AL7">
        <v>45.469580000000001</v>
      </c>
      <c r="AM7">
        <v>46.150179999999999</v>
      </c>
      <c r="AN7">
        <v>34.09543</v>
      </c>
      <c r="AO7">
        <v>163.64427000000001</v>
      </c>
      <c r="AP7">
        <v>3.0960000000000001E-2</v>
      </c>
      <c r="AQ7">
        <v>16267.29297</v>
      </c>
      <c r="AR7">
        <v>3.5520000000000003E-2</v>
      </c>
      <c r="AS7">
        <v>3726.4522109999998</v>
      </c>
    </row>
    <row r="8" spans="1:47" x14ac:dyDescent="0.25">
      <c r="A8">
        <v>20676</v>
      </c>
      <c r="B8" t="s">
        <v>45</v>
      </c>
      <c r="C8">
        <v>13</v>
      </c>
      <c r="D8" t="s">
        <v>109</v>
      </c>
      <c r="E8" t="s">
        <v>122</v>
      </c>
      <c r="F8">
        <v>26367</v>
      </c>
      <c r="G8">
        <v>38664</v>
      </c>
      <c r="H8">
        <v>1</v>
      </c>
      <c r="I8">
        <v>0.37224000000000002</v>
      </c>
      <c r="J8">
        <v>16</v>
      </c>
      <c r="K8">
        <v>4</v>
      </c>
      <c r="L8">
        <v>16992</v>
      </c>
      <c r="M8">
        <v>35.65</v>
      </c>
      <c r="N8">
        <v>0.62648999999999999</v>
      </c>
      <c r="O8">
        <v>40.5</v>
      </c>
      <c r="P8">
        <v>2514.9658199999999</v>
      </c>
      <c r="Q8">
        <v>1.1396200000000001</v>
      </c>
      <c r="R8">
        <v>0.88805000000000001</v>
      </c>
      <c r="S8">
        <v>5192.9526400000004</v>
      </c>
      <c r="T8">
        <v>29.89</v>
      </c>
      <c r="U8">
        <v>0.74722</v>
      </c>
      <c r="V8">
        <v>3322.2397500000002</v>
      </c>
      <c r="W8">
        <v>0.93606</v>
      </c>
      <c r="X8">
        <v>0.78207000000000004</v>
      </c>
      <c r="Y8">
        <v>6636.9711900000002</v>
      </c>
      <c r="Z8">
        <v>32.42</v>
      </c>
      <c r="AA8">
        <v>0.68891000000000002</v>
      </c>
      <c r="AB8">
        <v>1982.16687</v>
      </c>
      <c r="AC8">
        <v>1.2471300000000001</v>
      </c>
      <c r="AD8">
        <v>0.93322000000000005</v>
      </c>
      <c r="AE8">
        <v>3892.4350599999998</v>
      </c>
      <c r="AF8">
        <v>28.26</v>
      </c>
      <c r="AG8">
        <v>0.79032000000000002</v>
      </c>
      <c r="AH8">
        <v>10451.172850000001</v>
      </c>
      <c r="AI8">
        <v>3890.3447299999998</v>
      </c>
      <c r="AJ8">
        <v>2.1793399999999998</v>
      </c>
      <c r="AK8">
        <v>26.10905</v>
      </c>
      <c r="AL8">
        <v>38.145299999999999</v>
      </c>
      <c r="AM8">
        <v>31.320540000000001</v>
      </c>
      <c r="AN8">
        <v>27.479980000000001</v>
      </c>
      <c r="AO8">
        <v>123.05486999999999</v>
      </c>
      <c r="AP8">
        <v>6.6159999999999997E-2</v>
      </c>
      <c r="AQ8">
        <v>20423.648440000001</v>
      </c>
      <c r="AR8">
        <v>8.1739999999999993E-2</v>
      </c>
      <c r="AS8">
        <v>1965.441221</v>
      </c>
    </row>
    <row r="9" spans="1:47" x14ac:dyDescent="0.25">
      <c r="AQ9">
        <f>AVERAGE(AQ3:AQ8)</f>
        <v>21409.329755000002</v>
      </c>
    </row>
    <row r="13" spans="1:47" x14ac:dyDescent="0.25">
      <c r="A13" s="6" t="s">
        <v>124</v>
      </c>
      <c r="B13" s="7" t="s">
        <v>109</v>
      </c>
      <c r="C13" s="8"/>
      <c r="D13" s="8"/>
      <c r="E13" s="9" t="s">
        <v>123</v>
      </c>
      <c r="F13" s="9"/>
      <c r="G13" s="9"/>
      <c r="H13" s="9"/>
    </row>
    <row r="14" spans="1:47" x14ac:dyDescent="0.25">
      <c r="A14" s="5"/>
    </row>
    <row r="15" spans="1:47" x14ac:dyDescent="0.25">
      <c r="A15" s="2" t="s">
        <v>113</v>
      </c>
      <c r="B15" s="2" t="s">
        <v>114</v>
      </c>
      <c r="C15" s="2" t="s">
        <v>5</v>
      </c>
      <c r="D15" s="2" t="s">
        <v>115</v>
      </c>
      <c r="E15" s="2" t="s">
        <v>116</v>
      </c>
      <c r="F15" s="2" t="s">
        <v>6</v>
      </c>
      <c r="G15" s="2" t="s">
        <v>7</v>
      </c>
      <c r="H15" s="2" t="s">
        <v>8</v>
      </c>
      <c r="I15" s="2" t="s">
        <v>9</v>
      </c>
      <c r="J15" s="2" t="s">
        <v>10</v>
      </c>
      <c r="K15" s="2" t="s">
        <v>11</v>
      </c>
      <c r="L15" s="2" t="s">
        <v>12</v>
      </c>
      <c r="M15" s="2" t="s">
        <v>13</v>
      </c>
      <c r="N15" s="2" t="s">
        <v>14</v>
      </c>
      <c r="O15" s="2" t="s">
        <v>15</v>
      </c>
      <c r="P15" s="2" t="s">
        <v>16</v>
      </c>
      <c r="Q15" s="2" t="s">
        <v>17</v>
      </c>
      <c r="R15" s="2" t="s">
        <v>18</v>
      </c>
      <c r="S15" s="2" t="s">
        <v>19</v>
      </c>
      <c r="T15" s="2" t="s">
        <v>20</v>
      </c>
      <c r="U15" s="2" t="s">
        <v>21</v>
      </c>
      <c r="V15" s="2" t="s">
        <v>22</v>
      </c>
      <c r="W15" s="2" t="s">
        <v>23</v>
      </c>
      <c r="X15" s="2" t="s">
        <v>24</v>
      </c>
      <c r="Y15" s="2" t="s">
        <v>25</v>
      </c>
      <c r="Z15" s="2" t="s">
        <v>26</v>
      </c>
      <c r="AA15" s="2" t="s">
        <v>27</v>
      </c>
      <c r="AB15" s="2" t="s">
        <v>28</v>
      </c>
      <c r="AC15" s="2" t="s">
        <v>29</v>
      </c>
      <c r="AD15" s="2" t="s">
        <v>30</v>
      </c>
      <c r="AE15" s="2" t="s">
        <v>31</v>
      </c>
      <c r="AF15" s="2" t="s">
        <v>32</v>
      </c>
      <c r="AG15" s="2" t="s">
        <v>33</v>
      </c>
      <c r="AH15" s="2" t="s">
        <v>34</v>
      </c>
      <c r="AI15" s="2" t="s">
        <v>35</v>
      </c>
      <c r="AJ15" s="2" t="s">
        <v>36</v>
      </c>
      <c r="AK15" s="2" t="s">
        <v>37</v>
      </c>
      <c r="AL15" s="2" t="s">
        <v>38</v>
      </c>
      <c r="AM15" s="2" t="s">
        <v>39</v>
      </c>
      <c r="AN15" s="2" t="s">
        <v>40</v>
      </c>
      <c r="AO15" s="2" t="s">
        <v>41</v>
      </c>
      <c r="AP15" s="2" t="s">
        <v>42</v>
      </c>
      <c r="AQ15" s="19" t="s">
        <v>42</v>
      </c>
      <c r="AR15" s="2" t="s">
        <v>43</v>
      </c>
      <c r="AS15" s="2" t="s">
        <v>44</v>
      </c>
      <c r="AU15" t="s">
        <v>184</v>
      </c>
    </row>
    <row r="16" spans="1:47" x14ac:dyDescent="0.25">
      <c r="A16" s="2">
        <v>8968</v>
      </c>
      <c r="B16" s="2" t="s">
        <v>45</v>
      </c>
      <c r="C16" s="2" t="s">
        <v>109</v>
      </c>
      <c r="D16" s="2">
        <v>0</v>
      </c>
      <c r="E16" s="2">
        <v>0</v>
      </c>
      <c r="F16" s="2" t="s">
        <v>117</v>
      </c>
      <c r="G16" s="2">
        <v>26368</v>
      </c>
      <c r="H16" s="2">
        <v>28025</v>
      </c>
      <c r="I16" s="2">
        <v>2</v>
      </c>
      <c r="J16" s="2">
        <v>0.15256</v>
      </c>
      <c r="K16" s="2">
        <v>16</v>
      </c>
      <c r="L16" s="2">
        <v>4</v>
      </c>
      <c r="M16" s="2">
        <v>32664</v>
      </c>
      <c r="N16" s="2">
        <v>32.229999999999997</v>
      </c>
      <c r="O16" s="2">
        <v>0.28400999999999998</v>
      </c>
      <c r="P16" s="2">
        <v>45</v>
      </c>
      <c r="Q16" s="2">
        <v>8396.2890599999992</v>
      </c>
      <c r="R16" s="2">
        <v>1.83873</v>
      </c>
      <c r="S16" s="2">
        <v>1.5423</v>
      </c>
      <c r="T16" s="2">
        <v>16331.249019999999</v>
      </c>
      <c r="U16" s="2">
        <v>15.23</v>
      </c>
      <c r="V16" s="2">
        <v>0.60102</v>
      </c>
      <c r="W16" s="2">
        <v>9974.7939499999993</v>
      </c>
      <c r="X16" s="2">
        <v>0.94388000000000005</v>
      </c>
      <c r="Y16" s="2">
        <v>1.2215</v>
      </c>
      <c r="Z16" s="2">
        <v>17991.605469999999</v>
      </c>
      <c r="AA16" s="2">
        <v>18.43</v>
      </c>
      <c r="AB16" s="2">
        <v>0.49667</v>
      </c>
      <c r="AC16" s="2">
        <v>7100.7885699999997</v>
      </c>
      <c r="AD16" s="2">
        <v>2.6768100000000001</v>
      </c>
      <c r="AE16" s="2">
        <v>1.7391099999999999</v>
      </c>
      <c r="AF16" s="2">
        <v>10263.753909999999</v>
      </c>
      <c r="AG16" s="2">
        <v>13.33</v>
      </c>
      <c r="AH16" s="2">
        <v>0.68669000000000002</v>
      </c>
      <c r="AI16" s="2">
        <v>35386.417970000002</v>
      </c>
      <c r="AJ16" s="2">
        <v>5398.5517600000003</v>
      </c>
      <c r="AK16" s="2">
        <v>81.267529999999994</v>
      </c>
      <c r="AL16" s="2">
        <v>82.569429999999997</v>
      </c>
      <c r="AM16" s="2">
        <v>84.106219999999993</v>
      </c>
      <c r="AN16" s="2">
        <v>46.930289999999999</v>
      </c>
      <c r="AO16" s="2">
        <v>294.87347</v>
      </c>
      <c r="AP16" s="2">
        <v>66024.515629999994</v>
      </c>
      <c r="AQ16" s="19">
        <v>49396.542970000002</v>
      </c>
      <c r="AR16" s="2">
        <v>3.2372700000000001</v>
      </c>
      <c r="AS16" s="2">
        <v>1460.5370660000001</v>
      </c>
      <c r="AU16">
        <f>AP16*J16</f>
        <v>10072.7001045128</v>
      </c>
    </row>
    <row r="17" spans="1:47" x14ac:dyDescent="0.25">
      <c r="A17" s="2">
        <v>9080</v>
      </c>
      <c r="B17" s="2" t="s">
        <v>45</v>
      </c>
      <c r="C17" s="2" t="s">
        <v>109</v>
      </c>
      <c r="D17" s="2">
        <v>803</v>
      </c>
      <c r="E17" s="2">
        <v>0</v>
      </c>
      <c r="F17" s="2" t="s">
        <v>118</v>
      </c>
      <c r="G17" s="2">
        <v>26008</v>
      </c>
      <c r="H17" s="2">
        <v>26368</v>
      </c>
      <c r="I17" s="2">
        <v>1</v>
      </c>
      <c r="J17" s="2">
        <v>1.0734999999999999</v>
      </c>
      <c r="K17" s="2">
        <v>16</v>
      </c>
      <c r="L17" s="2">
        <v>4</v>
      </c>
      <c r="M17" s="2">
        <v>16992</v>
      </c>
      <c r="N17" s="2">
        <v>38.96</v>
      </c>
      <c r="O17" s="2">
        <v>1.65323</v>
      </c>
      <c r="P17" s="2">
        <v>40.5</v>
      </c>
      <c r="Q17" s="2">
        <v>2759.2231400000001</v>
      </c>
      <c r="R17" s="2">
        <v>3.9131</v>
      </c>
      <c r="S17" s="2">
        <v>0.97430000000000005</v>
      </c>
      <c r="T17" s="2">
        <v>4831.4399400000002</v>
      </c>
      <c r="U17" s="2">
        <v>34.06</v>
      </c>
      <c r="V17" s="2">
        <v>1.89107</v>
      </c>
      <c r="W17" s="2">
        <v>2714.0270999999998</v>
      </c>
      <c r="X17" s="2">
        <v>2.1679400000000002</v>
      </c>
      <c r="Y17" s="2">
        <v>0.63890000000000002</v>
      </c>
      <c r="Z17" s="2">
        <v>4417.2260699999997</v>
      </c>
      <c r="AA17" s="2">
        <v>38.450000000000003</v>
      </c>
      <c r="AB17" s="2">
        <v>1.67516</v>
      </c>
      <c r="AC17" s="2">
        <v>2078.1137699999999</v>
      </c>
      <c r="AD17" s="2">
        <v>3.9465300000000001</v>
      </c>
      <c r="AE17" s="2">
        <v>0.97840000000000005</v>
      </c>
      <c r="AF17" s="2">
        <v>3245.6914099999999</v>
      </c>
      <c r="AG17" s="2">
        <v>33.92</v>
      </c>
      <c r="AH17" s="2">
        <v>1.8988799999999999</v>
      </c>
      <c r="AI17" s="2">
        <v>10133.48926</v>
      </c>
      <c r="AJ17" s="2">
        <v>10878.30078</v>
      </c>
      <c r="AK17" s="2">
        <v>65.768140000000002</v>
      </c>
      <c r="AL17" s="2">
        <v>75.773939999999996</v>
      </c>
      <c r="AM17" s="2">
        <v>86.964939999999999</v>
      </c>
      <c r="AN17" s="2">
        <v>71.147620000000003</v>
      </c>
      <c r="AO17" s="2">
        <v>299.65463</v>
      </c>
      <c r="AP17" s="2">
        <v>17838.960940000001</v>
      </c>
      <c r="AU17">
        <f t="shared" ref="AU17:AU21" si="0">AP17*J17</f>
        <v>19150.12456909</v>
      </c>
    </row>
    <row r="18" spans="1:47" x14ac:dyDescent="0.25">
      <c r="A18" s="10">
        <v>10662</v>
      </c>
      <c r="B18" s="11" t="s">
        <v>45</v>
      </c>
      <c r="C18" s="2" t="s">
        <v>109</v>
      </c>
      <c r="D18" s="2">
        <v>803</v>
      </c>
      <c r="E18" s="2">
        <v>0</v>
      </c>
      <c r="F18" s="2" t="s">
        <v>119</v>
      </c>
      <c r="G18" s="2">
        <v>26363</v>
      </c>
      <c r="H18" s="2">
        <v>26364</v>
      </c>
      <c r="I18" s="2">
        <v>1</v>
      </c>
      <c r="J18" s="2">
        <v>0.14219999999999999</v>
      </c>
      <c r="K18" s="2">
        <v>16</v>
      </c>
      <c r="L18" s="2">
        <v>4</v>
      </c>
      <c r="M18" s="2">
        <v>16992</v>
      </c>
      <c r="N18" s="2">
        <v>24.63</v>
      </c>
      <c r="O18" s="2">
        <v>0.34641</v>
      </c>
      <c r="P18" s="2">
        <v>40.5</v>
      </c>
      <c r="Q18" s="2">
        <v>6620.3325199999999</v>
      </c>
      <c r="R18" s="2">
        <v>6.6283599999999998</v>
      </c>
      <c r="S18" s="2">
        <v>2.3376899999999998</v>
      </c>
      <c r="T18" s="2">
        <v>11817.24805</v>
      </c>
      <c r="U18" s="2">
        <v>9.23</v>
      </c>
      <c r="V18" s="2">
        <v>0.92437999999999998</v>
      </c>
      <c r="W18" s="2">
        <v>5391.62158</v>
      </c>
      <c r="X18" s="2">
        <v>0.97463999999999995</v>
      </c>
      <c r="Y18" s="2">
        <v>1.2692099999999999</v>
      </c>
      <c r="Z18" s="2">
        <v>11630.78125</v>
      </c>
      <c r="AA18" s="2">
        <v>18.09</v>
      </c>
      <c r="AB18" s="2">
        <v>0.47164</v>
      </c>
      <c r="AC18" s="2">
        <v>2323.96558</v>
      </c>
      <c r="AD18" s="2">
        <v>0.66837999999999997</v>
      </c>
      <c r="AE18" s="2">
        <v>1.09415</v>
      </c>
      <c r="AF18" s="2">
        <v>7296.5517600000003</v>
      </c>
      <c r="AG18" s="2">
        <v>19.57</v>
      </c>
      <c r="AH18" s="2">
        <v>0.43597000000000002</v>
      </c>
      <c r="AI18" s="2">
        <v>21589.841799999998</v>
      </c>
      <c r="AJ18" s="2">
        <v>3070.0756799999999</v>
      </c>
      <c r="AK18" s="2">
        <v>16.88645</v>
      </c>
      <c r="AL18" s="2">
        <v>42.381900000000002</v>
      </c>
      <c r="AM18" s="2">
        <v>101.99472</v>
      </c>
      <c r="AN18" s="2">
        <v>41.880139999999997</v>
      </c>
      <c r="AO18" s="2">
        <v>203.14322000000001</v>
      </c>
      <c r="AP18" s="2">
        <v>41848.476560000003</v>
      </c>
      <c r="AU18">
        <f t="shared" si="0"/>
        <v>5950.8533668319997</v>
      </c>
    </row>
    <row r="19" spans="1:47" x14ac:dyDescent="0.25">
      <c r="A19" s="2">
        <v>10664</v>
      </c>
      <c r="B19" s="2" t="s">
        <v>45</v>
      </c>
      <c r="C19" s="2" t="s">
        <v>109</v>
      </c>
      <c r="D19" s="2">
        <v>803</v>
      </c>
      <c r="E19" s="2">
        <v>0</v>
      </c>
      <c r="F19" s="2" t="s">
        <v>120</v>
      </c>
      <c r="G19" s="2">
        <v>26363</v>
      </c>
      <c r="H19" s="2">
        <v>26367</v>
      </c>
      <c r="I19" s="2">
        <v>1</v>
      </c>
      <c r="J19" s="2">
        <v>0.1366</v>
      </c>
      <c r="K19" s="2">
        <v>16</v>
      </c>
      <c r="L19" s="2">
        <v>4</v>
      </c>
      <c r="M19" s="2">
        <v>16992</v>
      </c>
      <c r="N19" s="2">
        <v>33.270000000000003</v>
      </c>
      <c r="O19" s="2">
        <v>0.24635000000000001</v>
      </c>
      <c r="P19" s="2">
        <v>40.5</v>
      </c>
      <c r="Q19" s="2">
        <v>1797.68506</v>
      </c>
      <c r="R19" s="2">
        <v>0.27439000000000002</v>
      </c>
      <c r="S19" s="2">
        <v>0.63478000000000001</v>
      </c>
      <c r="T19" s="2">
        <v>9654.5546900000008</v>
      </c>
      <c r="U19" s="2">
        <v>31.96</v>
      </c>
      <c r="V19" s="2">
        <v>0.25645000000000001</v>
      </c>
      <c r="W19" s="2">
        <v>2225.6396500000001</v>
      </c>
      <c r="X19" s="2">
        <v>0.24296999999999999</v>
      </c>
      <c r="Y19" s="2">
        <v>0.52393000000000001</v>
      </c>
      <c r="Z19" s="2">
        <v>9801.7773400000005</v>
      </c>
      <c r="AA19" s="2">
        <v>32.68</v>
      </c>
      <c r="AB19" s="2">
        <v>0.25080000000000002</v>
      </c>
      <c r="AC19" s="2">
        <v>1419.1739500000001</v>
      </c>
      <c r="AD19" s="2">
        <v>0.28702</v>
      </c>
      <c r="AE19" s="2">
        <v>0.66815999999999998</v>
      </c>
      <c r="AF19" s="2">
        <v>5047.9521500000001</v>
      </c>
      <c r="AG19" s="2">
        <v>31.28</v>
      </c>
      <c r="AH19" s="2">
        <v>0.26201999999999998</v>
      </c>
      <c r="AI19" s="2">
        <v>8518.0234400000008</v>
      </c>
      <c r="AJ19" s="2">
        <v>1163.5620100000001</v>
      </c>
      <c r="AK19" s="2">
        <v>6.19754</v>
      </c>
      <c r="AL19" s="2">
        <v>9.3030100000000004</v>
      </c>
      <c r="AM19" s="2">
        <v>7.6834699999999998</v>
      </c>
      <c r="AN19" s="2">
        <v>12.62749</v>
      </c>
      <c r="AO19" s="2">
        <v>35.811520000000002</v>
      </c>
      <c r="AP19" s="2">
        <v>35685.953130000002</v>
      </c>
      <c r="AU19">
        <f t="shared" si="0"/>
        <v>4874.7011975579999</v>
      </c>
    </row>
    <row r="20" spans="1:47" x14ac:dyDescent="0.25">
      <c r="A20" s="2">
        <v>21070</v>
      </c>
      <c r="B20" s="2" t="s">
        <v>45</v>
      </c>
      <c r="C20" s="2" t="s">
        <v>109</v>
      </c>
      <c r="D20" s="2">
        <v>803</v>
      </c>
      <c r="E20" s="2">
        <v>0</v>
      </c>
      <c r="F20" s="2" t="s">
        <v>121</v>
      </c>
      <c r="G20" s="2">
        <v>38664</v>
      </c>
      <c r="H20" s="2">
        <v>26008</v>
      </c>
      <c r="I20" s="2">
        <v>1</v>
      </c>
      <c r="J20" s="2">
        <v>0.70579999999999998</v>
      </c>
      <c r="K20" s="2">
        <v>16</v>
      </c>
      <c r="L20" s="2">
        <v>4</v>
      </c>
      <c r="M20" s="2">
        <v>16992</v>
      </c>
      <c r="N20" s="2">
        <v>36.729999999999997</v>
      </c>
      <c r="O20" s="2">
        <v>1.1529499999999999</v>
      </c>
      <c r="P20" s="2">
        <v>40.5</v>
      </c>
      <c r="Q20" s="2">
        <v>4492.6977500000003</v>
      </c>
      <c r="R20" s="2">
        <v>9.2763100000000005</v>
      </c>
      <c r="S20" s="2">
        <v>1.5864</v>
      </c>
      <c r="T20" s="2">
        <v>7195.5839800000003</v>
      </c>
      <c r="U20" s="2">
        <v>22.63</v>
      </c>
      <c r="V20" s="2">
        <v>1.8713200000000001</v>
      </c>
      <c r="W20" s="2">
        <v>4531.8408200000003</v>
      </c>
      <c r="X20" s="2">
        <v>3.1284100000000001</v>
      </c>
      <c r="Y20" s="2">
        <v>1.0668200000000001</v>
      </c>
      <c r="Z20" s="2">
        <v>7864.5117200000004</v>
      </c>
      <c r="AA20" s="2">
        <v>29.55</v>
      </c>
      <c r="AB20" s="2">
        <v>1.4331</v>
      </c>
      <c r="AC20" s="2">
        <v>2098.2258299999999</v>
      </c>
      <c r="AD20" s="2">
        <v>2.6464799999999999</v>
      </c>
      <c r="AE20" s="2">
        <v>0.98787000000000003</v>
      </c>
      <c r="AF20" s="2">
        <v>4497.4023399999996</v>
      </c>
      <c r="AG20" s="2">
        <v>30.9</v>
      </c>
      <c r="AH20" s="2">
        <v>1.37049</v>
      </c>
      <c r="AI20" s="2">
        <v>16920.244139999999</v>
      </c>
      <c r="AJ20" s="2">
        <v>11942.30762</v>
      </c>
      <c r="AK20" s="2">
        <v>47.926459999999999</v>
      </c>
      <c r="AL20" s="2">
        <v>108.24274</v>
      </c>
      <c r="AM20" s="2">
        <v>140.12134</v>
      </c>
      <c r="AN20" s="2">
        <v>111.40378</v>
      </c>
      <c r="AO20" s="2">
        <v>407.69434000000001</v>
      </c>
      <c r="AP20" s="2">
        <v>29151.652340000001</v>
      </c>
      <c r="AQ20" s="19" t="s">
        <v>42</v>
      </c>
      <c r="AR20" s="2" t="s">
        <v>43</v>
      </c>
      <c r="AS20" s="2" t="s">
        <v>44</v>
      </c>
      <c r="AU20">
        <f t="shared" si="0"/>
        <v>20575.236221571999</v>
      </c>
    </row>
    <row r="21" spans="1:47" x14ac:dyDescent="0.25">
      <c r="A21" s="2">
        <v>21071</v>
      </c>
      <c r="B21" s="2" t="s">
        <v>45</v>
      </c>
      <c r="C21" s="2" t="s">
        <v>109</v>
      </c>
      <c r="D21" s="2">
        <v>803</v>
      </c>
      <c r="E21" s="2">
        <v>0</v>
      </c>
      <c r="F21" s="2" t="s">
        <v>122</v>
      </c>
      <c r="G21" s="2">
        <v>26367</v>
      </c>
      <c r="H21" s="2">
        <v>38664</v>
      </c>
      <c r="I21" s="2">
        <v>1</v>
      </c>
      <c r="J21" s="2">
        <v>0.37219999999999998</v>
      </c>
      <c r="K21" s="2">
        <v>16</v>
      </c>
      <c r="L21" s="2">
        <v>4</v>
      </c>
      <c r="M21" s="2">
        <v>16992</v>
      </c>
      <c r="N21" s="2">
        <v>32.299999999999997</v>
      </c>
      <c r="O21" s="2">
        <v>0.69138999999999995</v>
      </c>
      <c r="P21" s="2">
        <v>40.5</v>
      </c>
      <c r="Q21" s="2">
        <v>4899.0947299999998</v>
      </c>
      <c r="R21" s="2">
        <v>6.4209699999999996</v>
      </c>
      <c r="S21" s="2">
        <v>1.7299100000000001</v>
      </c>
      <c r="T21" s="2">
        <v>8004.0708000000004</v>
      </c>
      <c r="U21" s="2">
        <v>16.579999999999998</v>
      </c>
      <c r="V21" s="2">
        <v>1.3469199999999999</v>
      </c>
      <c r="W21" s="2">
        <v>5272.0908200000003</v>
      </c>
      <c r="X21" s="2">
        <v>2.4017599999999999</v>
      </c>
      <c r="Y21" s="2">
        <v>1.24108</v>
      </c>
      <c r="Z21" s="2">
        <v>9531.8955100000003</v>
      </c>
      <c r="AA21" s="2">
        <v>21.96</v>
      </c>
      <c r="AB21" s="2">
        <v>1.01694</v>
      </c>
      <c r="AC21" s="2">
        <v>2776.4270000000001</v>
      </c>
      <c r="AD21" s="2">
        <v>2.766</v>
      </c>
      <c r="AE21" s="2">
        <v>1.3071699999999999</v>
      </c>
      <c r="AF21" s="2">
        <v>5531.78809</v>
      </c>
      <c r="AG21" s="2">
        <v>21.26</v>
      </c>
      <c r="AH21" s="2">
        <v>1.0504199999999999</v>
      </c>
      <c r="AI21" s="2">
        <v>19102.380860000001</v>
      </c>
      <c r="AJ21" s="2">
        <v>7109.90625</v>
      </c>
      <c r="AK21" s="2">
        <v>48.607059999999997</v>
      </c>
      <c r="AL21" s="2">
        <v>89.356660000000005</v>
      </c>
      <c r="AM21" s="2">
        <v>109.97847</v>
      </c>
      <c r="AN21" s="2">
        <v>70.922759999999997</v>
      </c>
      <c r="AO21" s="2">
        <v>318.86496</v>
      </c>
      <c r="AP21" s="2">
        <v>33891.480470000002</v>
      </c>
      <c r="AQ21" s="19">
        <v>79884.835940000004</v>
      </c>
      <c r="AR21" s="2">
        <v>6.0119100000000003</v>
      </c>
      <c r="AS21" s="2">
        <v>1460.5370660000001</v>
      </c>
      <c r="AU21">
        <f t="shared" si="0"/>
        <v>12614.409030934001</v>
      </c>
    </row>
    <row r="22" spans="1:47" x14ac:dyDescent="0.25">
      <c r="J22">
        <f>SUM(J16:J21)</f>
        <v>2.5828599999999997</v>
      </c>
      <c r="P22">
        <f>AVERAGE(P16:P21)</f>
        <v>41.25</v>
      </c>
      <c r="S22">
        <f>AVERAGE(S16:S21)</f>
        <v>1.4675633333333333</v>
      </c>
      <c r="U22">
        <f>AVERAGE(U16:U21)</f>
        <v>21.614999999999998</v>
      </c>
      <c r="AA22">
        <f>AVERAGE(AA16:AA21)</f>
        <v>26.526666666666671</v>
      </c>
      <c r="AG22">
        <f>AVERAGE(AG16:AG21)</f>
        <v>25.043333333333333</v>
      </c>
      <c r="AP22">
        <f>SUM(AU16:AU21)/J22</f>
        <v>28355.398469331987</v>
      </c>
    </row>
    <row r="23" spans="1:47" x14ac:dyDescent="0.25">
      <c r="A23" s="6">
        <v>2045</v>
      </c>
      <c r="B23" s="7" t="s">
        <v>109</v>
      </c>
      <c r="C23" s="8"/>
      <c r="D23" s="8"/>
      <c r="E23" s="9" t="s">
        <v>123</v>
      </c>
      <c r="F23" s="9"/>
      <c r="G23" s="9"/>
      <c r="H23" s="9"/>
    </row>
    <row r="25" spans="1:47" s="2" customFormat="1" x14ac:dyDescent="0.25">
      <c r="A25" s="2" t="s">
        <v>113</v>
      </c>
      <c r="B25" s="2" t="s">
        <v>114</v>
      </c>
      <c r="C25" s="2" t="s">
        <v>5</v>
      </c>
      <c r="D25" s="2" t="s">
        <v>115</v>
      </c>
      <c r="E25" s="2" t="s">
        <v>116</v>
      </c>
      <c r="F25" s="2" t="s">
        <v>6</v>
      </c>
      <c r="G25" s="2" t="s">
        <v>7</v>
      </c>
      <c r="H25" s="2" t="s">
        <v>8</v>
      </c>
      <c r="I25" s="2" t="s">
        <v>9</v>
      </c>
      <c r="J25" s="2" t="s">
        <v>10</v>
      </c>
      <c r="K25" s="2" t="s">
        <v>11</v>
      </c>
      <c r="L25" s="2" t="s">
        <v>12</v>
      </c>
      <c r="M25" s="2" t="s">
        <v>13</v>
      </c>
      <c r="N25" s="2" t="s">
        <v>14</v>
      </c>
      <c r="O25" s="2" t="s">
        <v>15</v>
      </c>
      <c r="P25" s="2" t="s">
        <v>16</v>
      </c>
      <c r="Q25" s="2" t="s">
        <v>17</v>
      </c>
      <c r="R25" s="2" t="s">
        <v>18</v>
      </c>
      <c r="S25" s="2" t="s">
        <v>19</v>
      </c>
      <c r="T25" s="2" t="s">
        <v>20</v>
      </c>
      <c r="U25" s="2" t="s">
        <v>21</v>
      </c>
      <c r="V25" s="2" t="s">
        <v>22</v>
      </c>
      <c r="W25" s="2" t="s">
        <v>23</v>
      </c>
      <c r="X25" s="2" t="s">
        <v>24</v>
      </c>
      <c r="Y25" s="2" t="s">
        <v>25</v>
      </c>
      <c r="Z25" s="2" t="s">
        <v>26</v>
      </c>
      <c r="AA25" s="2" t="s">
        <v>27</v>
      </c>
      <c r="AB25" s="2" t="s">
        <v>28</v>
      </c>
      <c r="AC25" s="2" t="s">
        <v>29</v>
      </c>
      <c r="AD25" s="2" t="s">
        <v>30</v>
      </c>
      <c r="AE25" s="2" t="s">
        <v>31</v>
      </c>
      <c r="AF25" s="2" t="s">
        <v>32</v>
      </c>
      <c r="AG25" s="2" t="s">
        <v>33</v>
      </c>
      <c r="AH25" s="2" t="s">
        <v>34</v>
      </c>
      <c r="AI25" s="2" t="s">
        <v>35</v>
      </c>
      <c r="AJ25" s="2" t="s">
        <v>36</v>
      </c>
      <c r="AK25" s="2" t="s">
        <v>37</v>
      </c>
      <c r="AL25" s="2" t="s">
        <v>38</v>
      </c>
      <c r="AM25" s="2" t="s">
        <v>39</v>
      </c>
      <c r="AN25" s="2" t="s">
        <v>40</v>
      </c>
      <c r="AO25" s="2" t="s">
        <v>41</v>
      </c>
      <c r="AP25" s="2" t="s">
        <v>42</v>
      </c>
      <c r="AQ25" s="2" t="s">
        <v>42</v>
      </c>
      <c r="AR25" s="2" t="s">
        <v>43</v>
      </c>
      <c r="AS25" s="2" t="s">
        <v>44</v>
      </c>
    </row>
    <row r="26" spans="1:47" s="2" customFormat="1" x14ac:dyDescent="0.25">
      <c r="A26" s="2">
        <v>8973</v>
      </c>
      <c r="B26" s="2" t="s">
        <v>45</v>
      </c>
      <c r="C26" s="2" t="s">
        <v>109</v>
      </c>
      <c r="D26" s="2">
        <v>0</v>
      </c>
      <c r="E26" s="2">
        <v>0</v>
      </c>
      <c r="F26" s="2" t="s">
        <v>117</v>
      </c>
      <c r="G26" s="2">
        <v>26368</v>
      </c>
      <c r="H26" s="2">
        <v>28025</v>
      </c>
      <c r="I26" s="2">
        <v>2</v>
      </c>
      <c r="J26" s="2">
        <v>0.15256</v>
      </c>
      <c r="K26" s="2">
        <v>16</v>
      </c>
      <c r="L26" s="2">
        <v>4</v>
      </c>
      <c r="M26" s="2">
        <v>32664</v>
      </c>
      <c r="N26" s="2">
        <v>32.6</v>
      </c>
      <c r="O26" s="2">
        <v>0.28078999999999998</v>
      </c>
      <c r="P26" s="2">
        <v>45</v>
      </c>
      <c r="Q26" s="2">
        <v>7746.1923800000004</v>
      </c>
      <c r="R26" s="2">
        <v>1.44451</v>
      </c>
      <c r="S26" s="2">
        <v>1.42289</v>
      </c>
      <c r="T26" s="2">
        <v>15763.40625</v>
      </c>
      <c r="U26" s="2">
        <v>16.43</v>
      </c>
      <c r="V26" s="2">
        <v>0.55713000000000001</v>
      </c>
      <c r="W26" s="2">
        <v>10205.860350000001</v>
      </c>
      <c r="X26" s="2">
        <v>1.0030600000000001</v>
      </c>
      <c r="Y26" s="2">
        <v>1.2498</v>
      </c>
      <c r="Z26" s="2">
        <v>18295.914059999999</v>
      </c>
      <c r="AA26" s="2">
        <v>18.16</v>
      </c>
      <c r="AB26" s="2">
        <v>0.50405</v>
      </c>
      <c r="AC26" s="2">
        <v>7265.1650399999999</v>
      </c>
      <c r="AD26" s="2">
        <v>2.8804599999999998</v>
      </c>
      <c r="AE26" s="2">
        <v>1.7793699999999999</v>
      </c>
      <c r="AF26" s="2">
        <v>10788.9043</v>
      </c>
      <c r="AG26" s="2">
        <v>12.96</v>
      </c>
      <c r="AH26" s="2">
        <v>0.70630000000000004</v>
      </c>
      <c r="AI26" s="2">
        <v>34635.5625</v>
      </c>
      <c r="AJ26" s="2">
        <v>5284.0009799999998</v>
      </c>
      <c r="AK26" s="2">
        <v>85.522649999999999</v>
      </c>
      <c r="AL26" s="2">
        <v>85.738219999999998</v>
      </c>
      <c r="AM26" s="2">
        <v>71.926900000000003</v>
      </c>
      <c r="AN26" s="2">
        <v>44.075530000000001</v>
      </c>
      <c r="AO26" s="2">
        <v>287.26330999999999</v>
      </c>
      <c r="AP26" s="2">
        <v>65775.453129999994</v>
      </c>
      <c r="AQ26" s="2">
        <v>3092.6728499999999</v>
      </c>
      <c r="AR26" s="2">
        <v>0.19428000000000001</v>
      </c>
      <c r="AS26" s="2">
        <v>2124.6192679999999</v>
      </c>
      <c r="AU26" s="2">
        <f>J26*AP26</f>
        <v>10034.7031295128</v>
      </c>
    </row>
    <row r="27" spans="1:47" s="2" customFormat="1" x14ac:dyDescent="0.25">
      <c r="A27" s="2">
        <v>9085</v>
      </c>
      <c r="B27" s="2" t="s">
        <v>45</v>
      </c>
      <c r="C27" s="2" t="s">
        <v>109</v>
      </c>
      <c r="D27" s="2">
        <v>803</v>
      </c>
      <c r="E27" s="2">
        <v>0</v>
      </c>
      <c r="F27" s="2" t="s">
        <v>118</v>
      </c>
      <c r="G27" s="2">
        <v>26008</v>
      </c>
      <c r="H27" s="2">
        <v>26368</v>
      </c>
      <c r="I27" s="2">
        <v>2</v>
      </c>
      <c r="J27" s="2">
        <v>1.0735300000000001</v>
      </c>
      <c r="K27" s="2">
        <v>16</v>
      </c>
      <c r="L27" s="2">
        <v>4</v>
      </c>
      <c r="M27" s="2">
        <v>32664</v>
      </c>
      <c r="N27" s="2">
        <v>43.24</v>
      </c>
      <c r="O27" s="2">
        <v>1.48963</v>
      </c>
      <c r="P27" s="2">
        <v>45</v>
      </c>
      <c r="Q27" s="2">
        <v>3874.2607400000002</v>
      </c>
      <c r="R27" s="2">
        <v>2.4048400000000001</v>
      </c>
      <c r="S27" s="2">
        <v>0.71165999999999996</v>
      </c>
      <c r="T27" s="2">
        <v>6859.8149400000002</v>
      </c>
      <c r="U27" s="2">
        <v>41.81</v>
      </c>
      <c r="V27" s="2">
        <v>1.5405800000000001</v>
      </c>
      <c r="W27" s="2">
        <v>3873.9699700000001</v>
      </c>
      <c r="X27" s="2">
        <v>1.8337699999999999</v>
      </c>
      <c r="Y27" s="2">
        <v>0.47439999999999999</v>
      </c>
      <c r="Z27" s="2">
        <v>7395.4160199999997</v>
      </c>
      <c r="AA27" s="2">
        <v>42.84</v>
      </c>
      <c r="AB27" s="2">
        <v>1.5035400000000001</v>
      </c>
      <c r="AC27" s="2">
        <v>2359.9458</v>
      </c>
      <c r="AD27" s="2">
        <v>2.0152700000000001</v>
      </c>
      <c r="AE27" s="2">
        <v>0.57799</v>
      </c>
      <c r="AF27" s="2">
        <v>4649.8305700000001</v>
      </c>
      <c r="AG27" s="2">
        <v>42.58</v>
      </c>
      <c r="AH27" s="2">
        <v>1.5127200000000001</v>
      </c>
      <c r="AI27" s="2">
        <v>13133.049800000001</v>
      </c>
      <c r="AJ27" s="2">
        <v>14098.721680000001</v>
      </c>
      <c r="AK27" s="2">
        <v>59.499119999999998</v>
      </c>
      <c r="AL27" s="2">
        <v>97.078029999999998</v>
      </c>
      <c r="AM27" s="2">
        <v>99.477040000000002</v>
      </c>
      <c r="AN27" s="2">
        <v>75.099260000000001</v>
      </c>
      <c r="AO27" s="2">
        <v>331.15343999999999</v>
      </c>
      <c r="AP27" s="2">
        <v>25144.984380000002</v>
      </c>
      <c r="AQ27" s="2">
        <v>3092.6728499999999</v>
      </c>
      <c r="AR27" s="2">
        <v>0.15856000000000001</v>
      </c>
      <c r="AS27" s="2">
        <v>1733.899048</v>
      </c>
      <c r="AU27" s="2">
        <f t="shared" ref="AU27:AU31" si="1">J27*AP27</f>
        <v>26993.895081461404</v>
      </c>
    </row>
    <row r="28" spans="1:47" s="2" customFormat="1" x14ac:dyDescent="0.25">
      <c r="A28" s="2">
        <v>10667</v>
      </c>
      <c r="B28" s="2" t="s">
        <v>45</v>
      </c>
      <c r="C28" s="2" t="s">
        <v>109</v>
      </c>
      <c r="D28" s="2">
        <v>803</v>
      </c>
      <c r="E28" s="2">
        <v>0</v>
      </c>
      <c r="F28" s="2" t="s">
        <v>119</v>
      </c>
      <c r="G28" s="2">
        <v>26363</v>
      </c>
      <c r="H28" s="2">
        <v>26364</v>
      </c>
      <c r="I28" s="2">
        <v>2</v>
      </c>
      <c r="J28" s="2">
        <v>0.14219000000000001</v>
      </c>
      <c r="K28" s="2">
        <v>16</v>
      </c>
      <c r="L28" s="2">
        <v>4</v>
      </c>
      <c r="M28" s="2">
        <v>32664</v>
      </c>
      <c r="N28" s="2">
        <v>33.700000000000003</v>
      </c>
      <c r="O28" s="2">
        <v>0.25316</v>
      </c>
      <c r="P28" s="2">
        <v>45</v>
      </c>
      <c r="Q28" s="2">
        <v>8778.8320299999996</v>
      </c>
      <c r="R28" s="2">
        <v>1.9660299999999999</v>
      </c>
      <c r="S28" s="2">
        <v>1.6125700000000001</v>
      </c>
      <c r="T28" s="2">
        <v>16380.492190000001</v>
      </c>
      <c r="U28" s="2">
        <v>14.54</v>
      </c>
      <c r="V28" s="2">
        <v>0.58674999999999999</v>
      </c>
      <c r="W28" s="2">
        <v>8832.0107399999997</v>
      </c>
      <c r="X28" s="2">
        <v>0.65049000000000001</v>
      </c>
      <c r="Y28" s="2">
        <v>1.0815600000000001</v>
      </c>
      <c r="Z28" s="2">
        <v>17608.177729999999</v>
      </c>
      <c r="AA28" s="2">
        <v>19.73</v>
      </c>
      <c r="AB28" s="2">
        <v>0.43241000000000002</v>
      </c>
      <c r="AC28" s="2">
        <v>4050.3027299999999</v>
      </c>
      <c r="AD28" s="2">
        <v>0.53778000000000004</v>
      </c>
      <c r="AE28" s="2">
        <v>0.99199000000000004</v>
      </c>
      <c r="AF28" s="2">
        <v>9940.0341800000006</v>
      </c>
      <c r="AG28" s="2">
        <v>20.49</v>
      </c>
      <c r="AH28" s="2">
        <v>0.41637000000000002</v>
      </c>
      <c r="AI28" s="2">
        <v>29919.015630000002</v>
      </c>
      <c r="AJ28" s="2">
        <v>4254.1845700000003</v>
      </c>
      <c r="AK28" s="2">
        <v>28.106999999999999</v>
      </c>
      <c r="AL28" s="2">
        <v>63.650460000000002</v>
      </c>
      <c r="AM28" s="2">
        <v>85.850210000000004</v>
      </c>
      <c r="AN28" s="2">
        <v>34.842329999999997</v>
      </c>
      <c r="AO28" s="2">
        <v>212.45000999999999</v>
      </c>
      <c r="AP28" s="2">
        <v>56717.347659999999</v>
      </c>
      <c r="AU28" s="2">
        <f t="shared" si="1"/>
        <v>8064.6396637754005</v>
      </c>
    </row>
    <row r="29" spans="1:47" s="2" customFormat="1" x14ac:dyDescent="0.25">
      <c r="A29" s="2">
        <v>10669</v>
      </c>
      <c r="B29" s="2" t="s">
        <v>45</v>
      </c>
      <c r="C29" s="2" t="s">
        <v>109</v>
      </c>
      <c r="D29" s="2">
        <v>803</v>
      </c>
      <c r="E29" s="2">
        <v>0</v>
      </c>
      <c r="F29" s="2" t="s">
        <v>120</v>
      </c>
      <c r="G29" s="2">
        <v>26363</v>
      </c>
      <c r="H29" s="2">
        <v>26367</v>
      </c>
      <c r="I29" s="2">
        <v>2</v>
      </c>
      <c r="J29" s="2">
        <v>0.13658999999999999</v>
      </c>
      <c r="K29" s="2">
        <v>16</v>
      </c>
      <c r="L29" s="2">
        <v>4</v>
      </c>
      <c r="M29" s="2">
        <v>32664</v>
      </c>
      <c r="N29" s="2">
        <v>35.15</v>
      </c>
      <c r="O29" s="2">
        <v>0.23316000000000001</v>
      </c>
      <c r="P29" s="2">
        <v>45</v>
      </c>
      <c r="Q29" s="2">
        <v>4095.9450700000002</v>
      </c>
      <c r="R29" s="2">
        <v>0.32657999999999998</v>
      </c>
      <c r="S29" s="2">
        <v>0.75238000000000005</v>
      </c>
      <c r="T29" s="2">
        <v>14571.97363</v>
      </c>
      <c r="U29" s="2">
        <v>30.35</v>
      </c>
      <c r="V29" s="2">
        <v>0.27002999999999999</v>
      </c>
      <c r="W29" s="2">
        <v>4391.7934599999999</v>
      </c>
      <c r="X29" s="2">
        <v>0.24610000000000001</v>
      </c>
      <c r="Y29" s="2">
        <v>0.53781000000000001</v>
      </c>
      <c r="Z29" s="2">
        <v>15184.14746</v>
      </c>
      <c r="AA29" s="2">
        <v>33.799999999999997</v>
      </c>
      <c r="AB29" s="2">
        <v>0.24246999999999999</v>
      </c>
      <c r="AC29" s="2">
        <v>2536.31763</v>
      </c>
      <c r="AD29" s="2">
        <v>0.26968999999999999</v>
      </c>
      <c r="AE29" s="2">
        <v>0.62119000000000002</v>
      </c>
      <c r="AF29" s="2">
        <v>8385.6357399999997</v>
      </c>
      <c r="AG29" s="2">
        <v>32.68</v>
      </c>
      <c r="AH29" s="2">
        <v>0.25078</v>
      </c>
      <c r="AI29" s="2">
        <v>14795.344730000001</v>
      </c>
      <c r="AJ29" s="2">
        <v>2020.89624</v>
      </c>
      <c r="AK29" s="2">
        <v>10.600849999999999</v>
      </c>
      <c r="AL29" s="2">
        <v>17.747779999999999</v>
      </c>
      <c r="AM29" s="2">
        <v>18.433779999999999</v>
      </c>
      <c r="AN29" s="2">
        <v>14.654920000000001</v>
      </c>
      <c r="AO29" s="2">
        <v>61.43732</v>
      </c>
      <c r="AP29" s="2">
        <v>51824.222659999999</v>
      </c>
      <c r="AU29" s="2">
        <f t="shared" si="1"/>
        <v>7078.6705731293996</v>
      </c>
    </row>
    <row r="30" spans="1:47" s="2" customFormat="1" x14ac:dyDescent="0.25">
      <c r="A30" s="2">
        <v>21077</v>
      </c>
      <c r="B30" s="2" t="s">
        <v>45</v>
      </c>
      <c r="C30" s="2" t="s">
        <v>109</v>
      </c>
      <c r="D30" s="2">
        <v>803</v>
      </c>
      <c r="E30" s="2">
        <v>0</v>
      </c>
      <c r="F30" s="2" t="s">
        <v>121</v>
      </c>
      <c r="G30" s="2">
        <v>38664</v>
      </c>
      <c r="H30" s="2">
        <v>26008</v>
      </c>
      <c r="I30" s="2">
        <v>2</v>
      </c>
      <c r="J30" s="2">
        <v>0.70577000000000001</v>
      </c>
      <c r="K30" s="2">
        <v>16</v>
      </c>
      <c r="L30" s="2">
        <v>4</v>
      </c>
      <c r="M30" s="2">
        <v>32664</v>
      </c>
      <c r="N30" s="2">
        <v>41.92</v>
      </c>
      <c r="O30" s="2">
        <v>1.01017</v>
      </c>
      <c r="P30" s="2">
        <v>45</v>
      </c>
      <c r="Q30" s="2">
        <v>6910.53125</v>
      </c>
      <c r="R30" s="2">
        <v>4.8391400000000004</v>
      </c>
      <c r="S30" s="2">
        <v>1.26938</v>
      </c>
      <c r="T30" s="2">
        <v>11325.125980000001</v>
      </c>
      <c r="U30" s="2">
        <v>28.28</v>
      </c>
      <c r="V30" s="2">
        <v>1.49739</v>
      </c>
      <c r="W30" s="2">
        <v>7171.9287100000001</v>
      </c>
      <c r="X30" s="2">
        <v>2.1198299999999999</v>
      </c>
      <c r="Y30" s="2">
        <v>0.87827</v>
      </c>
      <c r="Z30" s="2">
        <v>13199.268550000001</v>
      </c>
      <c r="AA30" s="2">
        <v>36.71</v>
      </c>
      <c r="AB30" s="2">
        <v>1.1535299999999999</v>
      </c>
      <c r="AC30" s="2">
        <v>3497.7158199999999</v>
      </c>
      <c r="AD30" s="2">
        <v>2.0334699999999999</v>
      </c>
      <c r="AE30" s="2">
        <v>0.85665000000000002</v>
      </c>
      <c r="AF30" s="2">
        <v>7812.1948199999997</v>
      </c>
      <c r="AG30" s="2">
        <v>37.4</v>
      </c>
      <c r="AH30" s="2">
        <v>1.13225</v>
      </c>
      <c r="AI30" s="2">
        <v>24166.042969999999</v>
      </c>
      <c r="AJ30" s="2">
        <v>17055.667969999999</v>
      </c>
      <c r="AK30" s="2">
        <v>66.004890000000003</v>
      </c>
      <c r="AL30" s="2">
        <v>137.88428999999999</v>
      </c>
      <c r="AM30" s="2">
        <v>172.46271999999999</v>
      </c>
      <c r="AN30" s="2">
        <v>110.88041</v>
      </c>
      <c r="AO30" s="2">
        <v>487.23230000000001</v>
      </c>
      <c r="AP30" s="2">
        <v>44135.140630000002</v>
      </c>
      <c r="AU30" s="2">
        <f t="shared" si="1"/>
        <v>31149.258202435103</v>
      </c>
    </row>
    <row r="31" spans="1:47" s="2" customFormat="1" x14ac:dyDescent="0.25">
      <c r="A31" s="10">
        <v>21078</v>
      </c>
      <c r="B31" s="11" t="s">
        <v>45</v>
      </c>
      <c r="C31" s="2" t="s">
        <v>109</v>
      </c>
      <c r="D31" s="2">
        <v>803</v>
      </c>
      <c r="E31" s="2">
        <v>0</v>
      </c>
      <c r="F31" s="2" t="s">
        <v>122</v>
      </c>
      <c r="G31" s="2">
        <v>26367</v>
      </c>
      <c r="H31" s="2">
        <v>38664</v>
      </c>
      <c r="I31" s="2">
        <v>2</v>
      </c>
      <c r="J31" s="2">
        <v>0.37224000000000002</v>
      </c>
      <c r="K31" s="2">
        <v>16</v>
      </c>
      <c r="L31" s="2">
        <v>4</v>
      </c>
      <c r="M31" s="2">
        <v>32664</v>
      </c>
      <c r="N31" s="2">
        <v>37.58</v>
      </c>
      <c r="O31" s="2">
        <v>0.59431999999999996</v>
      </c>
      <c r="P31" s="2">
        <v>45</v>
      </c>
      <c r="Q31" s="2">
        <v>7909.4985399999996</v>
      </c>
      <c r="R31" s="2">
        <v>3.7481499999999999</v>
      </c>
      <c r="S31" s="2">
        <v>1.4528799999999999</v>
      </c>
      <c r="T31" s="2">
        <v>13256.01953</v>
      </c>
      <c r="U31" s="2">
        <v>19.71</v>
      </c>
      <c r="V31" s="2">
        <v>1.1331500000000001</v>
      </c>
      <c r="W31" s="2">
        <v>8256.5078099999992</v>
      </c>
      <c r="X31" s="2">
        <v>1.4654799999999999</v>
      </c>
      <c r="Y31" s="2">
        <v>1.01108</v>
      </c>
      <c r="Z31" s="2">
        <v>15550.625</v>
      </c>
      <c r="AA31" s="2">
        <v>24.84</v>
      </c>
      <c r="AB31" s="2">
        <v>0.89912999999999998</v>
      </c>
      <c r="AC31" s="2">
        <v>4115.5185499999998</v>
      </c>
      <c r="AD31" s="2">
        <v>1.4558800000000001</v>
      </c>
      <c r="AE31" s="2">
        <v>1.00796</v>
      </c>
      <c r="AF31" s="2">
        <v>8932.8105500000001</v>
      </c>
      <c r="AG31" s="2">
        <v>24.87</v>
      </c>
      <c r="AH31" s="2">
        <v>0.89805000000000001</v>
      </c>
      <c r="AI31" s="2">
        <v>27347.447270000001</v>
      </c>
      <c r="AJ31" s="2">
        <v>10179.813480000001</v>
      </c>
      <c r="AK31" s="2">
        <v>61.598739999999999</v>
      </c>
      <c r="AL31" s="2">
        <v>123.72796</v>
      </c>
      <c r="AM31" s="2">
        <v>149.37755999999999</v>
      </c>
      <c r="AN31" s="2">
        <v>69.989859999999993</v>
      </c>
      <c r="AO31" s="2">
        <v>404.69412</v>
      </c>
      <c r="AP31" s="2">
        <v>51001.28125</v>
      </c>
      <c r="AU31" s="2">
        <f t="shared" si="1"/>
        <v>18984.7169325</v>
      </c>
    </row>
    <row r="32" spans="1:47" x14ac:dyDescent="0.25">
      <c r="A32" s="5"/>
      <c r="J32">
        <f>SUM(J26:J31)</f>
        <v>2.5828800000000003</v>
      </c>
      <c r="Q32">
        <f>AVERAGE(Q26:Q31)</f>
        <v>6552.5433349999994</v>
      </c>
      <c r="S32">
        <f>AVERAGE(S26:S31)</f>
        <v>1.2036266666666666</v>
      </c>
      <c r="U32" s="2">
        <f>SUM(U34:U39)/J32</f>
        <v>31.32155779594871</v>
      </c>
      <c r="AA32" s="2">
        <f>SUM(AA34:AA39)/J32</f>
        <v>35.362821269280801</v>
      </c>
      <c r="AG32" s="2">
        <f>SUM(AG34:AG39)/J32</f>
        <v>35.1230897680109</v>
      </c>
      <c r="AP32">
        <f>SUM(AP34:AP39)/J32</f>
        <v>39609.228296635571</v>
      </c>
      <c r="AU32" s="47">
        <f>SUM(AU26:AU31)/SUM(J26:J31)</f>
        <v>39609.228296635571</v>
      </c>
    </row>
    <row r="33" spans="1:42" x14ac:dyDescent="0.25">
      <c r="U33" t="s">
        <v>184</v>
      </c>
      <c r="AA33" t="s">
        <v>184</v>
      </c>
      <c r="AG33" t="s">
        <v>184</v>
      </c>
      <c r="AP33" t="s">
        <v>184</v>
      </c>
    </row>
    <row r="34" spans="1:42" x14ac:dyDescent="0.25">
      <c r="U34">
        <f>J26*U26</f>
        <v>2.5065607999999999</v>
      </c>
      <c r="AA34">
        <f>AA26*J26</f>
        <v>2.7704895999999999</v>
      </c>
      <c r="AG34">
        <f>AG26*J26</f>
        <v>1.9771776000000001</v>
      </c>
      <c r="AP34">
        <f>AP26*J26</f>
        <v>10034.7031295128</v>
      </c>
    </row>
    <row r="35" spans="1:42" x14ac:dyDescent="0.25">
      <c r="U35">
        <f t="shared" ref="U35:U39" si="2">J27*U27</f>
        <v>44.884289300000006</v>
      </c>
      <c r="AA35">
        <f t="shared" ref="AA35:AA39" si="3">AA27*J27</f>
        <v>45.990025200000005</v>
      </c>
      <c r="AG35">
        <f t="shared" ref="AG35:AG39" si="4">AG27*J27</f>
        <v>45.710907400000004</v>
      </c>
      <c r="AI35">
        <f>AI16/M16</f>
        <v>1.0833461293779085</v>
      </c>
      <c r="AP35">
        <f t="shared" ref="AP35:AP39" si="5">AP27*J27</f>
        <v>26993.895081461404</v>
      </c>
    </row>
    <row r="36" spans="1:42" x14ac:dyDescent="0.25">
      <c r="A36" s="45"/>
      <c r="B36" s="46"/>
      <c r="U36">
        <f t="shared" si="2"/>
        <v>2.0674426000000001</v>
      </c>
      <c r="AA36">
        <f t="shared" si="3"/>
        <v>2.8054087000000001</v>
      </c>
      <c r="AG36">
        <f t="shared" si="4"/>
        <v>2.9134731</v>
      </c>
      <c r="AI36">
        <f t="shared" ref="AI36:AI41" si="6">AI17/M17</f>
        <v>0.59636824741054617</v>
      </c>
      <c r="AP36">
        <f t="shared" si="5"/>
        <v>8064.6396637754005</v>
      </c>
    </row>
    <row r="37" spans="1:42" x14ac:dyDescent="0.25">
      <c r="U37">
        <f t="shared" si="2"/>
        <v>4.1455064999999998</v>
      </c>
      <c r="AA37">
        <f t="shared" si="3"/>
        <v>4.6167419999999995</v>
      </c>
      <c r="AG37">
        <f t="shared" si="4"/>
        <v>4.4637611999999995</v>
      </c>
      <c r="AI37">
        <f t="shared" si="6"/>
        <v>1.270588618173258</v>
      </c>
      <c r="AP37">
        <f t="shared" si="5"/>
        <v>7078.6705731293996</v>
      </c>
    </row>
    <row r="38" spans="1:42" x14ac:dyDescent="0.25">
      <c r="U38">
        <f t="shared" si="2"/>
        <v>19.959175600000002</v>
      </c>
      <c r="AA38">
        <f t="shared" si="3"/>
        <v>25.908816699999999</v>
      </c>
      <c r="AG38">
        <f t="shared" si="4"/>
        <v>26.395797999999999</v>
      </c>
      <c r="AI38">
        <f t="shared" si="6"/>
        <v>0.50129610640301325</v>
      </c>
      <c r="AP38">
        <f t="shared" si="5"/>
        <v>31149.258202435103</v>
      </c>
    </row>
    <row r="39" spans="1:42" x14ac:dyDescent="0.25">
      <c r="U39">
        <f t="shared" si="2"/>
        <v>7.3368504000000003</v>
      </c>
      <c r="AA39">
        <f t="shared" si="3"/>
        <v>9.2464416000000007</v>
      </c>
      <c r="AG39">
        <f t="shared" si="4"/>
        <v>9.2576088000000016</v>
      </c>
      <c r="AI39">
        <f t="shared" si="6"/>
        <v>0.99577707980225982</v>
      </c>
      <c r="AP39">
        <f t="shared" si="5"/>
        <v>18984.7169325</v>
      </c>
    </row>
    <row r="40" spans="1:42" x14ac:dyDescent="0.25">
      <c r="AA40" s="2"/>
      <c r="AI40">
        <f t="shared" si="6"/>
        <v>1.1241984969397365</v>
      </c>
    </row>
    <row r="41" spans="1:42" x14ac:dyDescent="0.25">
      <c r="AI41" t="e">
        <f t="shared" si="6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>
      <selection activeCell="L29" sqref="L29"/>
    </sheetView>
  </sheetViews>
  <sheetFormatPr defaultRowHeight="15" x14ac:dyDescent="0.25"/>
  <cols>
    <col min="1" max="1" width="27.5703125" customWidth="1"/>
    <col min="2" max="2" width="14.5703125" bestFit="1" customWidth="1"/>
    <col min="4" max="4" width="9.5703125" bestFit="1" customWidth="1"/>
    <col min="5" max="5" width="12.5703125" bestFit="1" customWidth="1"/>
    <col min="6" max="6" width="10" bestFit="1" customWidth="1"/>
    <col min="7" max="7" width="9.85546875" bestFit="1" customWidth="1"/>
    <col min="9" max="9" width="1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ht="30" x14ac:dyDescent="0.25">
      <c r="A1" s="37" t="s">
        <v>100</v>
      </c>
      <c r="B1" s="2" t="s">
        <v>101</v>
      </c>
      <c r="K1" s="1" t="s">
        <v>0</v>
      </c>
      <c r="L1" s="49" t="s">
        <v>1</v>
      </c>
      <c r="N1" s="5"/>
      <c r="O1" s="5"/>
      <c r="P1" s="5"/>
      <c r="Q1" s="5"/>
      <c r="R1" s="45"/>
      <c r="S1" s="5"/>
      <c r="T1" s="5"/>
      <c r="U1" s="5"/>
      <c r="V1" s="5"/>
      <c r="W1" s="5"/>
      <c r="X1" s="5"/>
    </row>
    <row r="2" spans="1:24" x14ac:dyDescent="0.25">
      <c r="A2" s="11" t="s">
        <v>53</v>
      </c>
      <c r="B2" s="2" t="s">
        <v>102</v>
      </c>
      <c r="C2" s="2"/>
      <c r="D2" s="2">
        <v>2</v>
      </c>
      <c r="E2" s="2">
        <v>3</v>
      </c>
      <c r="F2" s="2">
        <v>4</v>
      </c>
      <c r="G2" s="2" t="s">
        <v>54</v>
      </c>
      <c r="K2" s="2" t="s">
        <v>2</v>
      </c>
      <c r="L2" s="50">
        <f>TDM!AQ9</f>
        <v>21409.329755000002</v>
      </c>
      <c r="N2" s="5"/>
      <c r="O2" s="5"/>
      <c r="P2" s="5"/>
      <c r="Q2" s="5"/>
      <c r="R2" s="45"/>
      <c r="U2" s="5"/>
      <c r="V2" s="5"/>
    </row>
    <row r="3" spans="1:24" x14ac:dyDescent="0.25">
      <c r="A3" s="2">
        <v>2022</v>
      </c>
      <c r="B3" s="2">
        <v>16404</v>
      </c>
      <c r="C3" s="2"/>
      <c r="D3" s="2">
        <v>6788</v>
      </c>
      <c r="E3" s="2">
        <v>7595</v>
      </c>
      <c r="F3" s="2">
        <v>7560</v>
      </c>
      <c r="G3" s="3">
        <f>AVERAGE(B3,D3,E3,F3)</f>
        <v>9586.75</v>
      </c>
      <c r="K3" s="2" t="s">
        <v>3</v>
      </c>
      <c r="L3" s="50">
        <f>TDM!AP32</f>
        <v>39609.228296635571</v>
      </c>
      <c r="O3" s="46"/>
      <c r="Q3" s="46"/>
      <c r="R3" s="46"/>
      <c r="T3" s="46"/>
    </row>
    <row r="4" spans="1:24" x14ac:dyDescent="0.25">
      <c r="A4" s="2">
        <v>2021</v>
      </c>
      <c r="B4" s="2">
        <v>17029</v>
      </c>
      <c r="C4" s="2"/>
      <c r="D4" s="2">
        <v>7436</v>
      </c>
      <c r="E4" s="2">
        <v>8320</v>
      </c>
      <c r="F4" s="2">
        <v>8281</v>
      </c>
      <c r="G4" s="3">
        <f t="shared" ref="G4:G7" si="0">AVERAGE(B4,D4,E4,F4)</f>
        <v>10266.5</v>
      </c>
      <c r="K4" s="2" t="s">
        <v>4</v>
      </c>
      <c r="L4" s="51">
        <f>(L3-L2)/L2</f>
        <v>0.85009193421317197</v>
      </c>
      <c r="O4" s="52"/>
      <c r="Q4" s="52"/>
      <c r="R4" s="52"/>
      <c r="T4" s="52"/>
    </row>
    <row r="5" spans="1:24" x14ac:dyDescent="0.25">
      <c r="A5" s="2">
        <v>2020</v>
      </c>
      <c r="B5" s="2">
        <v>13605</v>
      </c>
      <c r="C5" s="38">
        <f>(B4-B5)/B5</f>
        <v>0.25167217934582875</v>
      </c>
      <c r="D5" s="3">
        <f>D4/(1+$C$5)</f>
        <v>5940.8526631041168</v>
      </c>
      <c r="E5" s="3">
        <f t="shared" ref="E5:F7" si="1">E4/(1+$C5)</f>
        <v>6647.107874801809</v>
      </c>
      <c r="F5" s="3">
        <f t="shared" si="1"/>
        <v>6615.9495566386749</v>
      </c>
      <c r="G5" s="3">
        <f t="shared" si="0"/>
        <v>8202.2275236361493</v>
      </c>
      <c r="I5" s="17"/>
      <c r="O5" s="53"/>
      <c r="Q5" s="53"/>
      <c r="R5" s="53"/>
      <c r="T5" s="53"/>
      <c r="V5" s="53"/>
      <c r="X5" s="53"/>
    </row>
    <row r="6" spans="1:24" x14ac:dyDescent="0.25">
      <c r="A6" s="2">
        <v>2019</v>
      </c>
      <c r="B6" s="2">
        <v>18000</v>
      </c>
      <c r="C6" s="38">
        <f t="shared" ref="C6:C7" si="2">(B5-B6)/B6</f>
        <v>-0.24416666666666667</v>
      </c>
      <c r="D6" s="3">
        <f t="shared" ref="D6:D7" si="3">D5/(1+C6)</f>
        <v>7860.0035234012566</v>
      </c>
      <c r="E6" s="3">
        <f t="shared" si="1"/>
        <v>8794.4095366727342</v>
      </c>
      <c r="F6" s="3">
        <f t="shared" si="1"/>
        <v>8753.1857419695807</v>
      </c>
      <c r="G6" s="3">
        <f t="shared" si="0"/>
        <v>10851.899700510892</v>
      </c>
      <c r="I6" s="17"/>
      <c r="O6" s="46"/>
      <c r="Q6" s="46"/>
      <c r="R6" s="46"/>
      <c r="T6" s="46"/>
    </row>
    <row r="7" spans="1:24" x14ac:dyDescent="0.25">
      <c r="A7" s="2">
        <v>2018</v>
      </c>
      <c r="B7" s="2">
        <v>16717</v>
      </c>
      <c r="C7" s="38">
        <f t="shared" si="2"/>
        <v>7.6748220374469101E-2</v>
      </c>
      <c r="D7" s="3">
        <f t="shared" si="3"/>
        <v>7299.7599389277111</v>
      </c>
      <c r="E7" s="3">
        <f t="shared" si="1"/>
        <v>8167.5635680310052</v>
      </c>
      <c r="F7" s="3">
        <f t="shared" si="1"/>
        <v>8129.2781138058599</v>
      </c>
      <c r="G7" s="39">
        <f t="shared" si="0"/>
        <v>10078.400405191143</v>
      </c>
      <c r="O7" s="53"/>
      <c r="Q7" s="53"/>
      <c r="R7" s="53"/>
      <c r="T7" s="53"/>
      <c r="V7" s="53"/>
      <c r="X7" s="53"/>
    </row>
    <row r="8" spans="1:24" x14ac:dyDescent="0.25">
      <c r="G8" s="40">
        <f>SUM(G3:G7)</f>
        <v>48985.77762933819</v>
      </c>
      <c r="H8" s="2" t="s">
        <v>103</v>
      </c>
      <c r="O8" s="54"/>
      <c r="Q8" s="54"/>
      <c r="R8" s="54"/>
      <c r="T8" s="54"/>
      <c r="V8" s="54"/>
      <c r="X8" s="54"/>
    </row>
    <row r="9" spans="1:24" x14ac:dyDescent="0.25">
      <c r="O9" s="12"/>
      <c r="Q9" s="12"/>
      <c r="R9" s="12"/>
      <c r="T9" s="12"/>
      <c r="V9" s="12"/>
      <c r="X9" s="12"/>
    </row>
    <row r="11" spans="1:24" x14ac:dyDescent="0.25">
      <c r="A11" s="93" t="s">
        <v>131</v>
      </c>
      <c r="B11" s="93"/>
      <c r="M11" s="12"/>
      <c r="N11" s="12"/>
    </row>
    <row r="12" spans="1:24" x14ac:dyDescent="0.25">
      <c r="A12" s="10" t="s">
        <v>104</v>
      </c>
      <c r="B12" s="10" t="s">
        <v>105</v>
      </c>
      <c r="C12" s="18"/>
      <c r="D12" s="18"/>
      <c r="G12" s="14"/>
      <c r="I12" s="15"/>
      <c r="L12" s="18"/>
      <c r="M12" s="12"/>
      <c r="N12" s="12"/>
    </row>
    <row r="13" spans="1:24" x14ac:dyDescent="0.25">
      <c r="A13" s="11">
        <v>1.24</v>
      </c>
      <c r="B13" s="90">
        <f>AVERAGE(A13:A15)</f>
        <v>1.1666666666666667</v>
      </c>
      <c r="C13" s="18"/>
      <c r="D13" s="18"/>
      <c r="H13" s="5"/>
      <c r="L13" s="18"/>
    </row>
    <row r="14" spans="1:24" x14ac:dyDescent="0.25">
      <c r="A14" s="11">
        <v>1.1499999999999999</v>
      </c>
      <c r="B14" s="91"/>
    </row>
    <row r="15" spans="1:24" x14ac:dyDescent="0.25">
      <c r="A15" s="11">
        <v>1.1100000000000001</v>
      </c>
      <c r="B15" s="92"/>
    </row>
    <row r="16" spans="1:24" x14ac:dyDescent="0.25">
      <c r="A16" s="18"/>
      <c r="B16" s="16"/>
      <c r="J16" s="5"/>
      <c r="K16" s="5"/>
      <c r="L16" s="5"/>
    </row>
    <row r="17" spans="1:12" x14ac:dyDescent="0.25">
      <c r="A17" s="88" t="s">
        <v>127</v>
      </c>
      <c r="B17" s="88"/>
      <c r="C17" s="88"/>
      <c r="D17" s="88"/>
      <c r="E17" s="88"/>
      <c r="F17" s="88"/>
      <c r="G17" s="48"/>
      <c r="H17" s="5"/>
      <c r="I17" s="88" t="s">
        <v>110</v>
      </c>
      <c r="J17" s="88"/>
      <c r="K17" s="88"/>
      <c r="L17" s="88"/>
    </row>
    <row r="18" spans="1:12" ht="45" x14ac:dyDescent="0.25">
      <c r="A18" s="57" t="s">
        <v>106</v>
      </c>
      <c r="B18" s="57" t="s">
        <v>107</v>
      </c>
      <c r="C18" s="41" t="s">
        <v>125</v>
      </c>
      <c r="D18" s="41" t="s">
        <v>126</v>
      </c>
      <c r="E18" s="41" t="s">
        <v>108</v>
      </c>
      <c r="F18" s="41" t="s">
        <v>129</v>
      </c>
      <c r="G18" s="41" t="s">
        <v>130</v>
      </c>
      <c r="H18" s="44"/>
      <c r="I18" s="94" t="s">
        <v>111</v>
      </c>
      <c r="J18" s="94"/>
      <c r="K18" s="109" t="s">
        <v>112</v>
      </c>
      <c r="L18" s="109"/>
    </row>
    <row r="19" spans="1:12" ht="31.5" x14ac:dyDescent="0.35">
      <c r="A19" s="58" t="s">
        <v>128</v>
      </c>
      <c r="B19" s="31" t="s">
        <v>109</v>
      </c>
      <c r="C19" s="3">
        <f>TDM!AP22</f>
        <v>28355.398469331987</v>
      </c>
      <c r="D19" s="3">
        <f>TDM!AP32</f>
        <v>39609.228296635571</v>
      </c>
      <c r="E19" s="56" t="s">
        <v>185</v>
      </c>
      <c r="F19" s="56">
        <f>(D19*0.09/4)/1900</f>
        <v>0.46905665088121068</v>
      </c>
      <c r="G19" s="56">
        <f>TDM!S32</f>
        <v>1.2036266666666666</v>
      </c>
      <c r="I19" s="2" t="s">
        <v>50</v>
      </c>
      <c r="J19" s="11">
        <f>MIN(TDM!U22,TDM!AA22,TDM!AG22)</f>
        <v>21.614999999999998</v>
      </c>
      <c r="K19" s="2" t="s">
        <v>50</v>
      </c>
      <c r="L19" s="106">
        <f>MIN(TDM!U32,TDM!AA32,TDM!AG32)</f>
        <v>31.32155779594871</v>
      </c>
    </row>
    <row r="20" spans="1:12" x14ac:dyDescent="0.25">
      <c r="A20" s="89" t="s">
        <v>183</v>
      </c>
      <c r="B20" s="89"/>
      <c r="C20" s="89"/>
      <c r="D20" s="89"/>
      <c r="E20" s="89"/>
      <c r="F20" s="89"/>
      <c r="G20" s="89"/>
      <c r="H20" s="43"/>
      <c r="I20" s="2" t="s">
        <v>49</v>
      </c>
      <c r="J20" s="106">
        <f>TDM!J16+TDM!J17+TDM!J18+TDM!J19+TDM!J20+TDM!J21</f>
        <v>2.5828599999999997</v>
      </c>
      <c r="K20" s="2" t="s">
        <v>49</v>
      </c>
      <c r="L20" s="106">
        <f>TDM!J26+TDM!J27+TDM!J28+TDM!J29+TDM!J30+TDM!J31</f>
        <v>2.5828800000000003</v>
      </c>
    </row>
    <row r="21" spans="1:12" ht="18" x14ac:dyDescent="0.35">
      <c r="A21" s="42"/>
      <c r="E21" s="17"/>
      <c r="F21" s="12"/>
      <c r="I21" s="2" t="s">
        <v>46</v>
      </c>
      <c r="J21" s="107">
        <f>J20/J19</f>
        <v>0.11949386999768678</v>
      </c>
      <c r="K21" s="2" t="s">
        <v>46</v>
      </c>
      <c r="L21" s="107">
        <f>L20/L19</f>
        <v>8.2463331384305644E-2</v>
      </c>
    </row>
    <row r="22" spans="1:12" ht="18" x14ac:dyDescent="0.35">
      <c r="A22" s="42"/>
      <c r="E22" s="12"/>
      <c r="I22" s="2" t="s">
        <v>51</v>
      </c>
      <c r="J22" s="11">
        <f>TDM!P22</f>
        <v>41.25</v>
      </c>
      <c r="K22" s="2" t="s">
        <v>51</v>
      </c>
      <c r="L22" s="11">
        <f>TDM!P26</f>
        <v>45</v>
      </c>
    </row>
    <row r="23" spans="1:12" ht="18" x14ac:dyDescent="0.35">
      <c r="I23" s="2" t="s">
        <v>47</v>
      </c>
      <c r="J23" s="107">
        <f>J20/J22</f>
        <v>6.2614787878787867E-2</v>
      </c>
      <c r="K23" s="2" t="s">
        <v>47</v>
      </c>
      <c r="L23" s="107">
        <f>L20/L22</f>
        <v>5.7397333333333342E-2</v>
      </c>
    </row>
    <row r="24" spans="1:12" x14ac:dyDescent="0.25">
      <c r="D24" s="44"/>
      <c r="E24" s="44"/>
      <c r="I24" s="2" t="s">
        <v>48</v>
      </c>
      <c r="J24" s="108">
        <f>J21/J23</f>
        <v>1.9083969465648858</v>
      </c>
      <c r="K24" s="2" t="s">
        <v>48</v>
      </c>
      <c r="L24" s="110">
        <f>L21/L23</f>
        <v>1.4367101500239088</v>
      </c>
    </row>
    <row r="25" spans="1:12" x14ac:dyDescent="0.25">
      <c r="A25" s="5"/>
      <c r="B25" s="5"/>
      <c r="C25" s="5"/>
      <c r="D25" s="5"/>
      <c r="E25" s="5"/>
      <c r="F25" s="5"/>
      <c r="J25" s="45"/>
      <c r="K25" s="45"/>
    </row>
    <row r="26" spans="1:12" x14ac:dyDescent="0.25">
      <c r="A26" s="5"/>
      <c r="B26" s="5"/>
      <c r="C26" s="5"/>
      <c r="D26" s="5"/>
      <c r="E26" s="5"/>
      <c r="F26" s="5"/>
    </row>
    <row r="27" spans="1:12" x14ac:dyDescent="0.25">
      <c r="A27" s="5"/>
      <c r="B27" s="5"/>
      <c r="C27" s="5"/>
      <c r="D27" s="5"/>
      <c r="E27" s="5"/>
      <c r="F27" s="5"/>
      <c r="J27" s="55"/>
    </row>
    <row r="28" spans="1:12" x14ac:dyDescent="0.25">
      <c r="A28" s="5"/>
      <c r="B28" s="5"/>
      <c r="C28" s="5"/>
      <c r="D28" s="5"/>
      <c r="E28" s="5"/>
      <c r="F28" s="5"/>
    </row>
    <row r="29" spans="1:12" x14ac:dyDescent="0.25">
      <c r="A29" s="5"/>
      <c r="B29" s="5"/>
      <c r="C29" s="5"/>
      <c r="D29" s="5"/>
      <c r="E29" s="5"/>
      <c r="F29" s="5"/>
    </row>
    <row r="30" spans="1:12" x14ac:dyDescent="0.25">
      <c r="A30" s="5"/>
      <c r="B30" s="5"/>
      <c r="C30" s="5"/>
      <c r="D30" s="5"/>
      <c r="E30" s="5"/>
      <c r="F30" s="5"/>
    </row>
    <row r="40" spans="1:5" x14ac:dyDescent="0.25">
      <c r="C40" s="18"/>
      <c r="E40" s="12"/>
    </row>
    <row r="41" spans="1:5" x14ac:dyDescent="0.25">
      <c r="C41" s="18"/>
      <c r="E41" s="12"/>
    </row>
    <row r="42" spans="1:5" x14ac:dyDescent="0.25">
      <c r="A42" s="97"/>
      <c r="B42" s="97"/>
      <c r="C42" s="97"/>
      <c r="D42" s="97"/>
      <c r="E42" s="97"/>
    </row>
    <row r="43" spans="1:5" x14ac:dyDescent="0.25">
      <c r="A43" s="98"/>
      <c r="B43" s="98"/>
      <c r="C43" s="99"/>
      <c r="D43" s="100"/>
      <c r="E43" s="101"/>
    </row>
    <row r="44" spans="1:5" x14ac:dyDescent="0.25">
      <c r="A44" s="102"/>
      <c r="B44" s="103"/>
      <c r="C44" s="98"/>
      <c r="D44" s="102"/>
      <c r="E44" s="98"/>
    </row>
    <row r="45" spans="1:5" x14ac:dyDescent="0.25">
      <c r="A45" s="102"/>
      <c r="B45" s="103"/>
      <c r="C45" s="104"/>
      <c r="D45" s="102"/>
      <c r="E45" s="98"/>
    </row>
    <row r="46" spans="1:5" x14ac:dyDescent="0.25">
      <c r="A46" s="102"/>
      <c r="B46" s="102"/>
      <c r="C46" s="105"/>
      <c r="D46" s="105"/>
      <c r="E46" s="105"/>
    </row>
    <row r="47" spans="1:5" x14ac:dyDescent="0.25">
      <c r="A47" s="102"/>
      <c r="B47" s="102"/>
      <c r="C47" s="105"/>
      <c r="D47" s="105"/>
      <c r="E47" s="105"/>
    </row>
    <row r="48" spans="1:5" x14ac:dyDescent="0.25">
      <c r="C48" s="18"/>
      <c r="E48" s="12"/>
    </row>
    <row r="49" spans="3:5" x14ac:dyDescent="0.25">
      <c r="C49" s="18"/>
      <c r="E49" s="12"/>
    </row>
    <row r="50" spans="3:5" x14ac:dyDescent="0.25">
      <c r="C50" s="18"/>
      <c r="E50" s="12"/>
    </row>
    <row r="51" spans="3:5" x14ac:dyDescent="0.25">
      <c r="C51" s="18"/>
      <c r="E51" s="12"/>
    </row>
  </sheetData>
  <mergeCells count="7">
    <mergeCell ref="A20:G20"/>
    <mergeCell ref="B13:B15"/>
    <mergeCell ref="A11:B11"/>
    <mergeCell ref="I17:L17"/>
    <mergeCell ref="I18:J18"/>
    <mergeCell ref="K18:L18"/>
    <mergeCell ref="A17:F1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D2D6-05F1-4D41-81F9-C8217EDB031B}">
  <dimension ref="A1:R37"/>
  <sheetViews>
    <sheetView workbookViewId="0">
      <selection activeCell="E26" sqref="E26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 x14ac:dyDescent="0.25">
      <c r="A1" s="35"/>
      <c r="B1" s="35"/>
      <c r="C1" s="59"/>
      <c r="D1" s="35"/>
      <c r="E1" s="35"/>
      <c r="F1" s="35"/>
      <c r="G1" s="35"/>
      <c r="H1" s="35"/>
      <c r="I1" s="35"/>
      <c r="J1" s="35"/>
    </row>
    <row r="2" spans="1:18" ht="18.75" x14ac:dyDescent="0.25">
      <c r="A2" s="35"/>
      <c r="B2" s="60" t="s">
        <v>132</v>
      </c>
      <c r="C2" s="61"/>
      <c r="D2" s="62"/>
      <c r="E2" s="35"/>
      <c r="F2" s="35"/>
      <c r="G2" s="35"/>
      <c r="H2" s="35"/>
      <c r="I2" s="35"/>
      <c r="J2" s="35"/>
      <c r="K2" s="94" t="s">
        <v>163</v>
      </c>
      <c r="L2" s="94"/>
      <c r="M2" s="94"/>
      <c r="N2" s="94"/>
      <c r="O2" s="94"/>
      <c r="P2" s="94"/>
      <c r="Q2" s="94"/>
      <c r="R2" s="94"/>
    </row>
    <row r="3" spans="1:18" x14ac:dyDescent="0.25">
      <c r="A3" s="35"/>
      <c r="B3" s="35"/>
      <c r="C3" s="59"/>
      <c r="D3" s="35"/>
      <c r="E3" s="35"/>
      <c r="F3" s="35"/>
      <c r="G3" s="35"/>
      <c r="H3" s="35"/>
      <c r="I3" s="35"/>
      <c r="J3" s="35"/>
      <c r="K3" s="95"/>
      <c r="L3" s="95"/>
      <c r="M3" s="95"/>
      <c r="N3" s="95"/>
      <c r="O3" s="31" t="s">
        <v>164</v>
      </c>
      <c r="P3" s="31" t="s">
        <v>165</v>
      </c>
      <c r="Q3" s="31" t="s">
        <v>166</v>
      </c>
      <c r="R3" s="31" t="s">
        <v>167</v>
      </c>
    </row>
    <row r="4" spans="1:18" x14ac:dyDescent="0.25">
      <c r="A4" s="35"/>
      <c r="B4" s="63" t="s">
        <v>133</v>
      </c>
      <c r="C4" s="59"/>
      <c r="D4" s="35"/>
      <c r="E4" s="35"/>
      <c r="F4" s="35"/>
      <c r="G4" s="35"/>
      <c r="H4" s="35"/>
      <c r="I4" s="35"/>
      <c r="J4" s="35"/>
      <c r="K4" s="95" t="s">
        <v>168</v>
      </c>
      <c r="L4" s="95"/>
      <c r="M4" s="95"/>
      <c r="N4" s="95"/>
      <c r="O4" s="2">
        <f>TDM!U22</f>
        <v>21.614999999999998</v>
      </c>
      <c r="P4" s="2">
        <f>TDM!AA22</f>
        <v>26.526666666666671</v>
      </c>
      <c r="Q4" s="2">
        <f>TDM!AG22</f>
        <v>25.043333333333333</v>
      </c>
      <c r="R4" s="13">
        <f>AVERAGE(O4:Q4)</f>
        <v>24.395</v>
      </c>
    </row>
    <row r="5" spans="1:18" x14ac:dyDescent="0.25">
      <c r="A5" s="35"/>
      <c r="B5" s="64" t="s">
        <v>134</v>
      </c>
      <c r="C5" s="65" t="s">
        <v>109</v>
      </c>
      <c r="D5" s="35"/>
      <c r="E5" s="64"/>
      <c r="F5" s="35" t="s">
        <v>135</v>
      </c>
      <c r="G5" s="35"/>
      <c r="H5" s="35"/>
      <c r="I5" s="35"/>
      <c r="J5" s="35"/>
      <c r="K5" s="95" t="s">
        <v>169</v>
      </c>
      <c r="L5" s="95"/>
      <c r="M5" s="95"/>
      <c r="N5" s="95"/>
      <c r="O5" s="2" t="e">
        <f>TDM!#REF!</f>
        <v>#REF!</v>
      </c>
      <c r="P5" s="2">
        <f>TDM!AA32</f>
        <v>35.362821269280801</v>
      </c>
      <c r="Q5" s="2">
        <f>TDM!AG32</f>
        <v>35.1230897680109</v>
      </c>
      <c r="R5" s="13" t="e">
        <f>AVERAGE(O5:Q5)</f>
        <v>#REF!</v>
      </c>
    </row>
    <row r="6" spans="1:18" x14ac:dyDescent="0.25">
      <c r="A6" s="35"/>
      <c r="B6" s="64" t="s">
        <v>136</v>
      </c>
      <c r="C6" s="66">
        <v>796</v>
      </c>
      <c r="D6" s="35"/>
      <c r="E6" s="67"/>
      <c r="F6" s="35" t="s">
        <v>137</v>
      </c>
      <c r="G6" s="35"/>
      <c r="H6" s="35"/>
      <c r="I6" s="35"/>
      <c r="J6" s="35"/>
    </row>
    <row r="7" spans="1:18" x14ac:dyDescent="0.25">
      <c r="A7" s="35"/>
      <c r="B7" s="64" t="s">
        <v>138</v>
      </c>
      <c r="C7" s="66"/>
      <c r="D7" s="35"/>
      <c r="E7" s="68"/>
      <c r="F7" s="35" t="s">
        <v>139</v>
      </c>
      <c r="G7" s="35"/>
      <c r="H7" s="35"/>
      <c r="I7" s="35"/>
      <c r="J7" s="35"/>
    </row>
    <row r="8" spans="1:18" x14ac:dyDescent="0.25">
      <c r="A8" s="35"/>
      <c r="B8" s="64" t="s">
        <v>140</v>
      </c>
      <c r="C8" s="66" t="s">
        <v>141</v>
      </c>
      <c r="D8" s="35"/>
      <c r="E8" s="35"/>
      <c r="F8" s="35"/>
      <c r="G8" s="35"/>
      <c r="H8" s="35"/>
      <c r="I8" s="35"/>
      <c r="J8" s="35"/>
    </row>
    <row r="9" spans="1:18" x14ac:dyDescent="0.25">
      <c r="A9" s="35"/>
      <c r="B9" s="35"/>
      <c r="C9" s="59"/>
      <c r="D9" s="35"/>
      <c r="E9" s="35"/>
      <c r="F9" s="35"/>
      <c r="G9" s="35"/>
      <c r="H9" s="35"/>
      <c r="I9" s="35"/>
      <c r="J9" s="35"/>
    </row>
    <row r="10" spans="1:18" x14ac:dyDescent="0.25">
      <c r="A10" s="35"/>
      <c r="B10" s="35"/>
      <c r="C10" s="59"/>
      <c r="D10" s="35"/>
      <c r="E10" s="35"/>
      <c r="F10" s="35"/>
      <c r="G10" s="35"/>
      <c r="H10" s="35"/>
      <c r="I10" s="35"/>
      <c r="J10" s="35"/>
    </row>
    <row r="11" spans="1:18" x14ac:dyDescent="0.25">
      <c r="A11" s="35"/>
      <c r="B11" s="63" t="s">
        <v>142</v>
      </c>
      <c r="C11" s="59"/>
      <c r="D11" s="35"/>
      <c r="E11" s="35"/>
      <c r="F11" s="35"/>
      <c r="G11" s="35"/>
      <c r="H11" s="35"/>
      <c r="I11" s="35"/>
      <c r="J11" s="35"/>
    </row>
    <row r="12" spans="1:18" x14ac:dyDescent="0.25">
      <c r="A12" s="35"/>
      <c r="B12" s="64" t="s">
        <v>143</v>
      </c>
      <c r="C12" s="66">
        <v>2025</v>
      </c>
      <c r="D12" s="35"/>
      <c r="E12" s="35"/>
      <c r="F12" s="35"/>
      <c r="G12" s="35"/>
      <c r="H12" s="35"/>
      <c r="I12" s="35"/>
      <c r="J12" s="35"/>
    </row>
    <row r="13" spans="1:18" x14ac:dyDescent="0.25">
      <c r="A13" s="35"/>
      <c r="B13" s="64" t="s">
        <v>144</v>
      </c>
      <c r="C13" s="66" t="s">
        <v>145</v>
      </c>
      <c r="D13" s="35"/>
      <c r="E13" s="35"/>
      <c r="F13" s="35"/>
      <c r="G13" s="35"/>
      <c r="H13" s="35"/>
      <c r="I13" s="35"/>
      <c r="J13" s="35"/>
    </row>
    <row r="14" spans="1:18" x14ac:dyDescent="0.25">
      <c r="A14" s="35"/>
      <c r="B14" s="69" t="s">
        <v>146</v>
      </c>
      <c r="C14" s="70" t="s">
        <v>147</v>
      </c>
      <c r="D14" s="35"/>
      <c r="E14" s="35"/>
      <c r="F14" s="35"/>
      <c r="G14" s="35"/>
      <c r="H14" s="35"/>
      <c r="I14" s="35"/>
      <c r="J14" s="35"/>
    </row>
    <row r="15" spans="1:18" x14ac:dyDescent="0.25">
      <c r="A15" s="35"/>
      <c r="B15" s="69" t="s">
        <v>148</v>
      </c>
      <c r="C15" s="71">
        <v>2.5499999999999998</v>
      </c>
      <c r="D15" s="35"/>
      <c r="E15" s="35"/>
      <c r="F15" s="35"/>
      <c r="G15" s="35"/>
      <c r="H15" s="35"/>
      <c r="I15" s="35"/>
      <c r="J15" s="35"/>
    </row>
    <row r="16" spans="1:18" x14ac:dyDescent="0.25">
      <c r="A16" s="35"/>
      <c r="B16" s="69" t="s">
        <v>149</v>
      </c>
      <c r="C16" s="70">
        <v>24.4</v>
      </c>
      <c r="D16" s="35"/>
      <c r="E16" s="35"/>
      <c r="F16" s="35"/>
      <c r="G16" s="35"/>
      <c r="H16" s="35"/>
      <c r="I16" s="35"/>
      <c r="J16" s="35"/>
    </row>
    <row r="17" spans="1:10" x14ac:dyDescent="0.25">
      <c r="A17" s="35"/>
      <c r="B17" s="72" t="s">
        <v>150</v>
      </c>
      <c r="C17" s="70">
        <v>27.68</v>
      </c>
      <c r="D17" s="35"/>
      <c r="E17" s="35"/>
      <c r="F17" s="35"/>
      <c r="G17" s="35"/>
      <c r="H17" s="35"/>
      <c r="I17" s="35"/>
      <c r="J17" s="35"/>
    </row>
    <row r="18" spans="1:10" x14ac:dyDescent="0.25">
      <c r="A18" s="35"/>
      <c r="B18" s="73" t="s">
        <v>151</v>
      </c>
      <c r="C18" s="74">
        <f>VLOOKUP(C13,'[1]Service Life'!C6:D12,2,FALSE)</f>
        <v>20</v>
      </c>
      <c r="D18" s="35"/>
      <c r="E18" s="35"/>
      <c r="F18" s="35"/>
      <c r="G18" s="35"/>
      <c r="H18" s="35"/>
      <c r="I18" s="35"/>
      <c r="J18" s="35"/>
    </row>
    <row r="19" spans="1:10" x14ac:dyDescent="0.25">
      <c r="A19" s="35"/>
      <c r="B19" s="35"/>
      <c r="C19" s="59"/>
      <c r="D19" s="35"/>
      <c r="E19" s="35"/>
      <c r="F19" s="35"/>
      <c r="G19" s="35"/>
      <c r="H19" s="35"/>
      <c r="I19" s="35"/>
      <c r="J19" s="35"/>
    </row>
    <row r="20" spans="1:10" x14ac:dyDescent="0.25">
      <c r="A20" s="35"/>
      <c r="B20" s="63" t="s">
        <v>152</v>
      </c>
      <c r="C20" s="59"/>
      <c r="D20" s="35"/>
      <c r="E20" s="35"/>
      <c r="F20" s="35"/>
      <c r="G20" s="35"/>
      <c r="H20" s="35"/>
      <c r="I20" s="35"/>
      <c r="J20" s="35"/>
    </row>
    <row r="21" spans="1:10" ht="30" x14ac:dyDescent="0.25">
      <c r="A21" s="35"/>
      <c r="B21" s="72" t="s">
        <v>153</v>
      </c>
      <c r="C21" s="70">
        <v>10267</v>
      </c>
      <c r="D21" s="35"/>
      <c r="E21" s="35"/>
      <c r="F21" s="35"/>
      <c r="G21" s="35"/>
      <c r="H21" s="35"/>
      <c r="I21" s="35"/>
      <c r="J21" s="35"/>
    </row>
    <row r="22" spans="1:10" x14ac:dyDescent="0.25">
      <c r="A22" s="35"/>
      <c r="B22" s="75"/>
      <c r="C22" s="76"/>
      <c r="D22" s="35"/>
      <c r="E22" s="35"/>
      <c r="F22" s="35"/>
      <c r="G22" s="35"/>
      <c r="H22" s="35"/>
      <c r="I22" s="35"/>
      <c r="J22" s="35"/>
    </row>
    <row r="23" spans="1:10" x14ac:dyDescent="0.25">
      <c r="A23" s="35"/>
      <c r="B23" s="35"/>
      <c r="C23" s="59"/>
      <c r="D23" s="35"/>
      <c r="E23" s="35"/>
      <c r="F23" s="35"/>
      <c r="G23" s="35"/>
      <c r="H23" s="35"/>
      <c r="I23" s="35"/>
      <c r="J23" s="35"/>
    </row>
    <row r="24" spans="1:10" x14ac:dyDescent="0.25">
      <c r="A24" s="35"/>
      <c r="B24" s="35"/>
      <c r="C24" s="59"/>
      <c r="D24" s="35"/>
      <c r="E24" s="35"/>
      <c r="F24" s="35"/>
      <c r="G24" s="35"/>
      <c r="H24" s="35"/>
      <c r="I24" s="35"/>
      <c r="J24" s="35"/>
    </row>
    <row r="25" spans="1:10" ht="18.75" x14ac:dyDescent="0.25">
      <c r="A25" s="35"/>
      <c r="B25" s="60" t="s">
        <v>154</v>
      </c>
      <c r="C25" s="61"/>
      <c r="D25" s="35"/>
      <c r="E25" s="35"/>
      <c r="F25" s="35"/>
      <c r="G25" s="35"/>
      <c r="H25" s="35"/>
      <c r="I25" s="35"/>
      <c r="J25" s="35"/>
    </row>
    <row r="26" spans="1:10" x14ac:dyDescent="0.25">
      <c r="A26" s="35"/>
      <c r="B26" s="35"/>
      <c r="C26" s="59"/>
      <c r="D26" s="35"/>
      <c r="E26" s="35"/>
      <c r="F26" s="35"/>
      <c r="G26" s="35"/>
      <c r="H26" s="35"/>
      <c r="I26" s="35"/>
      <c r="J26" s="35"/>
    </row>
    <row r="27" spans="1:10" x14ac:dyDescent="0.25">
      <c r="A27" s="35"/>
      <c r="B27" s="77" t="s">
        <v>155</v>
      </c>
      <c r="C27" s="59"/>
      <c r="D27" s="35"/>
      <c r="E27" s="35"/>
      <c r="F27" s="35"/>
      <c r="G27" s="35"/>
      <c r="H27" s="35"/>
      <c r="I27" s="35"/>
      <c r="J27" s="35"/>
    </row>
    <row r="28" spans="1:10" x14ac:dyDescent="0.25">
      <c r="A28" s="35"/>
      <c r="B28" s="68" t="s">
        <v>156</v>
      </c>
      <c r="C28" s="78">
        <f>'[1]Benefit Calculations'!M35</f>
        <v>913.91455373444137</v>
      </c>
      <c r="D28" s="35"/>
      <c r="E28" s="35"/>
      <c r="F28" s="35"/>
      <c r="G28" s="35"/>
      <c r="H28" s="35"/>
      <c r="I28" s="35"/>
      <c r="J28" s="35"/>
    </row>
    <row r="29" spans="1:10" x14ac:dyDescent="0.25">
      <c r="A29" s="35"/>
      <c r="B29" s="68" t="s">
        <v>157</v>
      </c>
      <c r="C29" s="78">
        <f>'[1]Benefit Calculations'!Q35</f>
        <v>156772.62679864088</v>
      </c>
      <c r="D29" s="35"/>
      <c r="E29" s="35"/>
      <c r="F29" s="35"/>
      <c r="G29" s="35"/>
      <c r="H29" s="35"/>
      <c r="I29" s="35"/>
      <c r="J29" s="35"/>
    </row>
    <row r="30" spans="1:10" x14ac:dyDescent="0.25">
      <c r="A30" s="35"/>
      <c r="B30" s="35"/>
      <c r="C30" s="79"/>
      <c r="D30" s="35"/>
      <c r="E30" s="35"/>
      <c r="F30" s="35"/>
      <c r="G30" s="35"/>
      <c r="H30" s="35"/>
      <c r="I30" s="35"/>
      <c r="J30" s="35"/>
    </row>
    <row r="31" spans="1:10" x14ac:dyDescent="0.25">
      <c r="A31" s="35"/>
      <c r="B31" s="77" t="s">
        <v>158</v>
      </c>
      <c r="C31" s="79"/>
      <c r="D31" s="35"/>
      <c r="E31" s="35"/>
      <c r="F31" s="35"/>
      <c r="G31" s="35"/>
      <c r="H31" s="35"/>
      <c r="I31" s="35"/>
      <c r="J31" s="35"/>
    </row>
    <row r="32" spans="1:10" x14ac:dyDescent="0.25">
      <c r="A32" s="35"/>
      <c r="B32" s="68" t="s">
        <v>159</v>
      </c>
      <c r="C32" s="78">
        <f>$C$28+$C$29</f>
        <v>157686.54135237532</v>
      </c>
      <c r="D32" s="35"/>
      <c r="E32" s="35"/>
      <c r="F32" s="35"/>
      <c r="G32" s="35"/>
      <c r="H32" s="35"/>
      <c r="I32" s="35"/>
      <c r="J32" s="35"/>
    </row>
    <row r="33" spans="1:10" x14ac:dyDescent="0.25">
      <c r="A33" s="35"/>
      <c r="B33" s="35"/>
      <c r="C33" s="59"/>
      <c r="D33" s="35"/>
      <c r="E33" s="35"/>
      <c r="F33" s="35"/>
      <c r="G33" s="35"/>
      <c r="H33" s="35"/>
      <c r="I33" s="35"/>
      <c r="J33" s="80"/>
    </row>
    <row r="34" spans="1:10" x14ac:dyDescent="0.25">
      <c r="A34" s="35"/>
      <c r="B34" s="77" t="s">
        <v>160</v>
      </c>
      <c r="C34" s="59"/>
      <c r="D34" s="35"/>
      <c r="E34" s="35"/>
      <c r="F34" s="35"/>
      <c r="G34" s="35"/>
      <c r="H34" s="35"/>
      <c r="I34" s="35"/>
      <c r="J34" s="35"/>
    </row>
    <row r="35" spans="1:10" x14ac:dyDescent="0.25">
      <c r="A35" s="35"/>
      <c r="B35" s="68" t="s">
        <v>161</v>
      </c>
      <c r="C35" s="81">
        <f>'[1]Benefit Calculations'!K35</f>
        <v>0.12857436324939236</v>
      </c>
      <c r="D35" s="35"/>
      <c r="E35" s="35"/>
      <c r="F35" s="35"/>
      <c r="G35" s="35"/>
      <c r="H35" s="35"/>
      <c r="I35" s="35"/>
      <c r="J35" s="35"/>
    </row>
    <row r="36" spans="1:10" x14ac:dyDescent="0.25">
      <c r="A36" s="35"/>
      <c r="B36" s="68" t="s">
        <v>162</v>
      </c>
      <c r="C36" s="81">
        <f>'[1]Benefit Calculations'!O35</f>
        <v>0.46539341039911619</v>
      </c>
      <c r="D36" s="35"/>
      <c r="E36" s="35"/>
      <c r="F36" s="35"/>
      <c r="G36" s="35"/>
      <c r="H36" s="35"/>
      <c r="I36" s="35"/>
      <c r="J36" s="35"/>
    </row>
    <row r="37" spans="1:10" x14ac:dyDescent="0.25">
      <c r="A37" s="35"/>
      <c r="B37" s="35"/>
      <c r="C37" s="59"/>
      <c r="D37" s="35"/>
      <c r="E37" s="35"/>
      <c r="F37" s="35"/>
      <c r="G37" s="35"/>
      <c r="H37" s="35"/>
      <c r="I37" s="35"/>
      <c r="J37" s="35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0E35F38E-50A5-445D-B7EB-01BF1151EA64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46"/>
  <sheetViews>
    <sheetView workbookViewId="0">
      <selection activeCell="F9" sqref="F9"/>
    </sheetView>
  </sheetViews>
  <sheetFormatPr defaultRowHeight="15" x14ac:dyDescent="0.25"/>
  <cols>
    <col min="1" max="1" width="33.7109375" bestFit="1" customWidth="1"/>
    <col min="2" max="2" width="12.42578125" bestFit="1" customWidth="1"/>
    <col min="5" max="5" width="2" bestFit="1" customWidth="1"/>
    <col min="6" max="6" width="35.42578125" customWidth="1"/>
    <col min="7" max="7" width="33.28515625" customWidth="1"/>
    <col min="8" max="8" width="22.5703125" customWidth="1"/>
  </cols>
  <sheetData>
    <row r="1" spans="1:8" ht="15.75" thickBot="1" x14ac:dyDescent="0.3">
      <c r="A1" s="21" t="s">
        <v>55</v>
      </c>
      <c r="B1" s="22" t="s">
        <v>56</v>
      </c>
      <c r="E1" s="86" t="s">
        <v>186</v>
      </c>
      <c r="F1" s="86"/>
      <c r="G1" s="86"/>
      <c r="H1" s="86"/>
    </row>
    <row r="2" spans="1:8" x14ac:dyDescent="0.25">
      <c r="A2" s="24" t="s">
        <v>57</v>
      </c>
      <c r="B2" s="24" t="s">
        <v>56</v>
      </c>
      <c r="E2" s="11" t="s">
        <v>86</v>
      </c>
      <c r="F2" s="83" t="s">
        <v>187</v>
      </c>
      <c r="G2" s="83" t="s">
        <v>188</v>
      </c>
      <c r="H2" s="83" t="s">
        <v>189</v>
      </c>
    </row>
    <row r="3" spans="1:8" ht="60" x14ac:dyDescent="0.25">
      <c r="A3" t="s">
        <v>58</v>
      </c>
      <c r="B3">
        <v>143619</v>
      </c>
      <c r="E3" s="31">
        <v>1</v>
      </c>
      <c r="F3" s="85" t="s">
        <v>192</v>
      </c>
      <c r="G3" s="84" t="s">
        <v>190</v>
      </c>
      <c r="H3" s="84" t="s">
        <v>191</v>
      </c>
    </row>
    <row r="4" spans="1:8" ht="15.75" thickBot="1" x14ac:dyDescent="0.3"/>
    <row r="5" spans="1:8" ht="15.75" thickBot="1" x14ac:dyDescent="0.3">
      <c r="A5" s="21" t="s">
        <v>85</v>
      </c>
      <c r="B5" s="22" t="s">
        <v>59</v>
      </c>
    </row>
    <row r="6" spans="1:8" x14ac:dyDescent="0.25">
      <c r="A6" s="96" t="s">
        <v>60</v>
      </c>
      <c r="B6" s="96"/>
    </row>
    <row r="7" spans="1:8" x14ac:dyDescent="0.25">
      <c r="A7" s="24" t="s">
        <v>61</v>
      </c>
      <c r="B7" s="24" t="s">
        <v>52</v>
      </c>
    </row>
    <row r="8" spans="1:8" x14ac:dyDescent="0.25">
      <c r="A8" t="s">
        <v>62</v>
      </c>
      <c r="B8">
        <f>176+9</f>
        <v>185</v>
      </c>
    </row>
    <row r="9" spans="1:8" x14ac:dyDescent="0.25">
      <c r="A9" t="s">
        <v>63</v>
      </c>
      <c r="B9">
        <f>3210+1985</f>
        <v>5195</v>
      </c>
    </row>
    <row r="10" spans="1:8" x14ac:dyDescent="0.25">
      <c r="A10" t="s">
        <v>64</v>
      </c>
      <c r="B10">
        <v>274</v>
      </c>
    </row>
    <row r="11" spans="1:8" x14ac:dyDescent="0.25">
      <c r="A11" t="s">
        <v>65</v>
      </c>
      <c r="B11">
        <v>458</v>
      </c>
    </row>
    <row r="12" spans="1:8" x14ac:dyDescent="0.25">
      <c r="A12" t="s">
        <v>66</v>
      </c>
      <c r="B12">
        <v>338</v>
      </c>
    </row>
    <row r="13" spans="1:8" x14ac:dyDescent="0.25">
      <c r="A13" t="s">
        <v>67</v>
      </c>
      <c r="B13">
        <v>387</v>
      </c>
    </row>
    <row r="14" spans="1:8" x14ac:dyDescent="0.25">
      <c r="A14" t="s">
        <v>68</v>
      </c>
      <c r="B14">
        <v>10938</v>
      </c>
    </row>
    <row r="15" spans="1:8" x14ac:dyDescent="0.25">
      <c r="A15" t="s">
        <v>69</v>
      </c>
      <c r="B15" s="20">
        <f>B8/B14</f>
        <v>1.6913512525141706E-2</v>
      </c>
    </row>
    <row r="16" spans="1:8" x14ac:dyDescent="0.25">
      <c r="A16" t="s">
        <v>70</v>
      </c>
      <c r="B16" s="20">
        <f>B9/B14</f>
        <v>0.47494971658438473</v>
      </c>
    </row>
    <row r="18" spans="1:4" x14ac:dyDescent="0.25">
      <c r="A18" s="87" t="s">
        <v>177</v>
      </c>
      <c r="B18" s="87"/>
    </row>
    <row r="19" spans="1:4" x14ac:dyDescent="0.25">
      <c r="A19" s="24" t="s">
        <v>61</v>
      </c>
      <c r="B19" s="24" t="s">
        <v>52</v>
      </c>
      <c r="C19" s="23" t="s">
        <v>78</v>
      </c>
    </row>
    <row r="20" spans="1:4" x14ac:dyDescent="0.25">
      <c r="A20" s="2" t="s">
        <v>71</v>
      </c>
      <c r="B20" s="2">
        <v>63354</v>
      </c>
      <c r="C20" s="2"/>
    </row>
    <row r="21" spans="1:4" x14ac:dyDescent="0.25">
      <c r="A21" s="2" t="s">
        <v>73</v>
      </c>
      <c r="B21" s="2">
        <v>57647</v>
      </c>
      <c r="C21" s="2"/>
    </row>
    <row r="22" spans="1:4" x14ac:dyDescent="0.25">
      <c r="A22" s="2" t="s">
        <v>72</v>
      </c>
      <c r="B22" s="2">
        <v>131453</v>
      </c>
      <c r="C22" s="4">
        <f>(B22-B21)/B21</f>
        <v>1.2803094697035404</v>
      </c>
    </row>
    <row r="23" spans="1:4" x14ac:dyDescent="0.25">
      <c r="A23" s="2" t="s">
        <v>74</v>
      </c>
      <c r="B23" s="2">
        <v>14488</v>
      </c>
      <c r="C23" s="2"/>
    </row>
    <row r="24" spans="1:4" x14ac:dyDescent="0.25">
      <c r="A24" s="2" t="s">
        <v>75</v>
      </c>
      <c r="B24" s="2">
        <v>31857</v>
      </c>
      <c r="C24" s="4">
        <f>(B24-B23)/B23</f>
        <v>1.1988542241855329</v>
      </c>
    </row>
    <row r="25" spans="1:4" x14ac:dyDescent="0.25">
      <c r="A25" s="2" t="s">
        <v>76</v>
      </c>
      <c r="B25" s="2">
        <v>23061</v>
      </c>
      <c r="C25" s="2"/>
    </row>
    <row r="26" spans="1:4" x14ac:dyDescent="0.25">
      <c r="A26" s="2" t="s">
        <v>77</v>
      </c>
      <c r="B26" s="2">
        <v>52103</v>
      </c>
      <c r="C26" s="4">
        <f>(B26-B25)/B25</f>
        <v>1.2593556220458784</v>
      </c>
    </row>
    <row r="28" spans="1:4" x14ac:dyDescent="0.25">
      <c r="A28" s="86" t="s">
        <v>171</v>
      </c>
      <c r="B28" s="86"/>
      <c r="C28" s="86"/>
      <c r="D28" s="86"/>
    </row>
    <row r="29" spans="1:4" x14ac:dyDescent="0.25">
      <c r="A29" s="2" t="s">
        <v>61</v>
      </c>
      <c r="B29" s="2" t="s">
        <v>172</v>
      </c>
      <c r="C29" s="2">
        <v>2045</v>
      </c>
      <c r="D29" s="2" t="s">
        <v>79</v>
      </c>
    </row>
    <row r="30" spans="1:4" x14ac:dyDescent="0.25">
      <c r="A30" s="2" t="s">
        <v>173</v>
      </c>
      <c r="B30" s="2">
        <v>4974.1000000000004</v>
      </c>
      <c r="C30" s="2">
        <v>6560.01</v>
      </c>
      <c r="D30" s="82">
        <f>(C30-B30)/B30</f>
        <v>0.31883355782955708</v>
      </c>
    </row>
    <row r="31" spans="1:4" x14ac:dyDescent="0.25">
      <c r="A31" s="2" t="s">
        <v>174</v>
      </c>
      <c r="B31" s="2">
        <v>519.79</v>
      </c>
      <c r="C31" s="2">
        <v>622.52</v>
      </c>
      <c r="D31" s="82">
        <f t="shared" ref="D31:D33" si="0">(C31-B31)/B31</f>
        <v>0.19763750745493378</v>
      </c>
    </row>
    <row r="32" spans="1:4" x14ac:dyDescent="0.25">
      <c r="A32" s="2" t="s">
        <v>175</v>
      </c>
      <c r="B32" s="2">
        <v>75.459999999999994</v>
      </c>
      <c r="C32" s="2">
        <v>78.63</v>
      </c>
      <c r="D32" s="82">
        <f t="shared" si="0"/>
        <v>4.2009011396766528E-2</v>
      </c>
    </row>
    <row r="33" spans="1:4" x14ac:dyDescent="0.25">
      <c r="A33" s="2" t="s">
        <v>176</v>
      </c>
      <c r="B33" s="2">
        <v>887.94</v>
      </c>
      <c r="C33" s="2">
        <v>2873.14</v>
      </c>
      <c r="D33" s="82">
        <f t="shared" si="0"/>
        <v>2.2357366488726713</v>
      </c>
    </row>
    <row r="34" spans="1:4" x14ac:dyDescent="0.25">
      <c r="A34" s="2"/>
      <c r="B34" s="2"/>
      <c r="C34" s="2"/>
      <c r="D34" s="82"/>
    </row>
    <row r="41" spans="1:4" ht="30" x14ac:dyDescent="0.25">
      <c r="A41" s="26" t="s">
        <v>80</v>
      </c>
      <c r="B41" s="25" t="s">
        <v>71</v>
      </c>
    </row>
    <row r="42" spans="1:4" x14ac:dyDescent="0.25">
      <c r="A42" t="s">
        <v>81</v>
      </c>
      <c r="B42" s="2">
        <v>21926</v>
      </c>
    </row>
    <row r="43" spans="1:4" x14ac:dyDescent="0.25">
      <c r="A43" t="s">
        <v>82</v>
      </c>
      <c r="B43" s="2">
        <v>17259</v>
      </c>
    </row>
    <row r="44" spans="1:4" x14ac:dyDescent="0.25">
      <c r="A44" s="2" t="s">
        <v>83</v>
      </c>
      <c r="B44" s="2">
        <v>221450</v>
      </c>
    </row>
    <row r="45" spans="1:4" x14ac:dyDescent="0.25">
      <c r="A45" s="2" t="s">
        <v>84</v>
      </c>
      <c r="B45" s="2">
        <v>195258</v>
      </c>
    </row>
    <row r="46" spans="1:4" x14ac:dyDescent="0.25">
      <c r="B46">
        <f>SUM(B42:B45)</f>
        <v>455893</v>
      </c>
    </row>
  </sheetData>
  <mergeCells count="4">
    <mergeCell ref="A6:B6"/>
    <mergeCell ref="A18:B18"/>
    <mergeCell ref="A28:D28"/>
    <mergeCell ref="E1:H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workbookViewId="0">
      <selection activeCell="D19" sqref="D19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86</v>
      </c>
      <c r="B1" s="27" t="s">
        <v>87</v>
      </c>
      <c r="C1" s="27" t="s">
        <v>88</v>
      </c>
      <c r="D1" s="27" t="s">
        <v>89</v>
      </c>
      <c r="E1" s="27" t="s">
        <v>90</v>
      </c>
      <c r="F1" s="28" t="s">
        <v>91</v>
      </c>
      <c r="G1" s="29" t="s">
        <v>92</v>
      </c>
    </row>
    <row r="2" spans="1:7" ht="30" x14ac:dyDescent="0.25">
      <c r="A2">
        <v>1</v>
      </c>
      <c r="B2" s="30" t="s">
        <v>170</v>
      </c>
      <c r="C2" s="31">
        <v>541</v>
      </c>
      <c r="D2" s="32">
        <v>0.3</v>
      </c>
      <c r="E2" s="31">
        <v>20</v>
      </c>
      <c r="F2" s="33" t="s">
        <v>94</v>
      </c>
      <c r="G2" s="34" t="s">
        <v>95</v>
      </c>
    </row>
    <row r="3" spans="1:7" ht="30" x14ac:dyDescent="0.25">
      <c r="A3">
        <v>2</v>
      </c>
      <c r="B3" s="30" t="s">
        <v>97</v>
      </c>
      <c r="C3" s="31">
        <v>538</v>
      </c>
      <c r="D3" s="32">
        <v>0.45</v>
      </c>
      <c r="E3" s="31">
        <v>20</v>
      </c>
      <c r="F3" s="33" t="s">
        <v>94</v>
      </c>
      <c r="G3" s="34" t="s">
        <v>95</v>
      </c>
    </row>
    <row r="4" spans="1:7" ht="30" x14ac:dyDescent="0.25">
      <c r="A4">
        <v>4</v>
      </c>
      <c r="B4" s="30" t="s">
        <v>93</v>
      </c>
      <c r="C4" s="31">
        <v>401</v>
      </c>
      <c r="D4" s="32">
        <v>0.2</v>
      </c>
      <c r="E4" s="31">
        <v>2</v>
      </c>
      <c r="F4" s="33" t="s">
        <v>94</v>
      </c>
      <c r="G4" s="34" t="s">
        <v>95</v>
      </c>
    </row>
    <row r="5" spans="1:7" x14ac:dyDescent="0.25">
      <c r="B5" s="30" t="s">
        <v>98</v>
      </c>
      <c r="C5" s="31">
        <v>402</v>
      </c>
      <c r="D5" s="32">
        <v>0.25</v>
      </c>
      <c r="E5" s="31">
        <v>2</v>
      </c>
      <c r="F5" s="33" t="s">
        <v>94</v>
      </c>
      <c r="G5" s="34" t="s">
        <v>99</v>
      </c>
    </row>
    <row r="7" spans="1:7" x14ac:dyDescent="0.25">
      <c r="B7" s="35" t="s">
        <v>96</v>
      </c>
      <c r="D7" s="36">
        <f>1-((1-D2)*(1-D3)*(1-D4)*(1-D5))</f>
        <v>0.76899999999999991</v>
      </c>
    </row>
    <row r="8" spans="1:7" x14ac:dyDescent="0.25">
      <c r="D8">
        <f>SUMPRODUCT(D2:D5,E2:E5)</f>
        <v>15.9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TDM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2024-02-12T21:55:53Z</dcterms:modified>
</cp:coreProperties>
</file>