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https://hctx.sharepoint.com/sites/HCED-Planning/Shared Documents/HCED_2022 Grants/HGAC 2023 Call for Projects/01_RGM/BCA/BCA_SheldonNorth/"/>
    </mc:Choice>
  </mc:AlternateContent>
  <xr:revisionPtr revIDLastSave="183" documentId="8_{56774D11-A44E-49E3-9E0A-ABD14E6A6BB8}" xr6:coauthVersionLast="47" xr6:coauthVersionMax="47" xr10:uidLastSave="{7B817A23-B6EB-4D32-BBA5-29C3FBCDD7F2}"/>
  <bookViews>
    <workbookView xWindow="28680" yWindow="-120" windowWidth="29040" windowHeight="17640"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 name="Growth Rates" sheetId="14" r:id="rId9"/>
  </sheets>
  <definedNames>
    <definedName name="_20_2030_V_C_Growth">Calculations!$E$11</definedName>
    <definedName name="_20_2045_Demand_Growth">Calculations!$E$7</definedName>
    <definedName name="_20_2045_V_C_Growth">Calculations!$E$13</definedName>
    <definedName name="_20_Capacity">'Inputs &amp; Outputs'!#REF!</definedName>
    <definedName name="_20_PeakVolume">'Inputs &amp; Outputs'!#REF!</definedName>
    <definedName name="_20_V_C_Ratio">Calculations!$E$8</definedName>
    <definedName name="_2045_Capacity">'Inputs &amp; Outputs'!#REF!</definedName>
    <definedName name="_2045_PeakVolume">'Inputs &amp; Outputs'!#REF!</definedName>
    <definedName name="_2045_V_C_Ratio">Calculations!$E$10</definedName>
    <definedName name="_30_2045_Demand_Growth">Calculations!$E$6</definedName>
    <definedName name="_30_2045_V_C_Growth">Calculations!$E$12</definedName>
    <definedName name="_30_Capacity">'Inputs &amp; Outputs'!#REF!</definedName>
    <definedName name="_30_PeakVolume">'Inputs &amp; Outputs'!#REF!</definedName>
    <definedName name="_30_V_C_Ratio">Calculations!$E$9</definedName>
    <definedName name="_Facility_Type">Calculations!$E$5</definedName>
    <definedName name="Annual_Days_of_Travel">Calculations!$B$8</definedName>
    <definedName name="Base_Year">Calculations!$B$4</definedName>
    <definedName name="County">'Inputs &amp; Outputs'!$C$6</definedName>
    <definedName name="Discount_Rate">Calculations!#REF!</definedName>
    <definedName name="FacilityType">'Inputs &amp; Outputs'!$C$7</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Outputs'!$B$2:$G$42</definedName>
    <definedName name="_xlnm.Print_Area" localSheetId="0">Instructions!$A$1:$G$12</definedName>
    <definedName name="_xlnm.Print_Area" localSheetId="1">'ITS Delay Worksheet'!$A$3:$J$33</definedName>
    <definedName name="ProjectTitle">'Inputs &amp; Outputs'!$C$5</definedName>
    <definedName name="Real_wage_growth_rate">Calculations!$B$7</definedName>
    <definedName name="Value_of_Delay_Savings__2020_____000s">Calculations!$S$4:$S$36</definedName>
    <definedName name="Value_of_Travel_Time__VoTT___2020">Calculations!$B$6</definedName>
    <definedName name="Vehicle_Occupancy">Calculations!$B$5</definedName>
    <definedName name="Year_Open_to_Traffic?">'Inputs &amp; Outputs'!$C$18</definedName>
    <definedName name="Years_to_include_in_BCA_Analysis">Calculations!$B$9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5" i="14" l="1"/>
  <c r="C14" i="14"/>
  <c r="C16" i="14" l="1"/>
  <c r="C26" i="11"/>
  <c r="C23" i="11"/>
  <c r="E5" i="12" l="1"/>
  <c r="E6" i="12"/>
  <c r="G18" i="11"/>
  <c r="G19" i="11"/>
  <c r="D19" i="1"/>
  <c r="D20" i="1"/>
  <c r="D18" i="1"/>
  <c r="G20" i="11" l="1"/>
  <c r="H19" i="11"/>
  <c r="H18" i="11" l="1"/>
  <c r="L4" i="12" l="1"/>
  <c r="C20" i="11" l="1"/>
  <c r="G21" i="11" s="1"/>
  <c r="G23" i="11" s="1"/>
  <c r="H20" i="11" l="1"/>
  <c r="I6" i="12"/>
  <c r="G25" i="11" l="1"/>
  <c r="G24" i="11"/>
  <c r="H24" i="11" s="1"/>
  <c r="H23" i="11"/>
  <c r="G22" i="11"/>
  <c r="B7" i="12"/>
  <c r="G26" i="11" l="1"/>
  <c r="H25" i="11"/>
  <c r="H22" i="11"/>
  <c r="H21" i="11"/>
  <c r="I5" i="12"/>
  <c r="L5" i="12" s="1"/>
  <c r="I9" i="12"/>
  <c r="I13" i="12"/>
  <c r="I10" i="12"/>
  <c r="I11" i="12"/>
  <c r="I12" i="12"/>
  <c r="I14" i="12"/>
  <c r="I15" i="12"/>
  <c r="O4" i="12"/>
  <c r="H26" i="11" l="1"/>
  <c r="B9" i="12"/>
  <c r="D12" i="1" l="1"/>
  <c r="E10" i="1" s="1"/>
  <c r="E11" i="1" l="1"/>
  <c r="E6" i="1"/>
  <c r="E12" i="1"/>
  <c r="E7" i="1"/>
  <c r="E9" i="1"/>
  <c r="E4" i="1"/>
  <c r="H5" i="1" s="1"/>
  <c r="E8" i="1"/>
  <c r="H6" i="1" s="1"/>
  <c r="E5" i="1"/>
  <c r="H4" i="1" l="1"/>
  <c r="C21" i="1" s="1"/>
  <c r="D21" i="1" s="1"/>
  <c r="C9" i="2" s="1"/>
  <c r="H7" i="1" l="1"/>
  <c r="J4" i="12" l="1"/>
  <c r="K4" i="12" s="1"/>
  <c r="Q4" i="12"/>
  <c r="I33" i="12" l="1"/>
  <c r="I35" i="12"/>
  <c r="I32" i="12"/>
  <c r="I34" i="12"/>
  <c r="I36" i="12"/>
  <c r="I31" i="12"/>
  <c r="I30" i="12"/>
  <c r="I7" i="12"/>
  <c r="I24" i="12"/>
  <c r="I8" i="12"/>
  <c r="I17" i="12"/>
  <c r="I28" i="12"/>
  <c r="I20" i="12"/>
  <c r="I29" i="12"/>
  <c r="I21" i="12"/>
  <c r="I16" i="12"/>
  <c r="I27" i="12"/>
  <c r="I25" i="12"/>
  <c r="I26" i="12"/>
  <c r="I18" i="12"/>
  <c r="I19" i="12"/>
  <c r="I22" i="12"/>
  <c r="L6" i="12"/>
  <c r="I23" i="12"/>
  <c r="H5" i="12"/>
  <c r="L7" i="12" l="1"/>
  <c r="L8" i="12" s="1"/>
  <c r="Q5" i="12"/>
  <c r="O5" i="12"/>
  <c r="J5" i="12"/>
  <c r="H6" i="12"/>
  <c r="L9" i="12" l="1"/>
  <c r="L10" i="12" s="1"/>
  <c r="L11" i="12" s="1"/>
  <c r="L12" i="12" s="1"/>
  <c r="L13" i="12" s="1"/>
  <c r="L14" i="12" s="1"/>
  <c r="L15" i="12" s="1"/>
  <c r="L16" i="12" s="1"/>
  <c r="L17" i="12" s="1"/>
  <c r="L18" i="12" s="1"/>
  <c r="L19" i="12" s="1"/>
  <c r="L20" i="12" s="1"/>
  <c r="L21" i="12" s="1"/>
  <c r="L22" i="12" s="1"/>
  <c r="L23" i="12" s="1"/>
  <c r="L24" i="12" s="1"/>
  <c r="L25" i="12" s="1"/>
  <c r="L26" i="12" s="1"/>
  <c r="L27" i="12" s="1"/>
  <c r="L28" i="12" s="1"/>
  <c r="L29" i="12" s="1"/>
  <c r="L30" i="12" s="1"/>
  <c r="L31" i="12" s="1"/>
  <c r="L32" i="12" s="1"/>
  <c r="L33" i="12" s="1"/>
  <c r="L34" i="12" s="1"/>
  <c r="L35" i="12" s="1"/>
  <c r="L36" i="12" s="1"/>
  <c r="J6" i="12"/>
  <c r="K6" i="12" s="1"/>
  <c r="K5" i="12"/>
  <c r="Q6" i="12"/>
  <c r="O6" i="12"/>
  <c r="H7" i="12"/>
  <c r="B18" i="5"/>
  <c r="E17" i="5" s="1"/>
  <c r="B19" i="5"/>
  <c r="E18" i="5" s="1"/>
  <c r="G4" i="7"/>
  <c r="H4" i="7" s="1"/>
  <c r="G4" i="5"/>
  <c r="G5" i="5" s="1"/>
  <c r="G6" i="5" s="1"/>
  <c r="G7" i="5" s="1"/>
  <c r="G8" i="5" s="1"/>
  <c r="G9" i="5" s="1"/>
  <c r="G10" i="5" s="1"/>
  <c r="G11" i="5" s="1"/>
  <c r="G12" i="5" s="1"/>
  <c r="G13" i="5" s="1"/>
  <c r="G14" i="5" s="1"/>
  <c r="B18" i="7"/>
  <c r="B17" i="7"/>
  <c r="B16" i="7"/>
  <c r="E17" i="7"/>
  <c r="G5" i="7" l="1"/>
  <c r="H5" i="7" s="1"/>
  <c r="J7" i="12"/>
  <c r="K7" i="12" s="1"/>
  <c r="I4" i="7"/>
  <c r="Q7" i="12"/>
  <c r="O7" i="12"/>
  <c r="B21" i="5"/>
  <c r="J14" i="5"/>
  <c r="H14" i="5"/>
  <c r="G15" i="5"/>
  <c r="H10" i="5"/>
  <c r="B6" i="12"/>
  <c r="H8" i="12"/>
  <c r="O8" i="12" s="1"/>
  <c r="H6" i="5"/>
  <c r="H11" i="5"/>
  <c r="B20" i="5"/>
  <c r="J5" i="5"/>
  <c r="J13" i="5"/>
  <c r="J11" i="5"/>
  <c r="J10" i="5"/>
  <c r="J9" i="5"/>
  <c r="J4" i="5"/>
  <c r="J12" i="5"/>
  <c r="J8" i="5"/>
  <c r="J7" i="5"/>
  <c r="J6" i="5"/>
  <c r="H12" i="5"/>
  <c r="H4" i="5"/>
  <c r="H13" i="5"/>
  <c r="H5" i="5"/>
  <c r="H7" i="5"/>
  <c r="H8" i="5"/>
  <c r="H9" i="5"/>
  <c r="I5" i="7" l="1"/>
  <c r="G6" i="7"/>
  <c r="G7" i="7" s="1"/>
  <c r="J8" i="12"/>
  <c r="K8" i="12" s="1"/>
  <c r="Q8" i="12"/>
  <c r="K5" i="5"/>
  <c r="K10" i="5"/>
  <c r="K4" i="5"/>
  <c r="K11" i="5"/>
  <c r="K7" i="5"/>
  <c r="K8" i="5"/>
  <c r="K12" i="5"/>
  <c r="K9" i="5"/>
  <c r="K6" i="5"/>
  <c r="K13" i="5"/>
  <c r="K14" i="5"/>
  <c r="H15" i="5"/>
  <c r="G16" i="5"/>
  <c r="J15" i="5"/>
  <c r="K15" i="5" s="1"/>
  <c r="R8" i="12"/>
  <c r="R7" i="12"/>
  <c r="R6" i="12"/>
  <c r="R4" i="12"/>
  <c r="R5" i="12"/>
  <c r="I13" i="5"/>
  <c r="H9" i="12"/>
  <c r="O9" i="12" s="1"/>
  <c r="I7" i="5"/>
  <c r="I8" i="5"/>
  <c r="I10" i="5"/>
  <c r="I9" i="5"/>
  <c r="I14" i="5"/>
  <c r="I12" i="5"/>
  <c r="I5" i="5"/>
  <c r="I6" i="5"/>
  <c r="I11" i="5"/>
  <c r="B19" i="7"/>
  <c r="I4" i="5"/>
  <c r="H6" i="7" l="1"/>
  <c r="I6" i="7" s="1"/>
  <c r="J6" i="7" s="1"/>
  <c r="J9" i="12"/>
  <c r="K9" i="12" s="1"/>
  <c r="Q9" i="12"/>
  <c r="H16" i="5"/>
  <c r="I16" i="5" s="1"/>
  <c r="J16" i="5"/>
  <c r="K16" i="5" s="1"/>
  <c r="G17" i="5"/>
  <c r="I15" i="5"/>
  <c r="G8" i="7"/>
  <c r="H7" i="7"/>
  <c r="I7" i="7"/>
  <c r="J7" i="7" s="1"/>
  <c r="R9" i="12"/>
  <c r="H10" i="12"/>
  <c r="J5" i="7"/>
  <c r="J4" i="7"/>
  <c r="J10" i="12" l="1"/>
  <c r="K10" i="12" s="1"/>
  <c r="O10" i="12"/>
  <c r="H8" i="7"/>
  <c r="I8" i="7" s="1"/>
  <c r="J8" i="7" s="1"/>
  <c r="G9" i="7"/>
  <c r="G18" i="5"/>
  <c r="H17" i="5"/>
  <c r="J17" i="5"/>
  <c r="K17" i="5" s="1"/>
  <c r="Q10" i="12"/>
  <c r="R10" i="12"/>
  <c r="H11" i="12"/>
  <c r="J11" i="12" l="1"/>
  <c r="K11" i="12" s="1"/>
  <c r="O11" i="12"/>
  <c r="I17" i="5"/>
  <c r="G10" i="7"/>
  <c r="H9" i="7"/>
  <c r="I9" i="7"/>
  <c r="J9" i="7" s="1"/>
  <c r="G19" i="5"/>
  <c r="H18" i="5"/>
  <c r="I18" i="5" s="1"/>
  <c r="J18" i="5"/>
  <c r="K18" i="5" s="1"/>
  <c r="Q11" i="12"/>
  <c r="R11" i="12"/>
  <c r="J12" i="12" l="1"/>
  <c r="K12" i="12" s="1"/>
  <c r="J19" i="5"/>
  <c r="K19" i="5" s="1"/>
  <c r="G20" i="5"/>
  <c r="H19" i="5"/>
  <c r="I19" i="5" s="1"/>
  <c r="G11" i="7"/>
  <c r="H10" i="7"/>
  <c r="I10" i="7" s="1"/>
  <c r="J10" i="7" s="1"/>
  <c r="R12" i="12"/>
  <c r="H13" i="12"/>
  <c r="O13" i="12" s="1"/>
  <c r="J13" i="12" l="1"/>
  <c r="K13" i="12" s="1"/>
  <c r="H11" i="7"/>
  <c r="I11" i="7"/>
  <c r="J11" i="7" s="1"/>
  <c r="G12" i="7"/>
  <c r="J20" i="5"/>
  <c r="K20" i="5" s="1"/>
  <c r="G21" i="5"/>
  <c r="H20" i="5"/>
  <c r="Q13" i="12"/>
  <c r="R13" i="12"/>
  <c r="H14" i="12"/>
  <c r="O14" i="12" s="1"/>
  <c r="J14" i="12" l="1"/>
  <c r="K14" i="12" s="1"/>
  <c r="I20" i="5"/>
  <c r="G13" i="7"/>
  <c r="H12" i="7"/>
  <c r="I12" i="7" s="1"/>
  <c r="J12" i="7" s="1"/>
  <c r="J21" i="5"/>
  <c r="K21" i="5" s="1"/>
  <c r="H21" i="5"/>
  <c r="I21" i="5" s="1"/>
  <c r="G22" i="5"/>
  <c r="Q14" i="12"/>
  <c r="R14" i="12"/>
  <c r="H15" i="12"/>
  <c r="O15" i="12" s="1"/>
  <c r="J15" i="12" l="1"/>
  <c r="K15" i="12" s="1"/>
  <c r="H13" i="7"/>
  <c r="I13" i="7" s="1"/>
  <c r="J13" i="7" s="1"/>
  <c r="G14" i="7"/>
  <c r="J22" i="5"/>
  <c r="K22" i="5" s="1"/>
  <c r="G23" i="5"/>
  <c r="H22" i="5"/>
  <c r="I22" i="5" s="1"/>
  <c r="Q15" i="12"/>
  <c r="R15" i="12"/>
  <c r="H16" i="12"/>
  <c r="O16" i="12" s="1"/>
  <c r="J16" i="12" l="1"/>
  <c r="K16" i="12" s="1"/>
  <c r="H23" i="5"/>
  <c r="I23" i="5" s="1"/>
  <c r="J23" i="5"/>
  <c r="K23" i="5" s="1"/>
  <c r="G24" i="5"/>
  <c r="H14" i="7"/>
  <c r="I14" i="7" s="1"/>
  <c r="J14" i="7" s="1"/>
  <c r="G15" i="7"/>
  <c r="Q16" i="12"/>
  <c r="R16" i="12"/>
  <c r="H17" i="12"/>
  <c r="O17" i="12" s="1"/>
  <c r="J17" i="12" l="1"/>
  <c r="K17" i="12" s="1"/>
  <c r="G16" i="7"/>
  <c r="H15" i="7"/>
  <c r="I15" i="7" s="1"/>
  <c r="J15" i="7" s="1"/>
  <c r="H24" i="5"/>
  <c r="I24" i="5" s="1"/>
  <c r="J24" i="5"/>
  <c r="K24" i="5" s="1"/>
  <c r="B11" i="5" s="1"/>
  <c r="B12" i="5" s="1"/>
  <c r="G25" i="5"/>
  <c r="Q17" i="12"/>
  <c r="R17" i="12"/>
  <c r="H18" i="12"/>
  <c r="O18" i="12" s="1"/>
  <c r="J18" i="12" l="1"/>
  <c r="K18" i="12" s="1"/>
  <c r="G26" i="5"/>
  <c r="H25" i="5"/>
  <c r="I25" i="5" s="1"/>
  <c r="J25" i="5"/>
  <c r="K25" i="5" s="1"/>
  <c r="H16" i="7"/>
  <c r="I16" i="7"/>
  <c r="J16" i="7" s="1"/>
  <c r="G17" i="7"/>
  <c r="Q18" i="12"/>
  <c r="R18" i="12"/>
  <c r="H19" i="12"/>
  <c r="O19" i="12" s="1"/>
  <c r="J19" i="12" l="1"/>
  <c r="K19" i="12" s="1"/>
  <c r="H17" i="7"/>
  <c r="I17" i="7" s="1"/>
  <c r="J17" i="7" s="1"/>
  <c r="G18" i="7"/>
  <c r="G27" i="5"/>
  <c r="H26" i="5"/>
  <c r="I26" i="5" s="1"/>
  <c r="J26" i="5"/>
  <c r="K26" i="5" s="1"/>
  <c r="Q19" i="12"/>
  <c r="R19" i="12"/>
  <c r="H20" i="12"/>
  <c r="H30" i="11" l="1"/>
  <c r="G30" i="11"/>
  <c r="E4" i="12"/>
  <c r="J20" i="12"/>
  <c r="K20" i="12" s="1"/>
  <c r="O20" i="12"/>
  <c r="J27" i="5"/>
  <c r="K27" i="5" s="1"/>
  <c r="G28" i="5"/>
  <c r="H27" i="5"/>
  <c r="I27" i="5" s="1"/>
  <c r="G19" i="7"/>
  <c r="H18" i="7"/>
  <c r="I18" i="7" s="1"/>
  <c r="J18" i="7" s="1"/>
  <c r="Q20" i="12"/>
  <c r="R20" i="12"/>
  <c r="H21" i="12"/>
  <c r="O21" i="12" s="1"/>
  <c r="F4" i="12" l="1"/>
  <c r="J21" i="12"/>
  <c r="K21" i="12" s="1"/>
  <c r="G29" i="5"/>
  <c r="H28" i="5"/>
  <c r="I28" i="5" s="1"/>
  <c r="J28" i="5"/>
  <c r="K28" i="5" s="1"/>
  <c r="H19" i="7"/>
  <c r="I19" i="7"/>
  <c r="J19" i="7" s="1"/>
  <c r="G20" i="7"/>
  <c r="Q21" i="12"/>
  <c r="R21" i="12"/>
  <c r="H22" i="12"/>
  <c r="O22" i="12" s="1"/>
  <c r="J22" i="12" l="1"/>
  <c r="K22" i="12" s="1"/>
  <c r="N4" i="12"/>
  <c r="N5" i="12" s="1"/>
  <c r="N6" i="12" s="1"/>
  <c r="N7" i="12" s="1"/>
  <c r="N8" i="12" s="1"/>
  <c r="N9" i="12" s="1"/>
  <c r="N10" i="12" s="1"/>
  <c r="N11" i="12" s="1"/>
  <c r="N12" i="12" s="1"/>
  <c r="N13" i="12" s="1"/>
  <c r="N14" i="12" s="1"/>
  <c r="N15" i="12" s="1"/>
  <c r="N16" i="12" s="1"/>
  <c r="N17" i="12" s="1"/>
  <c r="N18" i="12" s="1"/>
  <c r="N19" i="12" s="1"/>
  <c r="N20" i="12" s="1"/>
  <c r="N21" i="12" s="1"/>
  <c r="N22" i="12" s="1"/>
  <c r="M4" i="12"/>
  <c r="G21" i="7"/>
  <c r="H20" i="7"/>
  <c r="I20" i="7" s="1"/>
  <c r="J20" i="7" s="1"/>
  <c r="J29" i="5"/>
  <c r="K29" i="5" s="1"/>
  <c r="H29" i="5"/>
  <c r="Q22" i="12"/>
  <c r="R22" i="12"/>
  <c r="H23" i="12"/>
  <c r="O23" i="12" s="1"/>
  <c r="J23" i="12" l="1"/>
  <c r="K23" i="12" s="1"/>
  <c r="P4" i="12"/>
  <c r="S4" i="12" s="1"/>
  <c r="T4" i="12" s="1"/>
  <c r="M5" i="12"/>
  <c r="N23" i="12"/>
  <c r="I29" i="5"/>
  <c r="B13" i="5"/>
  <c r="H21" i="7"/>
  <c r="I21" i="7" s="1"/>
  <c r="J21" i="7" s="1"/>
  <c r="G22" i="7"/>
  <c r="Q23" i="12"/>
  <c r="R23" i="12"/>
  <c r="H24" i="12"/>
  <c r="O24" i="12" s="1"/>
  <c r="J24" i="12" l="1"/>
  <c r="K24" i="12" s="1"/>
  <c r="P5" i="12"/>
  <c r="S5" i="12" s="1"/>
  <c r="T5" i="12" s="1"/>
  <c r="M6" i="12"/>
  <c r="P6" i="12" s="1"/>
  <c r="N24" i="12"/>
  <c r="H22" i="7"/>
  <c r="I22" i="7" s="1"/>
  <c r="J22" i="7" s="1"/>
  <c r="G23" i="7"/>
  <c r="Q24" i="12"/>
  <c r="R24" i="12"/>
  <c r="H25" i="12"/>
  <c r="O25" i="12" s="1"/>
  <c r="J25" i="12" l="1"/>
  <c r="K25" i="12" s="1"/>
  <c r="M7" i="12"/>
  <c r="S6" i="12"/>
  <c r="T6" i="12" s="1"/>
  <c r="N25" i="12"/>
  <c r="G24" i="7"/>
  <c r="H23" i="7"/>
  <c r="I23" i="7" s="1"/>
  <c r="J23" i="7" s="1"/>
  <c r="Q25" i="12"/>
  <c r="R25" i="12"/>
  <c r="H26" i="12"/>
  <c r="O26" i="12" s="1"/>
  <c r="J26" i="12" l="1"/>
  <c r="K26" i="12" s="1"/>
  <c r="M8" i="12"/>
  <c r="P8" i="12" s="1"/>
  <c r="P7" i="12"/>
  <c r="S7" i="12" s="1"/>
  <c r="T7" i="12" s="1"/>
  <c r="N26" i="12"/>
  <c r="H24" i="7"/>
  <c r="I24" i="7" s="1"/>
  <c r="J24" i="7" s="1"/>
  <c r="G25" i="7"/>
  <c r="Q26" i="12"/>
  <c r="R26" i="12"/>
  <c r="H27" i="12"/>
  <c r="O27" i="12" s="1"/>
  <c r="J27" i="12" l="1"/>
  <c r="K27" i="12" s="1"/>
  <c r="S8" i="12"/>
  <c r="T8" i="12" s="1"/>
  <c r="M9" i="12"/>
  <c r="N27" i="12"/>
  <c r="G26" i="7"/>
  <c r="H25" i="7"/>
  <c r="I25" i="7" s="1"/>
  <c r="J25" i="7" s="1"/>
  <c r="Q27" i="12"/>
  <c r="R27" i="12"/>
  <c r="H28" i="12"/>
  <c r="O28" i="12" s="1"/>
  <c r="P9" i="12" l="1"/>
  <c r="S9" i="12" s="1"/>
  <c r="T9" i="12" s="1"/>
  <c r="M10" i="12"/>
  <c r="J28" i="12"/>
  <c r="K28" i="12" s="1"/>
  <c r="N28" i="12"/>
  <c r="G27" i="7"/>
  <c r="H26" i="7"/>
  <c r="I26" i="7" s="1"/>
  <c r="J26" i="7" s="1"/>
  <c r="Q28" i="12"/>
  <c r="R28" i="12"/>
  <c r="H29" i="12"/>
  <c r="O29" i="12" s="1"/>
  <c r="P10" i="12" l="1"/>
  <c r="S10" i="12" s="1"/>
  <c r="T10" i="12" s="1"/>
  <c r="M11" i="12"/>
  <c r="J29" i="12"/>
  <c r="K29" i="12" s="1"/>
  <c r="N29" i="12"/>
  <c r="H27" i="7"/>
  <c r="I27" i="7" s="1"/>
  <c r="J27" i="7" s="1"/>
  <c r="G28" i="7"/>
  <c r="R29" i="12"/>
  <c r="H30" i="12"/>
  <c r="O30" i="12" s="1"/>
  <c r="Q29" i="12"/>
  <c r="M12" i="12" l="1"/>
  <c r="P11" i="12"/>
  <c r="S11" i="12" s="1"/>
  <c r="T11" i="12" s="1"/>
  <c r="J30" i="12"/>
  <c r="K30" i="12" s="1"/>
  <c r="N30" i="12"/>
  <c r="H28" i="7"/>
  <c r="I28" i="7" s="1"/>
  <c r="J28" i="7" s="1"/>
  <c r="G29" i="7"/>
  <c r="Q30" i="12"/>
  <c r="H31" i="12"/>
  <c r="O31" i="12" s="1"/>
  <c r="R30" i="12"/>
  <c r="P12" i="12" l="1"/>
  <c r="M13" i="12"/>
  <c r="J31" i="12"/>
  <c r="K31" i="12" s="1"/>
  <c r="N31" i="12"/>
  <c r="H32" i="12"/>
  <c r="O32" i="12" s="1"/>
  <c r="H29" i="7"/>
  <c r="I29" i="7" s="1"/>
  <c r="J29" i="7" s="1"/>
  <c r="B11" i="7" s="1"/>
  <c r="B12" i="7" s="1"/>
  <c r="Q31" i="12"/>
  <c r="R31" i="12"/>
  <c r="S12" i="12" l="1"/>
  <c r="T12" i="12" s="1"/>
  <c r="P13" i="12"/>
  <c r="S13" i="12" s="1"/>
  <c r="T13" i="12" s="1"/>
  <c r="M14" i="12"/>
  <c r="J32" i="12"/>
  <c r="K32" i="12" s="1"/>
  <c r="R32" i="12"/>
  <c r="Q32" i="12"/>
  <c r="H33" i="12"/>
  <c r="O33" i="12" s="1"/>
  <c r="N32" i="12"/>
  <c r="M15" i="12" l="1"/>
  <c r="P14" i="12"/>
  <c r="S14" i="12" s="1"/>
  <c r="T14" i="12" s="1"/>
  <c r="J33" i="12"/>
  <c r="K33" i="12" s="1"/>
  <c r="H34" i="12"/>
  <c r="O34" i="12" s="1"/>
  <c r="R33" i="12"/>
  <c r="Q33" i="12"/>
  <c r="N33" i="12"/>
  <c r="P15" i="12" l="1"/>
  <c r="S15" i="12" s="1"/>
  <c r="T15" i="12" s="1"/>
  <c r="M16" i="12"/>
  <c r="J34" i="12"/>
  <c r="K34" i="12" s="1"/>
  <c r="H35" i="12"/>
  <c r="O35" i="12" s="1"/>
  <c r="R34" i="12"/>
  <c r="N34" i="12"/>
  <c r="Q34" i="12"/>
  <c r="P16" i="12" l="1"/>
  <c r="S16" i="12" s="1"/>
  <c r="T16" i="12" s="1"/>
  <c r="M17" i="12"/>
  <c r="J35" i="12"/>
  <c r="K35" i="12" s="1"/>
  <c r="R35" i="12"/>
  <c r="Q35" i="12"/>
  <c r="N35" i="12"/>
  <c r="H36" i="12"/>
  <c r="O36" i="12" s="1"/>
  <c r="P17" i="12" l="1"/>
  <c r="S17" i="12" s="1"/>
  <c r="T17" i="12" s="1"/>
  <c r="M18" i="12"/>
  <c r="J36" i="12"/>
  <c r="K36" i="12" s="1"/>
  <c r="R36" i="12"/>
  <c r="Q36" i="12"/>
  <c r="N36" i="12"/>
  <c r="P18" i="12" l="1"/>
  <c r="S18" i="12" s="1"/>
  <c r="T18" i="12" s="1"/>
  <c r="M19" i="12"/>
  <c r="M20" i="12" l="1"/>
  <c r="P19" i="12"/>
  <c r="S19" i="12" s="1"/>
  <c r="T19" i="12" s="1"/>
  <c r="P20" i="12" l="1"/>
  <c r="S20" i="12" s="1"/>
  <c r="T20" i="12" s="1"/>
  <c r="M21" i="12"/>
  <c r="M22" i="12" l="1"/>
  <c r="P21" i="12"/>
  <c r="S21" i="12" s="1"/>
  <c r="T21" i="12" s="1"/>
  <c r="M23" i="12" l="1"/>
  <c r="P22" i="12"/>
  <c r="S22" i="12" s="1"/>
  <c r="T22" i="12" s="1"/>
  <c r="M24" i="12" l="1"/>
  <c r="P23" i="12"/>
  <c r="S23" i="12" s="1"/>
  <c r="T23" i="12" s="1"/>
  <c r="P24" i="12" l="1"/>
  <c r="S24" i="12" s="1"/>
  <c r="T24" i="12" s="1"/>
  <c r="M25" i="12"/>
  <c r="P25" i="12" l="1"/>
  <c r="S25" i="12" s="1"/>
  <c r="T25" i="12" s="1"/>
  <c r="M26" i="12"/>
  <c r="M27" i="12" l="1"/>
  <c r="P26" i="12"/>
  <c r="S26" i="12" s="1"/>
  <c r="T26" i="12" s="1"/>
  <c r="P27" i="12" l="1"/>
  <c r="S27" i="12" s="1"/>
  <c r="T27" i="12" s="1"/>
  <c r="M28" i="12"/>
  <c r="P28" i="12" l="1"/>
  <c r="S28" i="12" s="1"/>
  <c r="T28" i="12" s="1"/>
  <c r="M29" i="12"/>
  <c r="P29" i="12" l="1"/>
  <c r="S29" i="12" s="1"/>
  <c r="T29" i="12" s="1"/>
  <c r="M30" i="12"/>
  <c r="P30" i="12" l="1"/>
  <c r="S30" i="12" s="1"/>
  <c r="T30" i="12" s="1"/>
  <c r="M31" i="12"/>
  <c r="P31" i="12" l="1"/>
  <c r="S31" i="12" s="1"/>
  <c r="T31" i="12" s="1"/>
  <c r="M32" i="12"/>
  <c r="P32" i="12" l="1"/>
  <c r="S32" i="12" s="1"/>
  <c r="T32" i="12" s="1"/>
  <c r="M33" i="12"/>
  <c r="P33" i="12" l="1"/>
  <c r="S33" i="12" s="1"/>
  <c r="T33" i="12" s="1"/>
  <c r="M34" i="12"/>
  <c r="P34" i="12" l="1"/>
  <c r="S34" i="12" s="1"/>
  <c r="T34" i="12" s="1"/>
  <c r="M35" i="12"/>
  <c r="P35" i="12" l="1"/>
  <c r="S35" i="12" s="1"/>
  <c r="T35" i="12" s="1"/>
  <c r="M36" i="12"/>
  <c r="P36" i="12" s="1"/>
  <c r="S36" i="12" s="1"/>
  <c r="T36" i="12" s="1"/>
  <c r="T37" i="12" l="1"/>
  <c r="C43" i="11" s="1"/>
</calcChain>
</file>

<file path=xl/sharedStrings.xml><?xml version="1.0" encoding="utf-8"?>
<sst xmlns="http://schemas.openxmlformats.org/spreadsheetml/2006/main" count="318" uniqueCount="248">
  <si>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</si>
  <si>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</si>
  <si>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</si>
  <si>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</si>
  <si>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</si>
  <si>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</si>
  <si>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</si>
  <si>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</si>
  <si>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</si>
  <si>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</si>
  <si>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</si>
  <si>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</si>
  <si>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</si>
  <si>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</si>
  <si>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</si>
  <si>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</si>
  <si>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</si>
  <si>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</si>
  <si>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</si>
  <si>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</si>
  <si>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</si>
  <si>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</si>
  <si>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</si>
  <si>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</si>
  <si>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</si>
  <si>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</si>
  <si>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</si>
  <si>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</si>
  <si>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</si>
  <si>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</si>
  <si>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</si>
  <si>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</si>
  <si>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</si>
  <si>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</si>
  <si>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</si>
  <si>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</si>
  <si>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</si>
  <si>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</si>
  <si>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</si>
  <si>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</si>
  <si>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</si>
  <si>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</si>
  <si>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</si>
  <si>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</si>
  <si>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</si>
  <si>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</si>
  <si>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</si>
  <si>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</si>
  <si>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</si>
  <si>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</si>
  <si>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</si>
  <si>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</si>
  <si>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</si>
  <si>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</si>
  <si>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</si>
  <si>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</si>
  <si>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</si>
  <si>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</si>
  <si>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</si>
  <si>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</si>
  <si>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</si>
  <si>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</si>
  <si>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</si>
  <si>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</si>
  <si>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</si>
  <si>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Application ID Number:</t>
  </si>
  <si>
    <t>Use in Analysis?</t>
  </si>
  <si>
    <t>Demand Growth</t>
  </si>
  <si>
    <t>Benefit Cap</t>
  </si>
  <si>
    <t>Real wage growth rate</t>
  </si>
  <si>
    <t>n/a</t>
  </si>
  <si>
    <t>Benefit Results</t>
  </si>
  <si>
    <t>INPUTS</t>
  </si>
  <si>
    <t>OUTPUTS</t>
  </si>
  <si>
    <t>Value of Time</t>
  </si>
  <si>
    <t>NPV @ 7% ($ 000')</t>
  </si>
  <si>
    <t>Daily Travel Demand</t>
  </si>
  <si>
    <t>VHT Improvements</t>
  </si>
  <si>
    <t>Project Title:</t>
  </si>
  <si>
    <t>County</t>
  </si>
  <si>
    <t>Facility Type</t>
  </si>
  <si>
    <t>Limits (From)</t>
  </si>
  <si>
    <t>Limits (To)</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</si>
  <si>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</si>
  <si>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</si>
  <si>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</si>
  <si>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</si>
  <si>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</si>
  <si>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</si>
  <si>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</si>
  <si>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</si>
  <si>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</si>
  <si>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</si>
  <si>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</si>
  <si>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</si>
  <si>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</si>
  <si>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</si>
  <si>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Within Service life</t>
  </si>
  <si>
    <t>Proposed Improvements Information</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</si>
  <si>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</si>
  <si>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</si>
  <si>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</si>
  <si>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</si>
  <si>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</si>
  <si>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</si>
  <si>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</si>
  <si>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</si>
  <si>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</si>
  <si>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</si>
  <si>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</si>
  <si>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</si>
  <si>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</si>
  <si>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</si>
  <si>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</si>
  <si>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</si>
  <si>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</si>
  <si>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</si>
  <si>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</si>
  <si>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</si>
  <si>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</si>
  <si>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</si>
  <si>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</si>
  <si>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</si>
  <si>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</si>
  <si>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</si>
  <si>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</si>
  <si>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</si>
  <si>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</si>
  <si>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</si>
  <si>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</si>
  <si>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</si>
  <si>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</si>
  <si>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</si>
  <si>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</si>
  <si>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</si>
  <si>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</si>
  <si>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</si>
  <si>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</si>
  <si>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</si>
  <si>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</si>
  <si>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</si>
  <si>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</si>
  <si>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</si>
  <si>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</si>
  <si>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</si>
  <si>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</si>
  <si>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</si>
  <si>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</si>
  <si>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</si>
  <si>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</si>
  <si>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</si>
  <si>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</si>
  <si>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</si>
  <si>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</si>
  <si>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</si>
  <si>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</si>
  <si>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</si>
  <si>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</si>
  <si>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</si>
  <si>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</si>
  <si>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</si>
  <si>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</si>
  <si>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</si>
  <si>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</si>
  <si>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</si>
  <si>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</si>
  <si>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Estimated Delay Reduction Local Max</t>
  </si>
  <si>
    <t>Estimated Delay Reduction Local</t>
  </si>
  <si>
    <t>Estimated Delay Reduction Region Max</t>
  </si>
  <si>
    <t>Estimated Delay Reduction Region</t>
  </si>
  <si>
    <t>Brazoria</t>
  </si>
  <si>
    <t>Chambers</t>
  </si>
  <si>
    <t>Fort Bend</t>
  </si>
  <si>
    <t>Harris</t>
  </si>
  <si>
    <t>Liberty</t>
  </si>
  <si>
    <t>Montgomery</t>
  </si>
  <si>
    <t>Waller</t>
  </si>
  <si>
    <t>Facility Types</t>
  </si>
  <si>
    <t>Freeway</t>
  </si>
  <si>
    <t>Non Freeway</t>
  </si>
  <si>
    <t>Peak Period Volume</t>
  </si>
  <si>
    <t>Estimated Delay Reductions (in %)</t>
  </si>
  <si>
    <t>Peak Period VHT build</t>
  </si>
  <si>
    <t>Peak Period VHT nobuild</t>
  </si>
  <si>
    <t>Data populated/calculated based on inputs</t>
  </si>
  <si>
    <t>Galveston</t>
  </si>
  <si>
    <t>Percentage of ADT in Peak Period Traffic ((6am - 9am) + (3pm - 7pm))</t>
  </si>
  <si>
    <t>Estimated Delay Reductions Table</t>
  </si>
  <si>
    <t>Peak Period Traffic Volume in Year Open to Traffic</t>
  </si>
  <si>
    <t>Interim Calculations for Delay Reductions</t>
  </si>
  <si>
    <t>2021 Call For Projects - Benefit-Cost Analysis Assumptions*</t>
  </si>
  <si>
    <t>Value of Travel Time, TIGER BCA Resource Guide (2021)</t>
  </si>
  <si>
    <t>2019 $ per person-hour)</t>
  </si>
  <si>
    <t>2021 $ per person-hour)</t>
  </si>
  <si>
    <t>2030-2045 Demand Growth</t>
  </si>
  <si>
    <t>Federal Functional class</t>
  </si>
  <si>
    <t>Funtional class</t>
  </si>
  <si>
    <t>Interstate</t>
  </si>
  <si>
    <t>Principal Arterial - (Other Freeways and Expressways)</t>
  </si>
  <si>
    <t>Principal Arterial - Other</t>
  </si>
  <si>
    <t>Minor Arterial</t>
  </si>
  <si>
    <t>Major Collector</t>
  </si>
  <si>
    <t>Minor Collector</t>
  </si>
  <si>
    <t>Street Name/Location:</t>
  </si>
  <si>
    <t>Annual Days of Travel*</t>
  </si>
  <si>
    <t>Project Identification/Location</t>
  </si>
  <si>
    <t>NOT FOR ACTIVE TRANSPORTATION PROJECTS</t>
  </si>
  <si>
    <t>Person Trips by Purpose, H-GAC Regional Travel Demand Model</t>
  </si>
  <si>
    <t xml:space="preserve">Estimate Average Delay without project </t>
  </si>
  <si>
    <t>Per Veh In hours</t>
  </si>
  <si>
    <t>Per Veh In minutes</t>
  </si>
  <si>
    <t>Estimated Free Flow Speed before improvement (mph)</t>
  </si>
  <si>
    <t>Average Peak Period Corridor Speed before improvement (mph)</t>
  </si>
  <si>
    <r>
      <t xml:space="preserve">Year Open to Traffic? </t>
    </r>
    <r>
      <rPr>
        <b/>
        <sz val="11"/>
        <color theme="1"/>
        <rFont val="Calibri"/>
        <family val="2"/>
        <scheme val="minor"/>
      </rPr>
      <t>(Must be &gt;=2025)</t>
    </r>
  </si>
  <si>
    <t>*Annual Days of Travel = 365</t>
  </si>
  <si>
    <t>Estimated Delay Reduction</t>
  </si>
  <si>
    <t>MPOID/CSJ #</t>
  </si>
  <si>
    <t>2021 Peak Period Traffic Volume</t>
  </si>
  <si>
    <t>Discounted Delay Benefits @ 7% (2021 $, '000s)</t>
  </si>
  <si>
    <t>Estimated Free Flow Travel Time</t>
  </si>
  <si>
    <t xml:space="preserve">Estimated Average Peak Period Travel Time without project </t>
  </si>
  <si>
    <t>Value of Travel Time (VoTT), 2021 $</t>
  </si>
  <si>
    <t xml:space="preserve">Annual VHT in Year Open to Traffic </t>
  </si>
  <si>
    <t>2021-2030 Demand Growth</t>
  </si>
  <si>
    <t>Percentage gain in Wages (2019-2021)</t>
  </si>
  <si>
    <t>Project Length or One-way tranist vehicle trip length (in Miles)</t>
  </si>
  <si>
    <t>2021 Traffic Volume (AADT)</t>
  </si>
  <si>
    <t>Value of VHT (cell B5 Savings ($ 000')</t>
  </si>
  <si>
    <t>Estimated Delay with project 1</t>
  </si>
  <si>
    <t>Estimated Average Peak Travel Time with project 1</t>
  </si>
  <si>
    <t>Estimated Average Peak Travel Time with project 2</t>
  </si>
  <si>
    <t>Estimated Delay with project 1 &amp; 2</t>
  </si>
  <si>
    <t>Estimated Delay with projects 1, 2 &amp; 3</t>
  </si>
  <si>
    <t>Estimated Average Peak Travel Time with projects 1, 2 &amp; 3</t>
  </si>
  <si>
    <t>Growth Rate</t>
  </si>
  <si>
    <t>2023-2030</t>
  </si>
  <si>
    <t>2030-2045</t>
  </si>
  <si>
    <t>Type of Improvement 1</t>
  </si>
  <si>
    <t>Type of Improvement 2</t>
  </si>
  <si>
    <t>Type of Improvement 3</t>
  </si>
  <si>
    <t>Peak period VHT In year open to traffic in hours</t>
  </si>
  <si>
    <t>County Name</t>
  </si>
  <si>
    <t>2021 Peak Period AADT</t>
  </si>
  <si>
    <t>Peak Period AADT in Year Open to Traffic</t>
  </si>
  <si>
    <t>Sheldon Road (north)</t>
  </si>
  <si>
    <t>Sheldon Road</t>
  </si>
  <si>
    <t>US90</t>
  </si>
  <si>
    <t>Sheldon Ridge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</si>
</sst>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
      <b/>
      <u/>
      <sz val="11"/>
      <color theme="1"/>
      <name val="Calibri"/>
      <family val="2"/>
      <scheme val="minor"/>
    </font>
  </fonts>
  <fills count="19">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theme="0"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78">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2" fontId="0" fillId="0" borderId="0" xfId="0" applyNumberFormat="1"/>
    <xf numFmtId="0" fontId="0" fillId="0" borderId="0" xfId="0" applyNumberFormat="1"/>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8" fontId="0" fillId="0" borderId="0" xfId="0" applyNumberFormat="1"/>
    <xf numFmtId="0" fontId="3" fillId="14" borderId="1" xfId="0" applyFont="1" applyFill="1" applyBorder="1" applyAlignment="1">
      <alignment horizontal="left" vertical="center" wrapText="1"/>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9" fontId="0" fillId="0" borderId="1" xfId="0" applyNumberFormat="1" applyBorder="1"/>
    <xf numFmtId="9" fontId="0" fillId="0" borderId="1" xfId="0" applyNumberFormat="1" applyFont="1" applyBorder="1" applyAlignment="1">
      <alignment horizontal="center"/>
    </xf>
    <xf numFmtId="3" fontId="0" fillId="17" borderId="1" xfId="0" applyNumberFormat="1" applyFill="1" applyBorder="1" applyAlignment="1" applyProtection="1">
      <alignment horizontal="center" vertical="center"/>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9" fillId="0" borderId="0" xfId="0" applyFont="1" applyFill="1" applyBorder="1" applyAlignment="1" applyProtection="1">
      <alignment vertical="center" wrapText="1"/>
      <protection locked="0"/>
    </xf>
    <xf numFmtId="0" fontId="0" fillId="17" borderId="1" xfId="0" applyFill="1" applyBorder="1" applyAlignment="1" applyProtection="1">
      <alignment vertical="center"/>
      <protection locked="0"/>
    </xf>
    <xf numFmtId="0" fontId="3" fillId="14" borderId="3" xfId="0" applyFont="1" applyFill="1" applyBorder="1" applyAlignment="1">
      <alignment horizontal="left" vertical="center" wrapText="1"/>
    </xf>
    <xf numFmtId="44" fontId="3" fillId="0" borderId="0" xfId="2" applyFont="1" applyFill="1"/>
    <xf numFmtId="3" fontId="0" fillId="3" borderId="1" xfId="0" applyNumberFormat="1" applyFill="1" applyBorder="1" applyAlignment="1" applyProtection="1">
      <alignment horizontal="left" vertical="center"/>
      <protection locked="0"/>
    </xf>
    <xf numFmtId="170" fontId="0" fillId="17" borderId="1" xfId="0" applyNumberFormat="1" applyFill="1" applyBorder="1" applyAlignment="1" applyProtection="1">
      <alignment horizontal="center" vertical="center"/>
    </xf>
    <xf numFmtId="170" fontId="0" fillId="17" borderId="1" xfId="0" applyNumberFormat="1" applyFill="1" applyBorder="1" applyAlignment="1" applyProtection="1">
      <alignment horizontal="center" vertical="center" wrapText="1"/>
    </xf>
    <xf numFmtId="44" fontId="0" fillId="2" borderId="0" xfId="0" applyNumberFormat="1" applyFill="1"/>
    <xf numFmtId="0" fontId="0" fillId="3" borderId="1" xfId="0" applyNumberFormat="1" applyFill="1" applyBorder="1" applyAlignment="1" applyProtection="1">
      <alignment horizontal="left" vertical="center"/>
      <protection locked="0"/>
    </xf>
    <xf numFmtId="0" fontId="0" fillId="3" borderId="1" xfId="0" applyFill="1" applyBorder="1" applyAlignment="1" applyProtection="1">
      <alignment horizontal="left" vertical="center" wrapText="1"/>
      <protection locked="0"/>
    </xf>
    <xf numFmtId="9" fontId="0" fillId="17" borderId="1" xfId="0" applyNumberFormat="1" applyFill="1" applyBorder="1" applyAlignment="1" applyProtection="1">
      <alignment horizontal="left" vertical="center"/>
    </xf>
    <xf numFmtId="0" fontId="14" fillId="0" borderId="0" xfId="0" applyFont="1" applyAlignment="1" applyProtection="1">
      <alignment vertical="center"/>
      <protection locked="0"/>
    </xf>
    <xf numFmtId="0" fontId="0" fillId="0" borderId="0" xfId="0" applyAlignment="1" applyProtection="1">
      <alignment horizontal="left" vertical="center"/>
      <protection locked="0"/>
    </xf>
    <xf numFmtId="0" fontId="0" fillId="0" borderId="0" xfId="0" applyAlignment="1" applyProtection="1">
      <alignment vertical="center"/>
      <protection locked="0"/>
    </xf>
    <xf numFmtId="0" fontId="8" fillId="0" borderId="5" xfId="0" applyFont="1" applyBorder="1" applyAlignment="1" applyProtection="1">
      <alignment vertical="center"/>
      <protection locked="0"/>
    </xf>
    <xf numFmtId="0" fontId="0" fillId="0" borderId="5" xfId="0" applyBorder="1" applyAlignment="1" applyProtection="1">
      <alignment horizontal="left" vertical="center"/>
      <protection locked="0"/>
    </xf>
    <xf numFmtId="0" fontId="0" fillId="0" borderId="5" xfId="0" applyBorder="1" applyAlignment="1" applyProtection="1">
      <alignment vertical="center"/>
      <protection locked="0"/>
    </xf>
    <xf numFmtId="0" fontId="0" fillId="0" borderId="0" xfId="0" applyBorder="1" applyAlignment="1" applyProtection="1">
      <alignment vertical="center"/>
      <protection locked="0"/>
    </xf>
    <xf numFmtId="0" fontId="0" fillId="0" borderId="6" xfId="0" applyBorder="1" applyAlignment="1" applyProtection="1">
      <alignment vertical="center"/>
      <protection locked="0"/>
    </xf>
    <xf numFmtId="0" fontId="0" fillId="3" borderId="1" xfId="0" applyFill="1" applyBorder="1" applyAlignment="1" applyProtection="1">
      <alignment vertical="center"/>
      <protection locked="0"/>
    </xf>
    <xf numFmtId="0" fontId="0" fillId="3" borderId="1" xfId="0" applyFill="1" applyBorder="1" applyAlignment="1" applyProtection="1">
      <alignment horizontal="left" vertical="center"/>
      <protection locked="0"/>
    </xf>
    <xf numFmtId="0" fontId="2" fillId="0" borderId="0" xfId="0" applyFont="1" applyFill="1" applyBorder="1" applyAlignment="1" applyProtection="1">
      <alignment vertical="center"/>
      <protection locked="0"/>
    </xf>
    <xf numFmtId="167" fontId="0" fillId="0" borderId="0" xfId="0" applyNumberFormat="1" applyAlignment="1" applyProtection="1">
      <alignment vertical="center"/>
      <protection locked="0"/>
    </xf>
    <xf numFmtId="0" fontId="0" fillId="0" borderId="0" xfId="0" applyFill="1" applyAlignment="1" applyProtection="1">
      <alignment vertical="center"/>
      <protection locked="0"/>
    </xf>
    <xf numFmtId="0" fontId="0" fillId="0" borderId="0" xfId="0" applyFill="1" applyAlignment="1" applyProtection="1">
      <alignment horizontal="left" vertical="center"/>
      <protection locked="0"/>
    </xf>
    <xf numFmtId="0" fontId="2" fillId="16" borderId="1" xfId="0" applyFont="1" applyFill="1" applyBorder="1" applyAlignment="1" applyProtection="1">
      <alignment vertical="center"/>
      <protection locked="0"/>
    </xf>
    <xf numFmtId="170" fontId="0" fillId="0" borderId="0" xfId="0" applyNumberFormat="1" applyAlignment="1" applyProtection="1">
      <alignment vertical="center"/>
      <protection locked="0"/>
    </xf>
    <xf numFmtId="0" fontId="6" fillId="1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center"/>
      <protection locked="0"/>
    </xf>
    <xf numFmtId="0" fontId="0" fillId="5" borderId="1" xfId="0" applyFill="1" applyBorder="1" applyAlignment="1" applyProtection="1">
      <alignment vertical="center"/>
      <protection locked="0"/>
    </xf>
    <xf numFmtId="166" fontId="3" fillId="5" borderId="1" xfId="0" applyNumberFormat="1" applyFont="1" applyFill="1" applyBorder="1" applyAlignment="1" applyProtection="1">
      <alignment horizontal="left" vertical="center"/>
    </xf>
    <xf numFmtId="0" fontId="0" fillId="3" borderId="1" xfId="0" applyFill="1" applyBorder="1" applyAlignment="1" applyProtection="1">
      <alignment vertical="center" wrapText="1"/>
      <protection locked="0"/>
    </xf>
    <xf numFmtId="1" fontId="0" fillId="0" borderId="0" xfId="0" applyNumberFormat="1" applyAlignment="1" applyProtection="1">
      <alignment horizontal="left" vertical="center"/>
      <protection locked="0"/>
    </xf>
    <xf numFmtId="10" fontId="0" fillId="0" borderId="1" xfId="0" applyNumberFormat="1" applyBorder="1" applyAlignment="1">
      <alignment horizontal="center"/>
    </xf>
    <xf numFmtId="10" fontId="0" fillId="0" borderId="1" xfId="0" applyNumberFormat="1" applyBorder="1"/>
    <xf numFmtId="3" fontId="0" fillId="0" borderId="0" xfId="0" applyNumberFormat="1"/>
    <xf numFmtId="10" fontId="0" fillId="0" borderId="0" xfId="0" applyNumberFormat="1" applyAlignment="1">
      <alignment horizontal="center"/>
    </xf>
    <xf numFmtId="2" fontId="0" fillId="17" borderId="1" xfId="0" applyNumberFormat="1" applyFill="1" applyBorder="1" applyAlignment="1" applyProtection="1">
      <alignment horizontal="center" vertical="center"/>
    </xf>
    <xf numFmtId="0" fontId="2" fillId="10" borderId="1" xfId="0" applyFont="1" applyFill="1" applyBorder="1" applyAlignment="1" applyProtection="1">
      <alignment horizontal="left"/>
    </xf>
    <xf numFmtId="0" fontId="0" fillId="10" borderId="0" xfId="0" applyFill="1" applyProtection="1"/>
    <xf numFmtId="0" fontId="6" fillId="10" borderId="1" xfId="0" applyFont="1" applyFill="1" applyBorder="1" applyAlignment="1" applyProtection="1">
      <alignment horizontal="center" wrapText="1"/>
    </xf>
    <xf numFmtId="0" fontId="2" fillId="10" borderId="1" xfId="0" applyFont="1" applyFill="1" applyBorder="1" applyAlignment="1" applyProtection="1">
      <alignment horizontal="center" wrapText="1"/>
    </xf>
    <xf numFmtId="10" fontId="2" fillId="10" borderId="1" xfId="3" applyNumberFormat="1" applyFont="1" applyFill="1" applyBorder="1" applyAlignment="1" applyProtection="1">
      <alignment horizontal="center" wrapText="1"/>
    </xf>
    <xf numFmtId="2" fontId="2" fillId="10" borderId="1" xfId="0" applyNumberFormat="1" applyFont="1" applyFill="1" applyBorder="1" applyAlignment="1" applyProtection="1">
      <alignment horizontal="center" wrapText="1"/>
    </xf>
    <xf numFmtId="0" fontId="2" fillId="10" borderId="1" xfId="0" applyNumberFormat="1" applyFont="1" applyFill="1" applyBorder="1" applyAlignment="1" applyProtection="1">
      <alignment horizontal="center" wrapText="1"/>
    </xf>
    <xf numFmtId="0" fontId="0" fillId="11" borderId="1" xfId="0" applyFill="1" applyBorder="1" applyProtection="1"/>
    <xf numFmtId="0" fontId="0" fillId="11" borderId="1" xfId="0" applyNumberFormat="1" applyFill="1" applyBorder="1" applyProtection="1"/>
    <xf numFmtId="3" fontId="0" fillId="11" borderId="1" xfId="0" applyNumberFormat="1" applyFill="1" applyBorder="1" applyProtection="1"/>
    <xf numFmtId="0" fontId="0" fillId="8" borderId="1" xfId="0" applyFont="1" applyFill="1" applyBorder="1" applyAlignment="1" applyProtection="1">
      <alignment horizontal="center"/>
    </xf>
    <xf numFmtId="10" fontId="0" fillId="14" borderId="1" xfId="3" applyNumberFormat="1" applyFont="1" applyFill="1" applyBorder="1" applyAlignment="1" applyProtection="1">
      <alignment horizontal="center"/>
    </xf>
    <xf numFmtId="2" fontId="0" fillId="14" borderId="1" xfId="0" applyNumberFormat="1" applyFont="1" applyFill="1" applyBorder="1" applyAlignment="1" applyProtection="1">
      <alignment horizontal="center"/>
    </xf>
    <xf numFmtId="0" fontId="0" fillId="14" borderId="1" xfId="0" applyNumberFormat="1" applyFont="1" applyFill="1" applyBorder="1" applyAlignment="1" applyProtection="1">
      <alignment horizontal="center"/>
    </xf>
    <xf numFmtId="3" fontId="0" fillId="8" borderId="1" xfId="0" applyNumberFormat="1" applyFont="1" applyFill="1" applyBorder="1" applyAlignment="1" applyProtection="1">
      <alignment horizontal="center"/>
    </xf>
    <xf numFmtId="166" fontId="0" fillId="14" borderId="1" xfId="2" applyNumberFormat="1" applyFont="1" applyFill="1" applyBorder="1" applyAlignment="1" applyProtection="1">
      <alignment horizontal="center"/>
    </xf>
    <xf numFmtId="166" fontId="0" fillId="15" borderId="1" xfId="0" applyNumberFormat="1" applyFill="1" applyBorder="1" applyAlignment="1" applyProtection="1">
      <alignment horizontal="center"/>
    </xf>
    <xf numFmtId="10" fontId="0" fillId="11" borderId="1" xfId="3" applyNumberFormat="1" applyFont="1" applyFill="1" applyBorder="1" applyProtection="1"/>
    <xf numFmtId="0" fontId="0" fillId="12" borderId="4" xfId="0" applyFill="1" applyBorder="1" applyProtection="1"/>
    <xf numFmtId="0" fontId="0" fillId="9" borderId="1" xfId="0" applyFont="1" applyFill="1" applyBorder="1" applyAlignment="1" applyProtection="1">
      <alignment horizontal="center"/>
    </xf>
    <xf numFmtId="2" fontId="0" fillId="14" borderId="1" xfId="3" applyNumberFormat="1" applyFont="1" applyFill="1" applyBorder="1" applyAlignment="1" applyProtection="1">
      <alignment horizontal="center"/>
    </xf>
    <xf numFmtId="0" fontId="0" fillId="14" borderId="1" xfId="3" applyNumberFormat="1" applyFont="1" applyFill="1" applyBorder="1" applyAlignment="1" applyProtection="1">
      <alignment horizontal="center"/>
    </xf>
    <xf numFmtId="3" fontId="0" fillId="9" borderId="1" xfId="0" applyNumberFormat="1" applyFont="1" applyFill="1" applyBorder="1" applyAlignment="1" applyProtection="1">
      <alignment horizontal="center"/>
    </xf>
    <xf numFmtId="165" fontId="0" fillId="11" borderId="1" xfId="0" applyNumberFormat="1" applyFill="1" applyBorder="1" applyProtection="1"/>
    <xf numFmtId="169" fontId="0" fillId="11" borderId="1" xfId="3" applyNumberFormat="1" applyFont="1" applyFill="1" applyBorder="1" applyProtection="1"/>
    <xf numFmtId="0" fontId="0" fillId="0" borderId="0" xfId="0" applyFill="1" applyBorder="1" applyProtection="1"/>
    <xf numFmtId="10" fontId="0" fillId="0" borderId="0" xfId="3" applyNumberFormat="1" applyFont="1" applyFill="1" applyBorder="1" applyProtection="1"/>
    <xf numFmtId="2" fontId="0" fillId="0" borderId="0" xfId="0" applyNumberFormat="1" applyFill="1" applyBorder="1" applyProtection="1"/>
    <xf numFmtId="9" fontId="0" fillId="11" borderId="1" xfId="0" applyNumberFormat="1" applyFill="1" applyBorder="1" applyProtection="1"/>
    <xf numFmtId="0" fontId="0" fillId="0" borderId="0" xfId="0" applyAlignment="1" applyProtection="1">
      <alignment vertical="top"/>
    </xf>
    <xf numFmtId="0" fontId="0" fillId="0" borderId="1" xfId="0" applyBorder="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65" fontId="0" fillId="0" borderId="1" xfId="2" applyNumberFormat="1" applyFont="1" applyFill="1" applyBorder="1" applyAlignment="1" applyProtection="1">
      <alignment horizontal="center"/>
    </xf>
    <xf numFmtId="10" fontId="0" fillId="0" borderId="0" xfId="3" applyNumberFormat="1" applyFont="1" applyProtection="1"/>
    <xf numFmtId="2" fontId="0" fillId="0" borderId="0" xfId="0" applyNumberFormat="1" applyProtection="1"/>
    <xf numFmtId="0" fontId="0" fillId="0" borderId="0" xfId="0" applyNumberFormat="1" applyProtection="1"/>
    <xf numFmtId="0" fontId="0" fillId="0" borderId="1" xfId="0" applyBorder="1"/>
    <xf numFmtId="0" fontId="3" fillId="14" borderId="1" xfId="0" applyFont="1" applyFill="1" applyBorder="1"/>
    <xf numFmtId="10" fontId="0" fillId="0" borderId="0" xfId="0" applyNumberFormat="1"/>
    <xf numFmtId="3" fontId="0" fillId="0" borderId="1" xfId="0" applyNumberFormat="1" applyBorder="1" applyAlignment="1">
      <alignment horizontal="center" vertical="center"/>
    </xf>
    <xf numFmtId="0" fontId="0" fillId="0" borderId="1" xfId="0" applyBorder="1" applyAlignment="1">
      <alignment wrapText="1"/>
    </xf>
    <xf numFmtId="10" fontId="0" fillId="0" borderId="1" xfId="0" applyNumberFormat="1" applyBorder="1" applyAlignment="1">
      <alignment horizontal="center" vertical="center"/>
    </xf>
    <xf numFmtId="166" fontId="0" fillId="5" borderId="1" xfId="0" applyNumberFormat="1" applyFill="1" applyBorder="1" applyAlignment="1" applyProtection="1">
      <alignment vertical="center"/>
      <protection locked="0"/>
    </xf>
    <xf numFmtId="0" fontId="0" fillId="17" borderId="1" xfId="0" applyFill="1" applyBorder="1" applyAlignment="1" applyProtection="1">
      <alignment horizontal="left" vertical="center" wrapText="1"/>
      <protection locked="0"/>
    </xf>
    <xf numFmtId="0" fontId="0" fillId="17" borderId="1" xfId="0" applyFill="1" applyBorder="1" applyAlignment="1" applyProtection="1">
      <alignment vertical="center" wrapText="1"/>
      <protection locked="0"/>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7" xfId="0" applyFont="1" applyFill="1" applyBorder="1" applyAlignment="1" applyProtection="1">
      <alignment horizontal="center" vertical="center"/>
      <protection locked="0"/>
    </xf>
    <xf numFmtId="0" fontId="2" fillId="4" borderId="5" xfId="0" applyFont="1"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13" fillId="10" borderId="2" xfId="0" applyFont="1" applyFill="1" applyBorder="1" applyAlignment="1" applyProtection="1">
      <alignment horizontal="center" wrapText="1"/>
    </xf>
    <xf numFmtId="0" fontId="13" fillId="10" borderId="3" xfId="0" applyFont="1" applyFill="1" applyBorder="1" applyAlignment="1" applyProtection="1">
      <alignment horizontal="center" wrapText="1"/>
    </xf>
    <xf numFmtId="0" fontId="13" fillId="10" borderId="2" xfId="0" applyFont="1" applyFill="1" applyBorder="1" applyAlignment="1" applyProtection="1">
      <alignment horizontal="left" wrapText="1"/>
    </xf>
    <xf numFmtId="0" fontId="13" fillId="10" borderId="3" xfId="0" applyFont="1" applyFill="1" applyBorder="1" applyAlignment="1" applyProtection="1">
      <alignment horizontal="left" wrapText="1"/>
    </xf>
    <xf numFmtId="0" fontId="0" fillId="0" borderId="0" xfId="0" applyAlignment="1">
      <alignment horizontal="left"/>
    </xf>
    <xf numFmtId="0" fontId="3" fillId="14" borderId="1" xfId="0" applyFont="1" applyFill="1" applyBorder="1" applyAlignment="1">
      <alignment horizontal="center"/>
    </xf>
    <xf numFmtId="0" fontId="2" fillId="18" borderId="5"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2" Type="http://schemas.openxmlformats.org/officeDocument/2006/relationships/hyperlink" Target="https://www.transportation.gov/sites/dot.gov/files/2021-02/Benefit%20Cost%20Analysis%20Guidance%202021.pdf" TargetMode="External"/><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1171</xdr:rowOff>
    </xdr:from>
    <xdr:to>
      <xdr:col>11</xdr:col>
      <xdr:colOff>603739</xdr:colOff>
      <xdr:row>37</xdr:row>
      <xdr:rowOff>158750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85321"/>
          <a:ext cx="10885367" cy="6786979"/>
        </a:xfrm>
        <a:prstGeom prst="rect">
          <a:avLst/>
        </a:prstGeom>
        <a:solidFill>
          <a:schemeClr val="bg1">
            <a:lumMod val="95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Instructions: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Instructions: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On the "Inputs &amp; Outputs" tab, fill in all "blue" shaded sections. Sponsors may request assistance from HGAC to fill in the Daily Travel Demand model information. </a:t>
          </a:r>
        </a:p>
        <a:p>
          <a:endParaRPr lang="en-US" sz="1100" i="1">
            <a:solidFill>
              <a:schemeClr val="dk1"/>
            </a:solidFill>
            <a:effectLst/>
            <a:latin typeface="+mn-lt"/>
            <a:ea typeface="+mn-ea"/>
            <a:cs typeface="+mn-cs"/>
          </a:endParaRPr>
        </a:p>
        <a:p>
          <a:r>
            <a:rPr lang="en-US" sz="1100" i="1">
              <a:solidFill>
                <a:schemeClr val="dk1"/>
              </a:solidFill>
              <a:effectLst/>
              <a:latin typeface="+mn-lt"/>
              <a:ea typeface="+mn-ea"/>
              <a:cs typeface="+mn-cs"/>
            </a:rPr>
            <a:t>Project Information</a:t>
          </a:r>
          <a:r>
            <a:rPr lang="en-US" sz="1100" b="1">
              <a:solidFill>
                <a:schemeClr val="dk1"/>
              </a:solidFill>
              <a:effectLst/>
              <a:latin typeface="+mn-lt"/>
              <a:ea typeface="+mn-ea"/>
              <a:cs typeface="+mn-cs"/>
            </a:rPr>
            <a:t>:</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	Project Title: </a:t>
          </a:r>
          <a:r>
            <a:rPr lang="en-US" sz="1100">
              <a:solidFill>
                <a:schemeClr val="dk1"/>
              </a:solidFill>
              <a:effectLst/>
              <a:latin typeface="+mn-lt"/>
              <a:ea typeface="+mn-ea"/>
              <a:cs typeface="+mn-cs"/>
            </a:rPr>
            <a:t>Enter the proposed project name/title.</a:t>
          </a:r>
        </a:p>
        <a:p>
          <a:r>
            <a:rPr lang="en-US" sz="1100" i="1">
              <a:solidFill>
                <a:schemeClr val="dk1"/>
              </a:solidFill>
              <a:effectLst/>
              <a:latin typeface="+mn-lt"/>
              <a:ea typeface="+mn-ea"/>
              <a:cs typeface="+mn-cs"/>
            </a:rPr>
            <a:t>	County:</a:t>
          </a:r>
          <a:r>
            <a:rPr lang="en-US" sz="1100">
              <a:solidFill>
                <a:schemeClr val="dk1"/>
              </a:solidFill>
              <a:effectLst/>
              <a:latin typeface="+mn-lt"/>
              <a:ea typeface="+mn-ea"/>
              <a:cs typeface="+mn-cs"/>
            </a:rPr>
            <a:t> Select county name from the drop-down list.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If the proposed roadway project is in more than one county, then select the county that contains majority of the 	project area.</a:t>
          </a:r>
        </a:p>
        <a:p>
          <a:r>
            <a:rPr lang="en-US" sz="1100" i="1">
              <a:solidFill>
                <a:schemeClr val="dk1"/>
              </a:solidFill>
              <a:effectLst/>
              <a:latin typeface="+mn-lt"/>
              <a:ea typeface="+mn-ea"/>
              <a:cs typeface="+mn-cs"/>
            </a:rPr>
            <a:t>	Facility Type:</a:t>
          </a:r>
          <a:r>
            <a:rPr lang="en-US" sz="1100">
              <a:solidFill>
                <a:schemeClr val="dk1"/>
              </a:solidFill>
              <a:effectLst/>
              <a:latin typeface="+mn-lt"/>
              <a:ea typeface="+mn-ea"/>
              <a:cs typeface="+mn-cs"/>
            </a:rPr>
            <a:t> Select the facility type of the proposed project from the drop-down list.</a:t>
          </a:r>
        </a:p>
        <a:p>
          <a:r>
            <a:rPr lang="en-US" sz="1100" i="1">
              <a:solidFill>
                <a:schemeClr val="dk1"/>
              </a:solidFill>
              <a:effectLst/>
              <a:latin typeface="+mn-lt"/>
              <a:ea typeface="+mn-ea"/>
              <a:cs typeface="+mn-cs"/>
            </a:rPr>
            <a:t>	Federal Functional Class: </a:t>
          </a:r>
          <a:r>
            <a:rPr lang="en-US" sz="1100">
              <a:solidFill>
                <a:schemeClr val="dk1"/>
              </a:solidFill>
              <a:effectLst/>
              <a:latin typeface="+mn-lt"/>
              <a:ea typeface="+mn-ea"/>
              <a:cs typeface="+mn-cs"/>
            </a:rPr>
            <a:t>Select the federal functional class of the roadway on which the proposed project will be implemented from the drop-down list.</a:t>
          </a:r>
        </a:p>
        <a:p>
          <a:r>
            <a:rPr lang="en-US" sz="1100" i="1">
              <a:solidFill>
                <a:schemeClr val="dk1"/>
              </a:solidFill>
              <a:effectLst/>
              <a:latin typeface="+mn-lt"/>
              <a:ea typeface="+mn-ea"/>
              <a:cs typeface="+mn-cs"/>
            </a:rPr>
            <a:t>	Street Name:</a:t>
          </a:r>
          <a:r>
            <a:rPr lang="en-US" sz="1100">
              <a:solidFill>
                <a:schemeClr val="dk1"/>
              </a:solidFill>
              <a:effectLst/>
              <a:latin typeface="+mn-lt"/>
              <a:ea typeface="+mn-ea"/>
              <a:cs typeface="+mn-cs"/>
            </a:rPr>
            <a:t> Enter name of the facility on which proposed project/improvement is located.  </a:t>
          </a:r>
        </a:p>
        <a:p>
          <a:r>
            <a:rPr lang="en-US" sz="1100" i="1">
              <a:solidFill>
                <a:schemeClr val="dk1"/>
              </a:solidFill>
              <a:effectLst/>
              <a:latin typeface="+mn-lt"/>
              <a:ea typeface="+mn-ea"/>
              <a:cs typeface="+mn-cs"/>
            </a:rPr>
            <a:t>	Limits:</a:t>
          </a:r>
          <a:r>
            <a:rPr lang="en-US" sz="1100">
              <a:solidFill>
                <a:schemeClr val="dk1"/>
              </a:solidFill>
              <a:effectLst/>
              <a:latin typeface="+mn-lt"/>
              <a:ea typeface="+mn-ea"/>
              <a:cs typeface="+mn-cs"/>
            </a:rPr>
            <a:t> Enter name limits from and to.</a:t>
          </a:r>
        </a:p>
        <a:p>
          <a:r>
            <a:rPr lang="en-US" sz="1100" i="1">
              <a:solidFill>
                <a:schemeClr val="dk1"/>
              </a:solidFill>
              <a:effectLst/>
              <a:latin typeface="+mn-lt"/>
              <a:ea typeface="+mn-ea"/>
              <a:cs typeface="+mn-cs"/>
            </a:rPr>
            <a:t>	Project Length:</a:t>
          </a:r>
          <a:r>
            <a:rPr lang="en-US" sz="1100">
              <a:solidFill>
                <a:schemeClr val="dk1"/>
              </a:solidFill>
              <a:effectLst/>
              <a:latin typeface="+mn-lt"/>
              <a:ea typeface="+mn-ea"/>
              <a:cs typeface="+mn-cs"/>
            </a:rPr>
            <a:t> Enter project length in miles.  For point location-based projects such as intersection improvements, interchange construction, highway or railroad grade 	separation projects please use the distance up to next intersection (on either side of the proposed project intersection) or 0.25 miles whichever is lesser in length. </a:t>
          </a:r>
        </a:p>
        <a:p>
          <a:r>
            <a:rPr lang="en-US" sz="1100" i="1">
              <a:solidFill>
                <a:schemeClr val="dk1"/>
              </a:solidFill>
              <a:effectLst/>
              <a:latin typeface="+mn-lt"/>
              <a:ea typeface="+mn-ea"/>
              <a:cs typeface="+mn-cs"/>
            </a:rPr>
            <a:t>	Project Id Number:</a:t>
          </a:r>
          <a:r>
            <a:rPr lang="en-US" sz="1100">
              <a:solidFill>
                <a:schemeClr val="dk1"/>
              </a:solidFill>
              <a:effectLst/>
              <a:latin typeface="+mn-lt"/>
              <a:ea typeface="+mn-ea"/>
              <a:cs typeface="+mn-cs"/>
            </a:rPr>
            <a:t> Please provide online project Id Number.</a:t>
          </a:r>
        </a:p>
        <a:p>
          <a:r>
            <a:rPr lang="en-US" sz="1100" i="1">
              <a:solidFill>
                <a:schemeClr val="dk1"/>
              </a:solidFill>
              <a:effectLst/>
              <a:latin typeface="+mn-lt"/>
              <a:ea typeface="+mn-ea"/>
              <a:cs typeface="+mn-cs"/>
            </a:rPr>
            <a:t>	CSJ Number/MPOID Number:</a:t>
          </a:r>
          <a:r>
            <a:rPr lang="en-US" sz="1100">
              <a:solidFill>
                <a:schemeClr val="dk1"/>
              </a:solidFill>
              <a:effectLst/>
              <a:latin typeface="+mn-lt"/>
              <a:ea typeface="+mn-ea"/>
              <a:cs typeface="+mn-cs"/>
            </a:rPr>
            <a:t> If the proposed project is listed in 2045 RTP or any previous RTPs please provide the MPOID number and CSJ number (if it exists).</a:t>
          </a:r>
        </a:p>
        <a:p>
          <a:r>
            <a:rPr lang="en-US" sz="1100">
              <a:solidFill>
                <a:schemeClr val="dk1"/>
              </a:solidFill>
              <a:effectLst/>
              <a:latin typeface="+mn-lt"/>
              <a:ea typeface="+mn-ea"/>
              <a:cs typeface="+mn-cs"/>
            </a:rPr>
            <a:t> </a:t>
          </a:r>
        </a:p>
        <a:p>
          <a:r>
            <a:rPr lang="en-US" sz="1100" i="1">
              <a:solidFill>
                <a:schemeClr val="dk1"/>
              </a:solidFill>
              <a:effectLst/>
              <a:latin typeface="+mn-lt"/>
              <a:ea typeface="+mn-ea"/>
              <a:cs typeface="+mn-cs"/>
            </a:rPr>
            <a:t> Proposed Improvement Information:</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	Year Open to Traffic Must be &gt;=2025:</a:t>
          </a:r>
          <a:r>
            <a:rPr lang="en-US" sz="1100">
              <a:solidFill>
                <a:schemeClr val="dk1"/>
              </a:solidFill>
              <a:effectLst/>
              <a:latin typeface="+mn-lt"/>
              <a:ea typeface="+mn-ea"/>
              <a:cs typeface="+mn-cs"/>
            </a:rPr>
            <a:t> Select the year Open to Traffic from the drop-down list.</a:t>
          </a:r>
        </a:p>
        <a:p>
          <a:r>
            <a:rPr lang="en-US" sz="1100" i="1">
              <a:solidFill>
                <a:schemeClr val="dk1"/>
              </a:solidFill>
              <a:effectLst/>
              <a:latin typeface="+mn-lt"/>
              <a:ea typeface="+mn-ea"/>
              <a:cs typeface="+mn-cs"/>
            </a:rPr>
            <a:t>	Type of Improvement:</a:t>
          </a:r>
          <a:r>
            <a:rPr lang="en-US" sz="1100">
              <a:solidFill>
                <a:schemeClr val="dk1"/>
              </a:solidFill>
              <a:effectLst/>
              <a:latin typeface="+mn-lt"/>
              <a:ea typeface="+mn-ea"/>
              <a:cs typeface="+mn-cs"/>
            </a:rPr>
            <a:t> Select up to 3 the proposed improvement type from the drop-down list. All improvement types are consistent with “Estimating Congestion Benefits 	of Transportation Projects with Fixit 2.0” (</a:t>
          </a:r>
          <a:r>
            <a:rPr lang="en-US" sz="1100" u="sng">
              <a:solidFill>
                <a:schemeClr val="dk1"/>
              </a:solidFill>
              <a:effectLst/>
              <a:latin typeface="+mn-lt"/>
              <a:ea typeface="+mn-ea"/>
              <a:cs typeface="+mn-cs"/>
              <a:hlinkClick xmlns:r="http://schemas.openxmlformats.org/officeDocument/2006/relationships" r:id=""/>
            </a:rPr>
            <a:t>https://policy.tti.tamu.edu/congestion/estimating-congestion-benefits-of-transportation-projects-with-fixit-2-0/</a:t>
          </a:r>
          <a:r>
            <a:rPr lang="en-US" sz="1100">
              <a:solidFill>
                <a:schemeClr val="dk1"/>
              </a:solidFill>
              <a:effectLst/>
              <a:latin typeface="+mn-lt"/>
              <a:ea typeface="+mn-ea"/>
              <a:cs typeface="+mn-cs"/>
            </a:rPr>
            <a:t>).  </a:t>
          </a:r>
        </a:p>
        <a:p>
          <a:r>
            <a:rPr lang="en-US" sz="1100" i="1">
              <a:solidFill>
                <a:schemeClr val="dk1"/>
              </a:solidFill>
              <a:effectLst/>
              <a:latin typeface="+mn-lt"/>
              <a:ea typeface="+mn-ea"/>
              <a:cs typeface="+mn-cs"/>
            </a:rPr>
            <a:t>	Estimated Delay Reduction Factor: </a:t>
          </a:r>
          <a:r>
            <a:rPr lang="en-US" sz="1100">
              <a:solidFill>
                <a:schemeClr val="dk1"/>
              </a:solidFill>
              <a:effectLst/>
              <a:latin typeface="+mn-lt"/>
              <a:ea typeface="+mn-ea"/>
              <a:cs typeface="+mn-cs"/>
            </a:rPr>
            <a:t>Estimated delay reduction factor associated with the improvement type will be populated based on the improvement type selected in 	cell C19. Delay reductions factors are listed in “Delay Reduction Factors” tab in the template.</a:t>
          </a:r>
        </a:p>
        <a:p>
          <a:r>
            <a:rPr lang="en-US" sz="1100" i="1">
              <a:solidFill>
                <a:schemeClr val="dk1"/>
              </a:solidFill>
              <a:effectLst/>
              <a:latin typeface="+mn-lt"/>
              <a:ea typeface="+mn-ea"/>
              <a:cs typeface="+mn-cs"/>
            </a:rPr>
            <a:t>	Service Life (Years):</a:t>
          </a:r>
          <a:r>
            <a:rPr lang="en-US" sz="1100">
              <a:solidFill>
                <a:schemeClr val="dk1"/>
              </a:solidFill>
              <a:effectLst/>
              <a:latin typeface="+mn-lt"/>
              <a:ea typeface="+mn-ea"/>
              <a:cs typeface="+mn-cs"/>
            </a:rPr>
            <a:t>  Enter the service life associated with the proposed improvement.</a:t>
          </a:r>
        </a:p>
        <a:p>
          <a:endParaRPr lang="en-US" sz="1100" i="1">
            <a:solidFill>
              <a:schemeClr val="dk1"/>
            </a:solidFill>
            <a:effectLst/>
            <a:latin typeface="+mn-lt"/>
            <a:ea typeface="+mn-ea"/>
            <a:cs typeface="+mn-cs"/>
          </a:endParaRPr>
        </a:p>
        <a:p>
          <a:r>
            <a:rPr lang="en-US" sz="1100" i="1">
              <a:solidFill>
                <a:schemeClr val="dk1"/>
              </a:solidFill>
              <a:effectLst/>
              <a:latin typeface="+mn-lt"/>
              <a:ea typeface="+mn-ea"/>
              <a:cs typeface="+mn-cs"/>
            </a:rPr>
            <a:t>Daily Travel Demand:</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	2021 Traffic Volume (AADT):</a:t>
          </a:r>
          <a:r>
            <a:rPr lang="en-US" sz="1100">
              <a:solidFill>
                <a:schemeClr val="dk1"/>
              </a:solidFill>
              <a:effectLst/>
              <a:latin typeface="+mn-lt"/>
              <a:ea typeface="+mn-ea"/>
              <a:cs typeface="+mn-cs"/>
            </a:rPr>
            <a:t> Sponsors may enter the AADT from latest traffic counts available form TxDOT’s traffic count data, or sponsors may choose to collect the traffic 	counts and enter collected traffic count data.</a:t>
          </a:r>
        </a:p>
        <a:p>
          <a:r>
            <a:rPr lang="en-US" sz="1100" i="1">
              <a:solidFill>
                <a:schemeClr val="dk1"/>
              </a:solidFill>
              <a:effectLst/>
              <a:latin typeface="+mn-lt"/>
              <a:ea typeface="+mn-ea"/>
              <a:cs typeface="+mn-cs"/>
            </a:rPr>
            <a:t>	2021 Peak Period Traffic Volume:</a:t>
          </a:r>
          <a:r>
            <a:rPr lang="en-US" sz="1100">
              <a:solidFill>
                <a:schemeClr val="dk1"/>
              </a:solidFill>
              <a:effectLst/>
              <a:latin typeface="+mn-lt"/>
              <a:ea typeface="+mn-ea"/>
              <a:cs typeface="+mn-cs"/>
            </a:rPr>
            <a:t> Please enter 2021 peak period traffic volume data (6AM – 9AM + 3PM – 7PM).  2021 peak period volume data (regional model data) 	provided by H-GAC upon sponsor’s request. </a:t>
          </a:r>
        </a:p>
        <a:p>
          <a:r>
            <a:rPr lang="en-US" sz="1100" i="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Vehicle Hours Traveled (VHT) Improvements:</a:t>
          </a:r>
        </a:p>
        <a:p>
          <a:r>
            <a:rPr lang="en-US" sz="1100" i="1">
              <a:solidFill>
                <a:schemeClr val="dk1"/>
              </a:solidFill>
              <a:effectLst/>
              <a:latin typeface="+mn-lt"/>
              <a:ea typeface="+mn-ea"/>
              <a:cs typeface="+mn-cs"/>
            </a:rPr>
            <a:t>	VHT Without Project</a:t>
          </a:r>
          <a:r>
            <a:rPr lang="en-US" sz="1100">
              <a:solidFill>
                <a:schemeClr val="dk1"/>
              </a:solidFill>
              <a:effectLst/>
              <a:latin typeface="+mn-lt"/>
              <a:ea typeface="+mn-ea"/>
              <a:cs typeface="+mn-cs"/>
            </a:rPr>
            <a:t>: VHT without project is calculated based on peak period volume in year open to traffic and estimated average peak travel time without project value 	calculated.</a:t>
          </a:r>
        </a:p>
        <a:p>
          <a:r>
            <a:rPr lang="en-US" sz="1100">
              <a:solidFill>
                <a:schemeClr val="dk1"/>
              </a:solidFill>
              <a:effectLst/>
              <a:latin typeface="+mn-lt"/>
              <a:ea typeface="+mn-ea"/>
              <a:cs typeface="+mn-cs"/>
            </a:rPr>
            <a:t>	VHT With Project: VHT with project is calculated based on peak period volume in year open to traffic and estimated average peak travel time with project value calculated.</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Results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February 2021. The full resource guide is available online at: https://www.transportation.gov/sites/dot.gov/files/2021-02/Benefit%20Cost%20Analysis%20Guidance%202021.pdf.</a:t>
          </a:r>
          <a:r>
            <a:rPr lang="en-US" sz="1100" baseline="0">
              <a:solidFill>
                <a:schemeClr val="dk1"/>
              </a:solidFill>
              <a:effectLst/>
              <a:latin typeface="+mn-lt"/>
              <a:ea typeface="+mn-ea"/>
              <a:cs typeface="+mn-cs"/>
            </a:rPr>
            <a:t> </a:t>
          </a:r>
          <a:endParaRPr lang="en-US" sz="1050">
            <a:effectLst/>
          </a:endParaRPr>
        </a:p>
        <a:p>
          <a:r>
            <a:rPr lang="en-US" sz="1100">
              <a:effectLst/>
            </a:rPr>
            <a:t>Gain in wages is taken from</a:t>
          </a:r>
          <a:r>
            <a:rPr lang="en-US" sz="1100" baseline="0">
              <a:effectLst/>
            </a:rPr>
            <a:t> the news relase of Southwest Information Office of the  Bureau of Labor Statistics title "Changing Compensateion Costs in the Houston Metropolitan Area " released in December 2020.  the News release can be found at:  </a:t>
          </a:r>
          <a:r>
            <a:rPr lang="en-US" sz="1100" u="sng" baseline="0">
              <a:effectLst/>
            </a:rPr>
            <a:t>https://www.bls.gov/regions/southwest/news-release/employmentcostindex_houston.htm#:~:text=The%20annual%20increase%20in%20total,%2C%20Miami%2C%20and%20Washington).</a:t>
          </a:r>
          <a:endParaRPr lang="en-US" sz="1100" baseline="0">
            <a:effectLst/>
          </a:endParaRP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70" zoomScaleNormal="70" workbookViewId="0">
      <selection activeCell="P18" sqref="P18"/>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47">
        <v>2015</v>
      </c>
      <c r="G4" s="14">
        <f>E4</f>
        <v>2015</v>
      </c>
      <c r="H4" s="14">
        <f>IF(G4&lt;2041,1,0)</f>
        <v>1</v>
      </c>
      <c r="I4" s="23">
        <f>IF($G4&lt;($G$4+$E$5),$E$17,0)*H4</f>
        <v>0</v>
      </c>
      <c r="J4" s="36">
        <f>I4*$B$18*$B$19/10^3</f>
        <v>0</v>
      </c>
    </row>
    <row r="5" spans="1:10" x14ac:dyDescent="0.25">
      <c r="A5" s="7" t="s">
        <v>16</v>
      </c>
      <c r="B5" s="8"/>
      <c r="D5" s="7" t="s">
        <v>42</v>
      </c>
      <c r="E5" s="11">
        <v>10</v>
      </c>
      <c r="G5" s="15">
        <f t="shared" ref="G5:G29" si="0">G4+1</f>
        <v>2016</v>
      </c>
      <c r="H5" s="15">
        <f t="shared" ref="H5:H29" si="1">IF(G5&lt;2041,1,0)</f>
        <v>1</v>
      </c>
      <c r="I5" s="23">
        <f t="shared" ref="I5:I29" si="2">IF($G5&lt;($G$4+$E$5),$E$17,0)*H5</f>
        <v>0</v>
      </c>
      <c r="J5" s="43">
        <f t="shared" ref="J5:J24" si="3">I5*$B$18*$B$19/10^3</f>
        <v>0</v>
      </c>
    </row>
    <row r="6" spans="1:10" x14ac:dyDescent="0.25">
      <c r="A6" s="7" t="s">
        <v>17</v>
      </c>
      <c r="B6" s="8">
        <v>1</v>
      </c>
      <c r="D6" s="163" t="s">
        <v>40</v>
      </c>
      <c r="E6" s="164"/>
      <c r="G6" s="14">
        <f t="shared" si="0"/>
        <v>2017</v>
      </c>
      <c r="H6" s="14">
        <f t="shared" si="1"/>
        <v>1</v>
      </c>
      <c r="I6" s="23">
        <f t="shared" si="2"/>
        <v>0</v>
      </c>
      <c r="J6" s="36">
        <f t="shared" si="3"/>
        <v>0</v>
      </c>
    </row>
    <row r="7" spans="1:10" x14ac:dyDescent="0.25">
      <c r="A7" s="7" t="s">
        <v>53</v>
      </c>
      <c r="B7" s="25"/>
      <c r="D7" s="7" t="s">
        <v>50</v>
      </c>
      <c r="E7" s="11"/>
      <c r="G7" s="15">
        <f t="shared" si="0"/>
        <v>2018</v>
      </c>
      <c r="H7" s="15">
        <f t="shared" si="1"/>
        <v>1</v>
      </c>
      <c r="I7" s="23">
        <f t="shared" si="2"/>
        <v>0</v>
      </c>
      <c r="J7" s="43">
        <f t="shared" si="3"/>
        <v>0</v>
      </c>
    </row>
    <row r="8" spans="1:10" x14ac:dyDescent="0.25">
      <c r="A8" s="24" t="s">
        <v>54</v>
      </c>
      <c r="B8" s="25"/>
      <c r="D8" s="7" t="s">
        <v>48</v>
      </c>
      <c r="E8" s="46">
        <v>1.1499999999999999</v>
      </c>
      <c r="G8" s="14">
        <f t="shared" si="0"/>
        <v>2019</v>
      </c>
      <c r="H8" s="14">
        <f t="shared" si="1"/>
        <v>1</v>
      </c>
      <c r="I8" s="23">
        <f t="shared" si="2"/>
        <v>0</v>
      </c>
      <c r="J8" s="36">
        <f t="shared" si="3"/>
        <v>0</v>
      </c>
    </row>
    <row r="9" spans="1:10" x14ac:dyDescent="0.25">
      <c r="G9" s="15">
        <f t="shared" si="0"/>
        <v>2020</v>
      </c>
      <c r="H9" s="15">
        <f t="shared" si="1"/>
        <v>1</v>
      </c>
      <c r="I9" s="23">
        <f t="shared" si="2"/>
        <v>0</v>
      </c>
      <c r="J9" s="43">
        <f t="shared" si="3"/>
        <v>0</v>
      </c>
    </row>
    <row r="10" spans="1:10" x14ac:dyDescent="0.25">
      <c r="A10" s="13" t="s">
        <v>29</v>
      </c>
      <c r="G10" s="14">
        <f t="shared" si="0"/>
        <v>2021</v>
      </c>
      <c r="H10" s="14">
        <f t="shared" si="1"/>
        <v>1</v>
      </c>
      <c r="I10" s="23">
        <f t="shared" si="2"/>
        <v>0</v>
      </c>
      <c r="J10" s="36">
        <f t="shared" si="3"/>
        <v>0</v>
      </c>
    </row>
    <row r="11" spans="1:10" x14ac:dyDescent="0.25">
      <c r="A11" s="12" t="s">
        <v>51</v>
      </c>
      <c r="B11" s="44">
        <f>NPV($B$17,J4:J29)/(1+$B$17)^(E4-B16+1)</f>
        <v>0</v>
      </c>
      <c r="G11" s="15">
        <f t="shared" si="0"/>
        <v>2022</v>
      </c>
      <c r="H11" s="15">
        <f t="shared" si="1"/>
        <v>1</v>
      </c>
      <c r="I11" s="23">
        <f t="shared" si="2"/>
        <v>0</v>
      </c>
      <c r="J11" s="43">
        <f t="shared" si="3"/>
        <v>0</v>
      </c>
    </row>
    <row r="12" spans="1:10" x14ac:dyDescent="0.25">
      <c r="A12" s="12" t="s">
        <v>28</v>
      </c>
      <c r="B12" s="42" t="e">
        <f>B11/B7</f>
        <v>#DIV/0!</v>
      </c>
      <c r="G12" s="14">
        <f t="shared" si="0"/>
        <v>2023</v>
      </c>
      <c r="H12" s="14">
        <f t="shared" si="1"/>
        <v>1</v>
      </c>
      <c r="I12" s="23">
        <f t="shared" si="2"/>
        <v>0</v>
      </c>
      <c r="J12" s="36">
        <f t="shared" si="3"/>
        <v>0</v>
      </c>
    </row>
    <row r="13" spans="1:10" x14ac:dyDescent="0.25">
      <c r="G13" s="15">
        <f t="shared" si="0"/>
        <v>2024</v>
      </c>
      <c r="H13" s="15">
        <f t="shared" si="1"/>
        <v>1</v>
      </c>
      <c r="I13" s="23">
        <f t="shared" si="2"/>
        <v>0</v>
      </c>
      <c r="J13" s="43">
        <f t="shared" si="3"/>
        <v>0</v>
      </c>
    </row>
    <row r="14" spans="1:10" x14ac:dyDescent="0.25">
      <c r="G14" s="14">
        <f>G13+1</f>
        <v>2025</v>
      </c>
      <c r="H14" s="14">
        <f t="shared" si="1"/>
        <v>1</v>
      </c>
      <c r="I14" s="23">
        <f t="shared" si="2"/>
        <v>0</v>
      </c>
      <c r="J14" s="36">
        <f t="shared" si="3"/>
        <v>0</v>
      </c>
    </row>
    <row r="15" spans="1:10" x14ac:dyDescent="0.25">
      <c r="A15" s="17" t="s">
        <v>11</v>
      </c>
      <c r="G15" s="15">
        <f t="shared" si="0"/>
        <v>2026</v>
      </c>
      <c r="H15" s="15">
        <f t="shared" si="1"/>
        <v>1</v>
      </c>
      <c r="I15" s="23">
        <f t="shared" si="2"/>
        <v>0</v>
      </c>
      <c r="J15" s="43">
        <f t="shared" si="3"/>
        <v>0</v>
      </c>
    </row>
    <row r="16" spans="1:10" x14ac:dyDescent="0.25">
      <c r="A16" s="18" t="s">
        <v>12</v>
      </c>
      <c r="B16" s="28">
        <f>'Assumed Values'!C5</f>
        <v>2021</v>
      </c>
      <c r="D16" s="17" t="s">
        <v>26</v>
      </c>
      <c r="E16" s="26" t="s">
        <v>20</v>
      </c>
      <c r="G16" s="14">
        <f t="shared" si="0"/>
        <v>2027</v>
      </c>
      <c r="H16" s="14">
        <f t="shared" si="1"/>
        <v>1</v>
      </c>
      <c r="I16" s="23">
        <f t="shared" si="2"/>
        <v>0</v>
      </c>
      <c r="J16" s="36">
        <f t="shared" si="3"/>
        <v>0</v>
      </c>
    </row>
    <row r="17" spans="1:10" x14ac:dyDescent="0.25">
      <c r="A17" s="18" t="s">
        <v>13</v>
      </c>
      <c r="B17" s="19">
        <f>'Assumed Values'!C6</f>
        <v>7.0000000000000007E-2</v>
      </c>
      <c r="D17" s="21" t="s">
        <v>49</v>
      </c>
      <c r="E17" s="22">
        <f>E7/E8</f>
        <v>0</v>
      </c>
      <c r="G17" s="15">
        <f t="shared" si="0"/>
        <v>2028</v>
      </c>
      <c r="H17" s="15">
        <f t="shared" si="1"/>
        <v>1</v>
      </c>
      <c r="I17" s="23">
        <f t="shared" si="2"/>
        <v>0</v>
      </c>
      <c r="J17" s="43">
        <f t="shared" si="3"/>
        <v>0</v>
      </c>
    </row>
    <row r="18" spans="1:10" x14ac:dyDescent="0.25">
      <c r="A18" s="18" t="s">
        <v>14</v>
      </c>
      <c r="B18" s="18">
        <f>IF(B6=2,2.1, 1.1)</f>
        <v>1.1000000000000001</v>
      </c>
      <c r="G18" s="14">
        <f t="shared" si="0"/>
        <v>2029</v>
      </c>
      <c r="H18" s="14">
        <f t="shared" si="1"/>
        <v>1</v>
      </c>
      <c r="I18" s="23">
        <f t="shared" si="2"/>
        <v>0</v>
      </c>
      <c r="J18" s="36">
        <f t="shared" si="3"/>
        <v>0</v>
      </c>
    </row>
    <row r="19" spans="1:10" x14ac:dyDescent="0.25">
      <c r="A19" s="18" t="s">
        <v>18</v>
      </c>
      <c r="B19" s="20">
        <f>'Assumed Values'!C9</f>
        <v>20.613287</v>
      </c>
      <c r="G19" s="15">
        <f t="shared" si="0"/>
        <v>2030</v>
      </c>
      <c r="H19" s="15">
        <f t="shared" si="1"/>
        <v>1</v>
      </c>
      <c r="I19" s="23">
        <f t="shared" si="2"/>
        <v>0</v>
      </c>
      <c r="J19" s="43">
        <f t="shared" si="3"/>
        <v>0</v>
      </c>
    </row>
    <row r="20" spans="1:10" x14ac:dyDescent="0.25">
      <c r="A20" s="18" t="s">
        <v>27</v>
      </c>
      <c r="B20" s="18">
        <v>260</v>
      </c>
      <c r="G20" s="14">
        <f t="shared" si="0"/>
        <v>2031</v>
      </c>
      <c r="H20" s="14">
        <f t="shared" si="1"/>
        <v>1</v>
      </c>
      <c r="I20" s="23">
        <f t="shared" si="2"/>
        <v>0</v>
      </c>
      <c r="J20" s="36">
        <f t="shared" si="3"/>
        <v>0</v>
      </c>
    </row>
    <row r="21" spans="1:10" x14ac:dyDescent="0.25">
      <c r="G21" s="15">
        <f t="shared" si="0"/>
        <v>2032</v>
      </c>
      <c r="H21" s="15">
        <f t="shared" si="1"/>
        <v>1</v>
      </c>
      <c r="I21" s="23">
        <f t="shared" si="2"/>
        <v>0</v>
      </c>
      <c r="J21" s="43">
        <f t="shared" si="3"/>
        <v>0</v>
      </c>
    </row>
    <row r="22" spans="1:10" x14ac:dyDescent="0.25">
      <c r="G22" s="14">
        <f t="shared" si="0"/>
        <v>2033</v>
      </c>
      <c r="H22" s="14">
        <f t="shared" si="1"/>
        <v>1</v>
      </c>
      <c r="I22" s="23">
        <f t="shared" si="2"/>
        <v>0</v>
      </c>
      <c r="J22" s="36">
        <f t="shared" si="3"/>
        <v>0</v>
      </c>
    </row>
    <row r="23" spans="1:10" x14ac:dyDescent="0.25">
      <c r="G23" s="15">
        <f t="shared" si="0"/>
        <v>2034</v>
      </c>
      <c r="H23" s="15">
        <f t="shared" si="1"/>
        <v>1</v>
      </c>
      <c r="I23" s="23">
        <f t="shared" si="2"/>
        <v>0</v>
      </c>
      <c r="J23" s="43">
        <f t="shared" si="3"/>
        <v>0</v>
      </c>
    </row>
    <row r="24" spans="1:10" x14ac:dyDescent="0.25">
      <c r="G24" s="14">
        <f t="shared" si="0"/>
        <v>2035</v>
      </c>
      <c r="H24" s="14">
        <f t="shared" si="1"/>
        <v>1</v>
      </c>
      <c r="I24" s="23">
        <f t="shared" si="2"/>
        <v>0</v>
      </c>
      <c r="J24" s="36">
        <f t="shared" si="3"/>
        <v>0</v>
      </c>
    </row>
    <row r="25" spans="1:10" x14ac:dyDescent="0.25">
      <c r="G25" s="15">
        <f t="shared" si="0"/>
        <v>2036</v>
      </c>
      <c r="H25" s="15">
        <f t="shared" si="1"/>
        <v>1</v>
      </c>
      <c r="I25" s="23">
        <f t="shared" si="2"/>
        <v>0</v>
      </c>
      <c r="J25" s="43">
        <f t="shared" ref="J25:J29" si="4">I25*$B$18*$B$19/10^3</f>
        <v>0</v>
      </c>
    </row>
    <row r="26" spans="1:10" x14ac:dyDescent="0.25">
      <c r="G26" s="14">
        <f t="shared" si="0"/>
        <v>2037</v>
      </c>
      <c r="H26" s="14">
        <f t="shared" si="1"/>
        <v>1</v>
      </c>
      <c r="I26" s="23">
        <f t="shared" si="2"/>
        <v>0</v>
      </c>
      <c r="J26" s="36">
        <f t="shared" si="4"/>
        <v>0</v>
      </c>
    </row>
    <row r="27" spans="1:10" x14ac:dyDescent="0.25">
      <c r="G27" s="15">
        <f t="shared" si="0"/>
        <v>2038</v>
      </c>
      <c r="H27" s="15">
        <f t="shared" si="1"/>
        <v>1</v>
      </c>
      <c r="I27" s="23">
        <f t="shared" si="2"/>
        <v>0</v>
      </c>
      <c r="J27" s="43">
        <f t="shared" si="4"/>
        <v>0</v>
      </c>
    </row>
    <row r="28" spans="1:10" x14ac:dyDescent="0.25">
      <c r="G28" s="14">
        <f t="shared" si="0"/>
        <v>2039</v>
      </c>
      <c r="H28" s="14">
        <f t="shared" si="1"/>
        <v>1</v>
      </c>
      <c r="I28" s="23">
        <f t="shared" si="2"/>
        <v>0</v>
      </c>
      <c r="J28" s="36">
        <f t="shared" si="4"/>
        <v>0</v>
      </c>
    </row>
    <row r="29" spans="1:10" x14ac:dyDescent="0.25">
      <c r="A29" s="27"/>
      <c r="G29" s="15">
        <f t="shared" si="0"/>
        <v>2040</v>
      </c>
      <c r="H29" s="15">
        <f t="shared" si="1"/>
        <v>1</v>
      </c>
      <c r="I29" s="23">
        <f t="shared" si="2"/>
        <v>0</v>
      </c>
      <c r="J29" s="43">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47">
        <v>2015</v>
      </c>
      <c r="G4" s="14">
        <f>E4</f>
        <v>2015</v>
      </c>
      <c r="H4" s="39" t="e">
        <f t="shared" ref="H4:H24" si="0">IF($G4&lt;($G$4+$E$5),$E$17,0)</f>
        <v>#REF!</v>
      </c>
      <c r="I4" s="38" t="e">
        <f>H4*$B$20/10^3</f>
        <v>#REF!</v>
      </c>
      <c r="J4" s="39" t="e">
        <f t="shared" ref="J4:J24" si="1">IF($G4&lt;($G$4+$E$5),$E$18,0)</f>
        <v>#REF!</v>
      </c>
      <c r="K4" s="38" t="e">
        <f>J4*$B$21/10^3</f>
        <v>#REF!</v>
      </c>
    </row>
    <row r="5" spans="1:11" x14ac:dyDescent="0.25">
      <c r="A5" s="7" t="s">
        <v>16</v>
      </c>
      <c r="B5" s="8"/>
      <c r="D5" s="7" t="s">
        <v>42</v>
      </c>
      <c r="E5" s="11">
        <v>10</v>
      </c>
      <c r="G5" s="15">
        <f t="shared" ref="G5:G29" si="2">G4+1</f>
        <v>2016</v>
      </c>
      <c r="H5" s="39" t="e">
        <f t="shared" si="0"/>
        <v>#REF!</v>
      </c>
      <c r="I5" s="40" t="e">
        <f t="shared" ref="I5:I24" si="3">H5*$B$20/10^3</f>
        <v>#REF!</v>
      </c>
      <c r="J5" s="39" t="e">
        <f t="shared" si="1"/>
        <v>#REF!</v>
      </c>
      <c r="K5" s="40" t="e">
        <f t="shared" ref="K5:K24" si="4">J5*$B$21/10^3</f>
        <v>#REF!</v>
      </c>
    </row>
    <row r="6" spans="1:11" x14ac:dyDescent="0.25">
      <c r="A6" s="7" t="s">
        <v>43</v>
      </c>
      <c r="B6" s="8">
        <v>2</v>
      </c>
      <c r="D6" s="163" t="s">
        <v>40</v>
      </c>
      <c r="E6" s="164"/>
      <c r="G6" s="14">
        <f t="shared" si="2"/>
        <v>2017</v>
      </c>
      <c r="H6" s="39" t="e">
        <f t="shared" si="0"/>
        <v>#REF!</v>
      </c>
      <c r="I6" s="38" t="e">
        <f t="shared" si="3"/>
        <v>#REF!</v>
      </c>
      <c r="J6" s="39" t="e">
        <f t="shared" si="1"/>
        <v>#REF!</v>
      </c>
      <c r="K6" s="38" t="e">
        <f t="shared" si="4"/>
        <v>#REF!</v>
      </c>
    </row>
    <row r="7" spans="1:11" x14ac:dyDescent="0.25">
      <c r="A7" s="7" t="s">
        <v>53</v>
      </c>
      <c r="B7" s="25"/>
      <c r="D7" s="7" t="s">
        <v>39</v>
      </c>
      <c r="E7" s="11"/>
      <c r="G7" s="15">
        <f t="shared" si="2"/>
        <v>2018</v>
      </c>
      <c r="H7" s="39" t="e">
        <f t="shared" si="0"/>
        <v>#REF!</v>
      </c>
      <c r="I7" s="40" t="e">
        <f t="shared" si="3"/>
        <v>#REF!</v>
      </c>
      <c r="J7" s="39" t="e">
        <f t="shared" si="1"/>
        <v>#REF!</v>
      </c>
      <c r="K7" s="40" t="e">
        <f t="shared" si="4"/>
        <v>#REF!</v>
      </c>
    </row>
    <row r="8" spans="1:11" x14ac:dyDescent="0.25">
      <c r="A8" s="24" t="s">
        <v>54</v>
      </c>
      <c r="B8" s="25"/>
      <c r="D8" s="163" t="s">
        <v>41</v>
      </c>
      <c r="E8" s="164"/>
      <c r="G8" s="14">
        <f t="shared" si="2"/>
        <v>2019</v>
      </c>
      <c r="H8" s="39" t="e">
        <f t="shared" si="0"/>
        <v>#REF!</v>
      </c>
      <c r="I8" s="38" t="e">
        <f t="shared" si="3"/>
        <v>#REF!</v>
      </c>
      <c r="J8" s="39" t="e">
        <f t="shared" si="1"/>
        <v>#REF!</v>
      </c>
      <c r="K8" s="38" t="e">
        <f t="shared" si="4"/>
        <v>#REF!</v>
      </c>
    </row>
    <row r="9" spans="1:11" x14ac:dyDescent="0.25">
      <c r="D9" s="7" t="s">
        <v>44</v>
      </c>
      <c r="E9" s="11"/>
      <c r="G9" s="15">
        <f t="shared" si="2"/>
        <v>2020</v>
      </c>
      <c r="H9" s="39" t="e">
        <f t="shared" si="0"/>
        <v>#REF!</v>
      </c>
      <c r="I9" s="40" t="e">
        <f t="shared" si="3"/>
        <v>#REF!</v>
      </c>
      <c r="J9" s="39" t="e">
        <f t="shared" si="1"/>
        <v>#REF!</v>
      </c>
      <c r="K9" s="40" t="e">
        <f t="shared" si="4"/>
        <v>#REF!</v>
      </c>
    </row>
    <row r="10" spans="1:11" x14ac:dyDescent="0.25">
      <c r="A10" s="13" t="s">
        <v>29</v>
      </c>
      <c r="D10" s="7" t="s">
        <v>45</v>
      </c>
      <c r="E10" s="11"/>
      <c r="G10" s="14">
        <f t="shared" si="2"/>
        <v>2021</v>
      </c>
      <c r="H10" s="39" t="e">
        <f t="shared" si="0"/>
        <v>#REF!</v>
      </c>
      <c r="I10" s="38" t="e">
        <f t="shared" si="3"/>
        <v>#REF!</v>
      </c>
      <c r="J10" s="39" t="e">
        <f t="shared" si="1"/>
        <v>#REF!</v>
      </c>
      <c r="K10" s="38" t="e">
        <f t="shared" si="4"/>
        <v>#REF!</v>
      </c>
    </row>
    <row r="11" spans="1:11" x14ac:dyDescent="0.25">
      <c r="A11" s="12" t="s">
        <v>60</v>
      </c>
      <c r="B11" s="41" t="e">
        <f>(NPV($B$17,K4:K24)+NPV($B$17,I4:I24))/(1+$B$17)^2</f>
        <v>#REF!</v>
      </c>
      <c r="G11" s="15">
        <f t="shared" si="2"/>
        <v>2022</v>
      </c>
      <c r="H11" s="39" t="e">
        <f t="shared" si="0"/>
        <v>#REF!</v>
      </c>
      <c r="I11" s="40" t="e">
        <f t="shared" si="3"/>
        <v>#REF!</v>
      </c>
      <c r="J11" s="39" t="e">
        <f t="shared" si="1"/>
        <v>#REF!</v>
      </c>
      <c r="K11" s="40" t="e">
        <f t="shared" si="4"/>
        <v>#REF!</v>
      </c>
    </row>
    <row r="12" spans="1:11" x14ac:dyDescent="0.25">
      <c r="A12" s="12" t="s">
        <v>28</v>
      </c>
      <c r="B12" s="42" t="e">
        <f>B11/B7</f>
        <v>#REF!</v>
      </c>
      <c r="G12" s="14">
        <f t="shared" si="2"/>
        <v>2023</v>
      </c>
      <c r="H12" s="39" t="e">
        <f t="shared" si="0"/>
        <v>#REF!</v>
      </c>
      <c r="I12" s="38" t="e">
        <f t="shared" si="3"/>
        <v>#REF!</v>
      </c>
      <c r="J12" s="39" t="e">
        <f t="shared" si="1"/>
        <v>#REF!</v>
      </c>
      <c r="K12" s="38" t="e">
        <f t="shared" si="4"/>
        <v>#REF!</v>
      </c>
    </row>
    <row r="13" spans="1:11" x14ac:dyDescent="0.25">
      <c r="A13" s="12" t="s">
        <v>61</v>
      </c>
      <c r="B13" s="41" t="e">
        <f>B7*(B17/(1-(1+B17)^(-E5))/(SUM(H4:H29)+SUM(J4:J29)))</f>
        <v>#REF!</v>
      </c>
      <c r="G13" s="15">
        <f t="shared" si="2"/>
        <v>2024</v>
      </c>
      <c r="H13" s="39" t="e">
        <f t="shared" si="0"/>
        <v>#REF!</v>
      </c>
      <c r="I13" s="40" t="e">
        <f t="shared" si="3"/>
        <v>#REF!</v>
      </c>
      <c r="J13" s="39" t="e">
        <f t="shared" si="1"/>
        <v>#REF!</v>
      </c>
      <c r="K13" s="40" t="e">
        <f t="shared" si="4"/>
        <v>#REF!</v>
      </c>
    </row>
    <row r="14" spans="1:11" x14ac:dyDescent="0.25">
      <c r="G14" s="14">
        <f>G13+1</f>
        <v>2025</v>
      </c>
      <c r="H14" s="39">
        <f t="shared" si="0"/>
        <v>0</v>
      </c>
      <c r="I14" s="38" t="e">
        <f t="shared" si="3"/>
        <v>#REF!</v>
      </c>
      <c r="J14" s="39">
        <f t="shared" si="1"/>
        <v>0</v>
      </c>
      <c r="K14" s="38" t="e">
        <f t="shared" si="4"/>
        <v>#REF!</v>
      </c>
    </row>
    <row r="15" spans="1:11" x14ac:dyDescent="0.25">
      <c r="A15" s="17" t="s">
        <v>11</v>
      </c>
      <c r="G15" s="15">
        <f t="shared" si="2"/>
        <v>2026</v>
      </c>
      <c r="H15" s="39">
        <f t="shared" si="0"/>
        <v>0</v>
      </c>
      <c r="I15" s="40" t="e">
        <f t="shared" si="3"/>
        <v>#REF!</v>
      </c>
      <c r="J15" s="39">
        <f t="shared" si="1"/>
        <v>0</v>
      </c>
      <c r="K15" s="40" t="e">
        <f t="shared" si="4"/>
        <v>#REF!</v>
      </c>
    </row>
    <row r="16" spans="1:11" x14ac:dyDescent="0.25">
      <c r="A16" s="18" t="s">
        <v>12</v>
      </c>
      <c r="B16" s="28">
        <v>2015</v>
      </c>
      <c r="D16" s="17" t="s">
        <v>26</v>
      </c>
      <c r="E16" s="26" t="s">
        <v>20</v>
      </c>
      <c r="G16" s="14">
        <f t="shared" si="2"/>
        <v>2027</v>
      </c>
      <c r="H16" s="39">
        <f t="shared" si="0"/>
        <v>0</v>
      </c>
      <c r="I16" s="38" t="e">
        <f t="shared" si="3"/>
        <v>#REF!</v>
      </c>
      <c r="J16" s="39">
        <f t="shared" si="1"/>
        <v>0</v>
      </c>
      <c r="K16" s="38" t="e">
        <f t="shared" si="4"/>
        <v>#REF!</v>
      </c>
    </row>
    <row r="17" spans="1:11" x14ac:dyDescent="0.25">
      <c r="A17" s="18" t="s">
        <v>13</v>
      </c>
      <c r="B17" s="19">
        <v>7.0000000000000007E-2</v>
      </c>
      <c r="D17" s="21" t="s">
        <v>44</v>
      </c>
      <c r="E17" s="35" t="e">
        <f>IF(E9,E9,$E$7*B18*$B$22/10^6)</f>
        <v>#REF!</v>
      </c>
      <c r="G17" s="15">
        <f t="shared" si="2"/>
        <v>2028</v>
      </c>
      <c r="H17" s="39">
        <f t="shared" si="0"/>
        <v>0</v>
      </c>
      <c r="I17" s="40" t="e">
        <f t="shared" si="3"/>
        <v>#REF!</v>
      </c>
      <c r="J17" s="39">
        <f t="shared" si="1"/>
        <v>0</v>
      </c>
      <c r="K17" s="40" t="e">
        <f t="shared" si="4"/>
        <v>#REF!</v>
      </c>
    </row>
    <row r="18" spans="1:11" x14ac:dyDescent="0.25">
      <c r="A18" s="18" t="s">
        <v>36</v>
      </c>
      <c r="B18" s="45" t="e">
        <f>IF($B$6=2,'Assumed Values'!#REF!,0)</f>
        <v>#REF!</v>
      </c>
      <c r="D18" s="21" t="s">
        <v>45</v>
      </c>
      <c r="E18" s="35" t="e">
        <f>IF(E10,E10,$E$7*B19*$B$22/10^6)</f>
        <v>#REF!</v>
      </c>
      <c r="G18" s="14">
        <f t="shared" si="2"/>
        <v>2029</v>
      </c>
      <c r="H18" s="39">
        <f t="shared" si="0"/>
        <v>0</v>
      </c>
      <c r="I18" s="38" t="e">
        <f t="shared" si="3"/>
        <v>#REF!</v>
      </c>
      <c r="J18" s="39">
        <f t="shared" si="1"/>
        <v>0</v>
      </c>
      <c r="K18" s="38" t="e">
        <f t="shared" si="4"/>
        <v>#REF!</v>
      </c>
    </row>
    <row r="19" spans="1:11" x14ac:dyDescent="0.25">
      <c r="A19" s="18" t="s">
        <v>37</v>
      </c>
      <c r="B19" s="45" t="e">
        <f>IF($B$6=2,'Assumed Values'!#REF!,0)</f>
        <v>#REF!</v>
      </c>
      <c r="G19" s="15">
        <f t="shared" si="2"/>
        <v>2030</v>
      </c>
      <c r="H19" s="39">
        <f t="shared" si="0"/>
        <v>0</v>
      </c>
      <c r="I19" s="40" t="e">
        <f t="shared" si="3"/>
        <v>#REF!</v>
      </c>
      <c r="J19" s="39">
        <f t="shared" si="1"/>
        <v>0</v>
      </c>
      <c r="K19" s="40" t="e">
        <f t="shared" si="4"/>
        <v>#REF!</v>
      </c>
    </row>
    <row r="20" spans="1:11" x14ac:dyDescent="0.25">
      <c r="A20" s="18" t="s">
        <v>62</v>
      </c>
      <c r="B20" s="37" t="e">
        <f>'Assumed Values'!#REF!</f>
        <v>#REF!</v>
      </c>
      <c r="G20" s="14">
        <f t="shared" si="2"/>
        <v>2031</v>
      </c>
      <c r="H20" s="39">
        <f t="shared" si="0"/>
        <v>0</v>
      </c>
      <c r="I20" s="38" t="e">
        <f t="shared" si="3"/>
        <v>#REF!</v>
      </c>
      <c r="J20" s="39">
        <f t="shared" si="1"/>
        <v>0</v>
      </c>
      <c r="K20" s="38" t="e">
        <f t="shared" si="4"/>
        <v>#REF!</v>
      </c>
    </row>
    <row r="21" spans="1:11" x14ac:dyDescent="0.25">
      <c r="A21" s="18" t="s">
        <v>63</v>
      </c>
      <c r="B21" s="37" t="e">
        <f>'Assumed Values'!#REF!</f>
        <v>#REF!</v>
      </c>
      <c r="G21" s="15">
        <f t="shared" si="2"/>
        <v>2032</v>
      </c>
      <c r="H21" s="39">
        <f t="shared" si="0"/>
        <v>0</v>
      </c>
      <c r="I21" s="40" t="e">
        <f t="shared" si="3"/>
        <v>#REF!</v>
      </c>
      <c r="J21" s="39">
        <f t="shared" si="1"/>
        <v>0</v>
      </c>
      <c r="K21" s="40" t="e">
        <f t="shared" si="4"/>
        <v>#REF!</v>
      </c>
    </row>
    <row r="22" spans="1:11" x14ac:dyDescent="0.25">
      <c r="A22" s="18" t="s">
        <v>27</v>
      </c>
      <c r="B22" s="18">
        <v>260</v>
      </c>
      <c r="G22" s="14">
        <f t="shared" si="2"/>
        <v>2033</v>
      </c>
      <c r="H22" s="39">
        <f t="shared" si="0"/>
        <v>0</v>
      </c>
      <c r="I22" s="38" t="e">
        <f t="shared" si="3"/>
        <v>#REF!</v>
      </c>
      <c r="J22" s="39">
        <f t="shared" si="1"/>
        <v>0</v>
      </c>
      <c r="K22" s="38" t="e">
        <f t="shared" si="4"/>
        <v>#REF!</v>
      </c>
    </row>
    <row r="23" spans="1:11" x14ac:dyDescent="0.25">
      <c r="G23" s="15">
        <f t="shared" si="2"/>
        <v>2034</v>
      </c>
      <c r="H23" s="39">
        <f t="shared" si="0"/>
        <v>0</v>
      </c>
      <c r="I23" s="40" t="e">
        <f t="shared" si="3"/>
        <v>#REF!</v>
      </c>
      <c r="J23" s="39">
        <f t="shared" si="1"/>
        <v>0</v>
      </c>
      <c r="K23" s="40" t="e">
        <f t="shared" si="4"/>
        <v>#REF!</v>
      </c>
    </row>
    <row r="24" spans="1:11" x14ac:dyDescent="0.25">
      <c r="G24" s="14">
        <f t="shared" si="2"/>
        <v>2035</v>
      </c>
      <c r="H24" s="39">
        <f t="shared" si="0"/>
        <v>0</v>
      </c>
      <c r="I24" s="38" t="e">
        <f t="shared" si="3"/>
        <v>#REF!</v>
      </c>
      <c r="J24" s="39">
        <f t="shared" si="1"/>
        <v>0</v>
      </c>
      <c r="K24" s="38" t="e">
        <f t="shared" si="4"/>
        <v>#REF!</v>
      </c>
    </row>
    <row r="25" spans="1:11" x14ac:dyDescent="0.25">
      <c r="G25" s="15">
        <f t="shared" si="2"/>
        <v>2036</v>
      </c>
      <c r="H25" s="39">
        <f t="shared" ref="H25:H28" si="5">IF($G25&lt;($G$4+$E$5),$E$17,0)</f>
        <v>0</v>
      </c>
      <c r="I25" s="40" t="e">
        <f t="shared" ref="I25:I29" si="6">H25*$B$20/10^3</f>
        <v>#REF!</v>
      </c>
      <c r="J25" s="39">
        <f t="shared" ref="J25:J28" si="7">IF($G25&lt;($G$4+$E$5),$E$18,0)</f>
        <v>0</v>
      </c>
      <c r="K25" s="40" t="e">
        <f t="shared" ref="K25:K29" si="8">J25*$B$21/10^3</f>
        <v>#REF!</v>
      </c>
    </row>
    <row r="26" spans="1:11" x14ac:dyDescent="0.25">
      <c r="G26" s="14">
        <f t="shared" si="2"/>
        <v>2037</v>
      </c>
      <c r="H26" s="39">
        <f t="shared" si="5"/>
        <v>0</v>
      </c>
      <c r="I26" s="38" t="e">
        <f t="shared" si="6"/>
        <v>#REF!</v>
      </c>
      <c r="J26" s="39">
        <f t="shared" si="7"/>
        <v>0</v>
      </c>
      <c r="K26" s="38" t="e">
        <f t="shared" si="8"/>
        <v>#REF!</v>
      </c>
    </row>
    <row r="27" spans="1:11" x14ac:dyDescent="0.25">
      <c r="G27" s="15">
        <f t="shared" si="2"/>
        <v>2038</v>
      </c>
      <c r="H27" s="39">
        <f t="shared" si="5"/>
        <v>0</v>
      </c>
      <c r="I27" s="40" t="e">
        <f t="shared" si="6"/>
        <v>#REF!</v>
      </c>
      <c r="J27" s="39">
        <f t="shared" si="7"/>
        <v>0</v>
      </c>
      <c r="K27" s="40" t="e">
        <f t="shared" si="8"/>
        <v>#REF!</v>
      </c>
    </row>
    <row r="28" spans="1:11" x14ac:dyDescent="0.25">
      <c r="G28" s="14">
        <f t="shared" si="2"/>
        <v>2039</v>
      </c>
      <c r="H28" s="39">
        <f t="shared" si="5"/>
        <v>0</v>
      </c>
      <c r="I28" s="38" t="e">
        <f t="shared" si="6"/>
        <v>#REF!</v>
      </c>
      <c r="J28" s="39">
        <f t="shared" si="7"/>
        <v>0</v>
      </c>
      <c r="K28" s="38" t="e">
        <f t="shared" si="8"/>
        <v>#REF!</v>
      </c>
    </row>
    <row r="29" spans="1:11" x14ac:dyDescent="0.25">
      <c r="G29" s="15">
        <f t="shared" si="2"/>
        <v>2040</v>
      </c>
      <c r="H29" s="39">
        <f>IF($G29&lt;($G$4+$E$5),$E$17,0)</f>
        <v>0</v>
      </c>
      <c r="I29" s="40" t="e">
        <f t="shared" si="6"/>
        <v>#REF!</v>
      </c>
      <c r="J29" s="39">
        <f>IF($G29&lt;($G$4+$E$5),$E$18,0)</f>
        <v>0</v>
      </c>
      <c r="K29" s="40" t="e">
        <f t="shared" si="8"/>
        <v>#REF!</v>
      </c>
    </row>
    <row r="31" spans="1:11" x14ac:dyDescent="0.25">
      <c r="A31" s="27"/>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1:I43"/>
  <sheetViews>
    <sheetView tabSelected="1" zoomScaleNormal="100" workbookViewId="0">
      <selection activeCell="F35" sqref="F35"/>
    </sheetView>
  </sheetViews>
  <sheetFormatPr defaultColWidth="9.140625" defaultRowHeight="15" x14ac:dyDescent="0.25"/>
  <cols>
    <col min="1" max="1" width="9.140625" style="91"/>
    <col min="2" max="2" width="45.140625" style="91" bestFit="1" customWidth="1"/>
    <col min="3" max="3" width="16.42578125" style="90" customWidth="1"/>
    <col min="4" max="4" width="5.28515625" style="91" customWidth="1"/>
    <col min="5" max="5" width="5.140625" style="91" customWidth="1"/>
    <col min="6" max="6" width="36" style="91" customWidth="1"/>
    <col min="7" max="7" width="15.28515625" style="91" bestFit="1" customWidth="1"/>
    <col min="8" max="8" width="18.140625" style="91" bestFit="1" customWidth="1"/>
    <col min="9" max="9" width="28.140625" style="91" customWidth="1"/>
    <col min="10" max="10" width="15.140625" style="91" customWidth="1"/>
    <col min="11" max="16384" width="9.140625" style="91"/>
  </cols>
  <sheetData>
    <row r="1" spans="2:8" x14ac:dyDescent="0.25">
      <c r="B1" s="89" t="s">
        <v>206</v>
      </c>
    </row>
    <row r="2" spans="2:8" ht="18.75" x14ac:dyDescent="0.25">
      <c r="B2" s="92" t="s">
        <v>72</v>
      </c>
      <c r="C2" s="93"/>
      <c r="D2" s="94"/>
      <c r="E2" s="94"/>
      <c r="F2" s="94"/>
      <c r="G2" s="95"/>
    </row>
    <row r="3" spans="2:8" x14ac:dyDescent="0.25">
      <c r="G3" s="96"/>
      <c r="H3" s="96"/>
    </row>
    <row r="4" spans="2:8" x14ac:dyDescent="0.25">
      <c r="B4" s="165" t="s">
        <v>205</v>
      </c>
      <c r="C4" s="166"/>
    </row>
    <row r="5" spans="2:8" ht="30" x14ac:dyDescent="0.25">
      <c r="B5" s="97" t="s">
        <v>78</v>
      </c>
      <c r="C5" s="87" t="s">
        <v>244</v>
      </c>
      <c r="E5" s="97"/>
      <c r="F5" s="91" t="s">
        <v>162</v>
      </c>
    </row>
    <row r="6" spans="2:8" x14ac:dyDescent="0.25">
      <c r="B6" s="97" t="s">
        <v>79</v>
      </c>
      <c r="C6" s="98" t="s">
        <v>173</v>
      </c>
      <c r="E6" s="79"/>
      <c r="F6" s="91" t="s">
        <v>184</v>
      </c>
    </row>
    <row r="7" spans="2:8" x14ac:dyDescent="0.25">
      <c r="B7" s="97" t="s">
        <v>80</v>
      </c>
      <c r="C7" s="98" t="s">
        <v>179</v>
      </c>
      <c r="E7" s="160"/>
      <c r="F7" s="91" t="s">
        <v>163</v>
      </c>
    </row>
    <row r="8" spans="2:8" x14ac:dyDescent="0.25">
      <c r="B8" s="97" t="s">
        <v>195</v>
      </c>
      <c r="C8" s="98" t="s">
        <v>200</v>
      </c>
    </row>
    <row r="9" spans="2:8" x14ac:dyDescent="0.25">
      <c r="B9" s="97" t="s">
        <v>203</v>
      </c>
      <c r="C9" s="98" t="s">
        <v>245</v>
      </c>
    </row>
    <row r="10" spans="2:8" x14ac:dyDescent="0.25">
      <c r="B10" s="97" t="s">
        <v>81</v>
      </c>
      <c r="C10" s="98" t="s">
        <v>246</v>
      </c>
    </row>
    <row r="11" spans="2:8" x14ac:dyDescent="0.25">
      <c r="B11" s="97" t="s">
        <v>82</v>
      </c>
      <c r="C11" s="98" t="s">
        <v>247</v>
      </c>
      <c r="F11" s="99"/>
      <c r="G11" s="99"/>
    </row>
    <row r="12" spans="2:8" ht="30" x14ac:dyDescent="0.25">
      <c r="B12" s="109" t="s">
        <v>225</v>
      </c>
      <c r="C12" s="98">
        <v>1.68</v>
      </c>
      <c r="G12" s="100"/>
    </row>
    <row r="13" spans="2:8" x14ac:dyDescent="0.25">
      <c r="B13" s="97" t="s">
        <v>65</v>
      </c>
      <c r="C13" s="98"/>
    </row>
    <row r="14" spans="2:8" x14ac:dyDescent="0.25">
      <c r="B14" s="97" t="s">
        <v>216</v>
      </c>
      <c r="C14" s="98"/>
    </row>
    <row r="17" spans="2:8" x14ac:dyDescent="0.25">
      <c r="B17" s="165" t="s">
        <v>98</v>
      </c>
      <c r="C17" s="166"/>
      <c r="F17" s="103" t="s">
        <v>189</v>
      </c>
      <c r="G17" s="103" t="s">
        <v>209</v>
      </c>
      <c r="H17" s="103" t="s">
        <v>210</v>
      </c>
    </row>
    <row r="18" spans="2:8" x14ac:dyDescent="0.25">
      <c r="B18" s="97" t="s">
        <v>213</v>
      </c>
      <c r="C18" s="86">
        <v>2028</v>
      </c>
      <c r="F18" s="79" t="s">
        <v>219</v>
      </c>
      <c r="G18" s="83">
        <f>$C$12/$C$35</f>
        <v>0.04</v>
      </c>
      <c r="H18" s="115">
        <f t="shared" ref="H18:H20" si="0">G18*60</f>
        <v>2.4</v>
      </c>
    </row>
    <row r="19" spans="2:8" ht="30" x14ac:dyDescent="0.25">
      <c r="B19" s="97" t="s">
        <v>237</v>
      </c>
      <c r="C19" s="87" t="s">
        <v>85</v>
      </c>
      <c r="F19" s="161" t="s">
        <v>220</v>
      </c>
      <c r="G19" s="84">
        <f>$C$12/$C$36</f>
        <v>5.6000000000000001E-2</v>
      </c>
      <c r="H19" s="115">
        <f t="shared" si="0"/>
        <v>3.36</v>
      </c>
    </row>
    <row r="20" spans="2:8" ht="30" x14ac:dyDescent="0.25">
      <c r="B20" s="79" t="s">
        <v>181</v>
      </c>
      <c r="C20" s="88">
        <f>VLOOKUP(C19,'Delay Reduction Factors'!B4:C80,2, FALSE)</f>
        <v>0.15</v>
      </c>
      <c r="F20" s="161" t="s">
        <v>208</v>
      </c>
      <c r="G20" s="83">
        <f>$G$19-$G$18</f>
        <v>1.6E-2</v>
      </c>
      <c r="H20" s="115">
        <f t="shared" si="0"/>
        <v>0.96</v>
      </c>
    </row>
    <row r="21" spans="2:8" x14ac:dyDescent="0.25">
      <c r="B21" s="97" t="s">
        <v>83</v>
      </c>
      <c r="C21" s="86">
        <v>20</v>
      </c>
      <c r="E21" s="78"/>
      <c r="F21" s="79" t="s">
        <v>228</v>
      </c>
      <c r="G21" s="83">
        <f>(1-$C$20)*$G$20</f>
        <v>1.3599999999999999E-2</v>
      </c>
      <c r="H21" s="115">
        <f t="shared" ref="H21:H26" si="1">G21*60</f>
        <v>0.81599999999999995</v>
      </c>
    </row>
    <row r="22" spans="2:8" ht="45" x14ac:dyDescent="0.25">
      <c r="B22" s="97" t="s">
        <v>238</v>
      </c>
      <c r="C22" s="87" t="s">
        <v>131</v>
      </c>
      <c r="F22" s="162" t="s">
        <v>229</v>
      </c>
      <c r="G22" s="83">
        <f>$G$18+$G$21</f>
        <v>5.3600000000000002E-2</v>
      </c>
      <c r="H22" s="115">
        <f t="shared" si="1"/>
        <v>3.2160000000000002</v>
      </c>
    </row>
    <row r="23" spans="2:8" x14ac:dyDescent="0.25">
      <c r="B23" s="79" t="s">
        <v>181</v>
      </c>
      <c r="C23" s="88">
        <f>VLOOKUP(C22,'Delay Reduction Factors'!B7:C83,2, FALSE)</f>
        <v>0.05</v>
      </c>
      <c r="F23" s="79" t="s">
        <v>231</v>
      </c>
      <c r="G23" s="83">
        <f>(1-$C$23)*G21</f>
        <v>1.2919999999999999E-2</v>
      </c>
      <c r="H23" s="115">
        <f t="shared" si="1"/>
        <v>0.7752</v>
      </c>
    </row>
    <row r="24" spans="2:8" ht="30" x14ac:dyDescent="0.25">
      <c r="B24" s="97" t="s">
        <v>83</v>
      </c>
      <c r="C24" s="86">
        <v>20</v>
      </c>
      <c r="E24" s="78"/>
      <c r="F24" s="162" t="s">
        <v>230</v>
      </c>
      <c r="G24" s="83">
        <f>$G$18+G23</f>
        <v>5.2920000000000002E-2</v>
      </c>
      <c r="H24" s="115">
        <f t="shared" si="1"/>
        <v>3.1752000000000002</v>
      </c>
    </row>
    <row r="25" spans="2:8" x14ac:dyDescent="0.25">
      <c r="B25" s="97" t="s">
        <v>239</v>
      </c>
      <c r="C25" s="87" t="s">
        <v>115</v>
      </c>
      <c r="F25" s="79" t="s">
        <v>232</v>
      </c>
      <c r="G25" s="83">
        <f>(1-$C$26)*G23</f>
        <v>1.1627999999999999E-2</v>
      </c>
      <c r="H25" s="115">
        <f t="shared" si="1"/>
        <v>0.69767999999999997</v>
      </c>
    </row>
    <row r="26" spans="2:8" ht="30" x14ac:dyDescent="0.25">
      <c r="B26" s="79" t="s">
        <v>181</v>
      </c>
      <c r="C26" s="88">
        <f>VLOOKUP(C25,'Delay Reduction Factors'!B10:C86,2, FALSE)</f>
        <v>0.1</v>
      </c>
      <c r="F26" s="162" t="s">
        <v>233</v>
      </c>
      <c r="G26" s="83">
        <f>$G$18+G25</f>
        <v>5.1628E-2</v>
      </c>
      <c r="H26" s="115">
        <f t="shared" si="1"/>
        <v>3.09768</v>
      </c>
    </row>
    <row r="27" spans="2:8" x14ac:dyDescent="0.25">
      <c r="B27" s="97" t="s">
        <v>83</v>
      </c>
      <c r="C27" s="86">
        <v>20</v>
      </c>
      <c r="E27" s="78"/>
    </row>
    <row r="28" spans="2:8" s="101" customFormat="1" x14ac:dyDescent="0.25">
      <c r="C28" s="102"/>
      <c r="E28" s="78"/>
      <c r="F28" s="91"/>
      <c r="G28" s="91"/>
      <c r="H28" s="91"/>
    </row>
    <row r="29" spans="2:8" x14ac:dyDescent="0.25">
      <c r="F29" s="103" t="s">
        <v>77</v>
      </c>
      <c r="G29" s="105" t="s">
        <v>19</v>
      </c>
      <c r="H29" s="105" t="s">
        <v>20</v>
      </c>
    </row>
    <row r="30" spans="2:8" ht="30" x14ac:dyDescent="0.25">
      <c r="B30" s="165" t="s">
        <v>76</v>
      </c>
      <c r="C30" s="166"/>
      <c r="E30" s="78"/>
      <c r="F30" s="161" t="s">
        <v>240</v>
      </c>
      <c r="G30" s="73">
        <f>$C$33*$G$19</f>
        <v>817.6</v>
      </c>
      <c r="H30" s="73">
        <f>$C$33*$G$26</f>
        <v>753.76880000000006</v>
      </c>
    </row>
    <row r="31" spans="2:8" x14ac:dyDescent="0.25">
      <c r="B31" s="97" t="s">
        <v>226</v>
      </c>
      <c r="C31" s="82">
        <v>12212</v>
      </c>
      <c r="E31" s="78"/>
    </row>
    <row r="32" spans="2:8" x14ac:dyDescent="0.25">
      <c r="B32" s="97" t="s">
        <v>217</v>
      </c>
      <c r="C32" s="82">
        <v>12461</v>
      </c>
    </row>
    <row r="33" spans="2:9" x14ac:dyDescent="0.25">
      <c r="B33" s="97" t="s">
        <v>188</v>
      </c>
      <c r="C33" s="82">
        <v>14600</v>
      </c>
    </row>
    <row r="34" spans="2:9" x14ac:dyDescent="0.25">
      <c r="B34" s="167"/>
      <c r="C34" s="168"/>
      <c r="E34" s="78"/>
      <c r="I34" s="104"/>
    </row>
    <row r="35" spans="2:9" ht="30" x14ac:dyDescent="0.25">
      <c r="B35" s="109" t="s">
        <v>211</v>
      </c>
      <c r="C35" s="82">
        <v>42</v>
      </c>
      <c r="E35" s="78"/>
    </row>
    <row r="36" spans="2:9" ht="30" x14ac:dyDescent="0.25">
      <c r="B36" s="109" t="s">
        <v>212</v>
      </c>
      <c r="C36" s="82">
        <v>30</v>
      </c>
      <c r="E36" s="78"/>
    </row>
    <row r="37" spans="2:9" x14ac:dyDescent="0.25">
      <c r="B37" s="169"/>
      <c r="C37" s="170"/>
    </row>
    <row r="38" spans="2:9" x14ac:dyDescent="0.25">
      <c r="C38" s="110"/>
      <c r="D38" s="95"/>
    </row>
    <row r="39" spans="2:9" ht="18.75" x14ac:dyDescent="0.25">
      <c r="B39" s="92" t="s">
        <v>73</v>
      </c>
      <c r="C39" s="93"/>
      <c r="D39" s="95"/>
    </row>
    <row r="40" spans="2:9" x14ac:dyDescent="0.25">
      <c r="D40" s="96"/>
      <c r="E40" s="96"/>
      <c r="F40" s="96"/>
      <c r="G40" s="96"/>
      <c r="H40" s="96"/>
    </row>
    <row r="41" spans="2:9" hidden="1" x14ac:dyDescent="0.25">
      <c r="B41" s="106" t="s">
        <v>71</v>
      </c>
    </row>
    <row r="42" spans="2:9" x14ac:dyDescent="0.25">
      <c r="B42" s="106" t="s">
        <v>71</v>
      </c>
    </row>
    <row r="43" spans="2:9" x14ac:dyDescent="0.25">
      <c r="B43" s="107" t="s">
        <v>218</v>
      </c>
      <c r="C43" s="108">
        <f>Calculations!$T$37</f>
        <v>9939.0201809377322</v>
      </c>
    </row>
  </sheetData>
  <sheetProtection algorithmName="SHA-512" hashValue="Qd09pYx4OyGScfn0p1Vvc8vIdmgIBv3xXRi6kbw6Yunl5ZBXdUYIWWoph2RE9GAxOrwO+2NnyQtXlooAMZpCBQ==" saltValue="bGyllDHoFT1WWcU9/67j5w==" spinCount="100000" sheet="1" objects="1" scenarios="1"/>
  <mergeCells count="5">
    <mergeCell ref="B30:C30"/>
    <mergeCell ref="B17:C17"/>
    <mergeCell ref="B4:C4"/>
    <mergeCell ref="B34:C34"/>
    <mergeCell ref="B37:C3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2000000}">
          <x14:formula1>
            <xm:f>Calculations!$H$8:$H$17</xm:f>
          </x14:formula1>
          <xm:sqref>C18</xm:sqref>
        </x14:dataValidation>
        <x14:dataValidation type="list" allowBlank="1" showInputMessage="1" showErrorMessage="1" xr:uid="{00000000-0002-0000-0300-000003000000}">
          <x14:formula1>
            <xm:f>'Delay Reduction Factors'!$B$5:$B$80</xm:f>
          </x14:formula1>
          <xm:sqref>C19 C22 C25</xm:sqref>
        </x14:dataValidation>
        <x14:dataValidation type="list" allowBlank="1" showInputMessage="1" showErrorMessage="1" xr:uid="{00000000-0002-0000-0300-000000000000}">
          <x14:formula1>
            <xm:f>'Delay Reduction Factors'!$N$5:$N$6</xm:f>
          </x14:formula1>
          <xm:sqref>C7</xm:sqref>
        </x14:dataValidation>
        <x14:dataValidation type="list" allowBlank="1" showInputMessage="1" showErrorMessage="1" xr:uid="{00000000-0002-0000-0300-000001000000}">
          <x14:formula1>
            <xm:f>'Delay Reduction Factors'!$L$5:$L$12</xm:f>
          </x14:formula1>
          <xm:sqref>C6</xm:sqref>
        </x14:dataValidation>
        <x14:dataValidation type="list" allowBlank="1" showInputMessage="1" showErrorMessage="1" xr:uid="{8AA778AE-A6F5-495F-890E-B15B6EF78583}">
          <x14:formula1>
            <xm:f>'Delay Reduction Factors'!$P$5:$P$10</xm:f>
          </x14:formula1>
          <xm:sqref>C8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8"/>
  <sheetViews>
    <sheetView zoomScale="85" zoomScaleNormal="85" workbookViewId="0">
      <selection activeCell="D16" sqref="D16"/>
    </sheetView>
  </sheetViews>
  <sheetFormatPr defaultRowHeight="15" x14ac:dyDescent="0.25"/>
  <cols>
    <col min="1" max="1" width="31.28515625" customWidth="1"/>
    <col min="2" max="2" width="8.42578125" customWidth="1"/>
    <col min="3" max="3" width="2.7109375" customWidth="1"/>
    <col min="4" max="4" width="29.7109375" customWidth="1"/>
    <col min="5" max="5" width="9" customWidth="1"/>
    <col min="6" max="6" width="9.28515625" customWidth="1"/>
    <col min="7" max="7" width="2.42578125" customWidth="1"/>
    <col min="8" max="8" width="5.140625" bestFit="1" customWidth="1"/>
    <col min="9" max="9" width="7.85546875" style="1" customWidth="1"/>
    <col min="10" max="10" width="16.85546875" style="50" hidden="1" customWidth="1"/>
    <col min="11" max="11" width="7.140625" style="51" bestFit="1" customWidth="1"/>
    <col min="12" max="12" width="7.85546875" customWidth="1"/>
    <col min="13" max="13" width="10.5703125" customWidth="1"/>
    <col min="14" max="14" width="10.28515625" customWidth="1"/>
    <col min="15" max="15" width="8" customWidth="1"/>
    <col min="16" max="16" width="9.28515625" customWidth="1"/>
    <col min="17" max="17" width="8.140625" customWidth="1"/>
    <col min="18" max="18" width="10.140625" customWidth="1"/>
    <col min="19" max="19" width="14.85546875" customWidth="1"/>
    <col min="20" max="20" width="8.7109375" customWidth="1"/>
    <col min="23" max="23" width="10.85546875" bestFit="1" customWidth="1"/>
    <col min="24" max="24" width="9.85546875" bestFit="1" customWidth="1"/>
  </cols>
  <sheetData>
    <row r="3" spans="1:24" ht="60" x14ac:dyDescent="0.25">
      <c r="A3" s="116" t="s">
        <v>11</v>
      </c>
      <c r="B3" s="117"/>
      <c r="C3" s="6"/>
      <c r="D3" s="116" t="s">
        <v>26</v>
      </c>
      <c r="E3" s="118" t="s">
        <v>20</v>
      </c>
      <c r="F3" s="118" t="s">
        <v>19</v>
      </c>
      <c r="G3" s="6"/>
      <c r="H3" s="119" t="s">
        <v>24</v>
      </c>
      <c r="I3" s="120" t="s">
        <v>67</v>
      </c>
      <c r="J3" s="121" t="s">
        <v>25</v>
      </c>
      <c r="K3" s="122" t="s">
        <v>68</v>
      </c>
      <c r="L3" s="119" t="s">
        <v>180</v>
      </c>
      <c r="M3" s="119" t="s">
        <v>183</v>
      </c>
      <c r="N3" s="119" t="s">
        <v>182</v>
      </c>
      <c r="O3" s="122" t="s">
        <v>97</v>
      </c>
      <c r="P3" s="119" t="s">
        <v>31</v>
      </c>
      <c r="Q3" s="119" t="s">
        <v>66</v>
      </c>
      <c r="R3" s="119" t="s">
        <v>74</v>
      </c>
      <c r="S3" s="119" t="s">
        <v>227</v>
      </c>
      <c r="T3" s="119" t="s">
        <v>75</v>
      </c>
      <c r="U3" s="6"/>
    </row>
    <row r="4" spans="1:24" x14ac:dyDescent="0.25">
      <c r="A4" s="123" t="s">
        <v>12</v>
      </c>
      <c r="B4" s="124">
        <v>2021</v>
      </c>
      <c r="C4" s="6"/>
      <c r="D4" s="123" t="s">
        <v>222</v>
      </c>
      <c r="E4" s="125">
        <f>'Inputs &amp; Outputs'!H30*Annual_Days_of_Travel</f>
        <v>275125.61200000002</v>
      </c>
      <c r="F4" s="125">
        <f>'Inputs &amp; Outputs'!G30*Annual_Days_of_Travel</f>
        <v>298424</v>
      </c>
      <c r="G4" s="6"/>
      <c r="H4" s="126">
        <v>2021</v>
      </c>
      <c r="I4" s="127" t="s">
        <v>70</v>
      </c>
      <c r="J4" s="128">
        <f>MIN(E8,1)</f>
        <v>1</v>
      </c>
      <c r="K4" s="129">
        <f t="shared" ref="K4:K36" si="0">-(ROUNDUP(J4,0)-2)</f>
        <v>1</v>
      </c>
      <c r="L4" s="130">
        <f>'Inputs &amp; Outputs'!C32</f>
        <v>12461</v>
      </c>
      <c r="M4" s="130">
        <f>IF(H4=Year_Open_to_Traffic?,$F$4,0)</f>
        <v>0</v>
      </c>
      <c r="N4" s="130">
        <f>IF(H4=Year_Open_to_Traffic?,Calculations!$E$4,0)</f>
        <v>0</v>
      </c>
      <c r="O4" s="130">
        <f>IF(AND(H4&gt;=Year_Open_to_Traffic?, Calculations!H4&lt;Year_Open_to_Traffic?+'Inputs &amp; Outputs'!C$21), 1, 0)</f>
        <v>0</v>
      </c>
      <c r="P4" s="65">
        <f t="shared" ref="P4:P36" si="1">(M4-N4)*O4</f>
        <v>0</v>
      </c>
      <c r="Q4" s="65">
        <f t="shared" ref="Q4:Q36" si="2">IF(AND(H4&gt;=Year_Open_to_Traffic?,H4&lt;Year_Open_to_Traffic?+Years_to_include_in_BCA_Analysis),1,0)</f>
        <v>0</v>
      </c>
      <c r="R4" s="66">
        <f t="shared" ref="R4:R36" si="3">Value_of_Travel_Time__VoTT___2020*(1+Real_wage_growth_rate)^(H4-Base_Year)</f>
        <v>20.613287</v>
      </c>
      <c r="S4" s="131">
        <f t="shared" ref="S4:S36" si="4">(P4*Q4)*(Vehicle_Occupancy*R4)/10^3</f>
        <v>0</v>
      </c>
      <c r="T4" s="132">
        <f t="shared" ref="T4:T36" si="5">S4/1.07^(H4-H$4)</f>
        <v>0</v>
      </c>
      <c r="U4" s="6"/>
    </row>
    <row r="5" spans="1:24" x14ac:dyDescent="0.25">
      <c r="A5" s="123" t="s">
        <v>14</v>
      </c>
      <c r="B5" s="123">
        <v>1.39</v>
      </c>
      <c r="C5" s="6"/>
      <c r="D5" s="123" t="s">
        <v>223</v>
      </c>
      <c r="E5" s="133">
        <f>IF('Growth Rates'!$C$16&lt;&gt;0,'Growth Rates'!$C$16,VLOOKUP('Inputs &amp; Outputs'!$C$6,'Growth Rates'!$B$4:$D$11,2,FALSE))</f>
        <v>2.2889135162825314E-2</v>
      </c>
      <c r="F5" s="134"/>
      <c r="G5" s="6"/>
      <c r="H5" s="135">
        <f t="shared" ref="H5:H36" si="6">H4+1</f>
        <v>2022</v>
      </c>
      <c r="I5" s="127">
        <f t="shared" ref="I5:I15" si="7">IF(ISERROR(_30_2045_Demand_Growth),_20_2045_Demand_Growth,_Facility_Type)</f>
        <v>2.2889135162825314E-2</v>
      </c>
      <c r="J5" s="136">
        <f t="shared" ref="J5:J11" si="8">J4*(1+IFERROR(_20_2030_V_C_Growth,_20_2045_V_C_Growth))</f>
        <v>1</v>
      </c>
      <c r="K5" s="137">
        <f t="shared" si="0"/>
        <v>1</v>
      </c>
      <c r="L5" s="138">
        <f t="shared" ref="L5:L36" si="9">(L4*I5)+L4</f>
        <v>12746.221513263967</v>
      </c>
      <c r="M5" s="130">
        <f t="shared" ref="M5:M36" si="10">IF(H5=Year_Open_to_Traffic?,$F$4,M4+(M4*I5))</f>
        <v>0</v>
      </c>
      <c r="N5" s="130">
        <f>IF(H5=Year_Open_to_Traffic?,Calculations!$E$4,N4+(N4*I5))</f>
        <v>0</v>
      </c>
      <c r="O5" s="130">
        <f>IF(AND(H5&gt;=Year_Open_to_Traffic?, Calculations!H5&lt;Year_Open_to_Traffic?+'Inputs &amp; Outputs'!C$21), 1, 0)</f>
        <v>0</v>
      </c>
      <c r="P5" s="65">
        <f t="shared" si="1"/>
        <v>0</v>
      </c>
      <c r="Q5" s="65">
        <f t="shared" si="2"/>
        <v>0</v>
      </c>
      <c r="R5" s="66">
        <f t="shared" si="3"/>
        <v>21.23168561</v>
      </c>
      <c r="S5" s="131">
        <f t="shared" si="4"/>
        <v>0</v>
      </c>
      <c r="T5" s="132">
        <f t="shared" si="5"/>
        <v>0</v>
      </c>
      <c r="U5" s="6"/>
    </row>
    <row r="6" spans="1:24" x14ac:dyDescent="0.25">
      <c r="A6" s="123" t="s">
        <v>221</v>
      </c>
      <c r="B6" s="139">
        <f>'Assumed Values'!C9</f>
        <v>20.613287</v>
      </c>
      <c r="C6" s="6"/>
      <c r="D6" s="123" t="s">
        <v>194</v>
      </c>
      <c r="E6" s="133">
        <f>IF('Growth Rates'!$C$16&lt;&gt;0,'Growth Rates'!$C$16,VLOOKUP('Inputs &amp; Outputs'!$C$6,'Growth Rates'!$B$4:$D$11,3,FALSE))</f>
        <v>2.2889135162825314E-2</v>
      </c>
      <c r="F6" s="134"/>
      <c r="G6" s="6"/>
      <c r="H6" s="126">
        <f t="shared" si="6"/>
        <v>2023</v>
      </c>
      <c r="I6" s="127">
        <f>IF(ISERROR(_30_2045_Demand_Growth),_20_2045_Demand_Growth,_Facility_Type)</f>
        <v>2.2889135162825314E-2</v>
      </c>
      <c r="J6" s="136">
        <f t="shared" si="8"/>
        <v>1</v>
      </c>
      <c r="K6" s="137">
        <f t="shared" si="0"/>
        <v>1</v>
      </c>
      <c r="L6" s="138">
        <f t="shared" si="9"/>
        <v>13037.971500296377</v>
      </c>
      <c r="M6" s="130">
        <f t="shared" si="10"/>
        <v>0</v>
      </c>
      <c r="N6" s="130">
        <f>IF(H6=Year_Open_to_Traffic?,Calculations!$E$4,N5+(N5*I6))</f>
        <v>0</v>
      </c>
      <c r="O6" s="130">
        <f>IF(AND(H6&gt;=Year_Open_to_Traffic?, Calculations!H6&lt;Year_Open_to_Traffic?+'Inputs &amp; Outputs'!C$21), 1, 0)</f>
        <v>0</v>
      </c>
      <c r="P6" s="65">
        <f t="shared" si="1"/>
        <v>0</v>
      </c>
      <c r="Q6" s="65">
        <f t="shared" si="2"/>
        <v>0</v>
      </c>
      <c r="R6" s="66">
        <f t="shared" si="3"/>
        <v>21.868636178299997</v>
      </c>
      <c r="S6" s="131">
        <f t="shared" si="4"/>
        <v>0</v>
      </c>
      <c r="T6" s="132">
        <f t="shared" si="5"/>
        <v>0</v>
      </c>
      <c r="U6" s="6"/>
    </row>
    <row r="7" spans="1:24" x14ac:dyDescent="0.25">
      <c r="A7" s="123" t="s">
        <v>69</v>
      </c>
      <c r="B7" s="140">
        <f>'Assumed Values'!C10</f>
        <v>0.03</v>
      </c>
      <c r="C7" s="6"/>
      <c r="D7" s="141"/>
      <c r="E7" s="142"/>
      <c r="F7" s="141"/>
      <c r="G7" s="6"/>
      <c r="H7" s="135">
        <f t="shared" si="6"/>
        <v>2024</v>
      </c>
      <c r="I7" s="127">
        <f t="shared" si="7"/>
        <v>2.2889135162825314E-2</v>
      </c>
      <c r="J7" s="136">
        <f t="shared" si="8"/>
        <v>1</v>
      </c>
      <c r="K7" s="137">
        <f t="shared" si="0"/>
        <v>1</v>
      </c>
      <c r="L7" s="138">
        <f t="shared" si="9"/>
        <v>13336.399392215724</v>
      </c>
      <c r="M7" s="130">
        <f t="shared" si="10"/>
        <v>0</v>
      </c>
      <c r="N7" s="130">
        <f>IF(H7=Year_Open_to_Traffic?,Calculations!$E$4,N6+(N6*I7))</f>
        <v>0</v>
      </c>
      <c r="O7" s="130">
        <f>IF(AND(H7&gt;=Year_Open_to_Traffic?, Calculations!H7&lt;Year_Open_to_Traffic?+'Inputs &amp; Outputs'!C$21), 1, 0)</f>
        <v>0</v>
      </c>
      <c r="P7" s="65">
        <f t="shared" si="1"/>
        <v>0</v>
      </c>
      <c r="Q7" s="65">
        <f t="shared" si="2"/>
        <v>0</v>
      </c>
      <c r="R7" s="66">
        <f t="shared" si="3"/>
        <v>22.524695263649001</v>
      </c>
      <c r="S7" s="131">
        <f t="shared" si="4"/>
        <v>0</v>
      </c>
      <c r="T7" s="132">
        <f t="shared" si="5"/>
        <v>0</v>
      </c>
      <c r="U7" s="6"/>
    </row>
    <row r="8" spans="1:24" x14ac:dyDescent="0.25">
      <c r="A8" s="123" t="s">
        <v>204</v>
      </c>
      <c r="B8" s="123">
        <v>365</v>
      </c>
      <c r="C8" s="6"/>
      <c r="D8" s="141"/>
      <c r="E8" s="143"/>
      <c r="F8" s="141"/>
      <c r="G8" s="6"/>
      <c r="H8" s="126">
        <f t="shared" si="6"/>
        <v>2025</v>
      </c>
      <c r="I8" s="127">
        <f t="shared" si="7"/>
        <v>2.2889135162825314E-2</v>
      </c>
      <c r="J8" s="136">
        <f t="shared" si="8"/>
        <v>1</v>
      </c>
      <c r="K8" s="137">
        <f t="shared" si="0"/>
        <v>1</v>
      </c>
      <c r="L8" s="138">
        <f t="shared" si="9"/>
        <v>13641.658040489572</v>
      </c>
      <c r="M8" s="130">
        <f t="shared" si="10"/>
        <v>0</v>
      </c>
      <c r="N8" s="130">
        <f>IF(H8=Year_Open_to_Traffic?,Calculations!$E$4,N7+(N7*I8))</f>
        <v>0</v>
      </c>
      <c r="O8" s="130">
        <f>IF(AND(H8&gt;=Year_Open_to_Traffic?, Calculations!H8&lt;Year_Open_to_Traffic?+'Inputs &amp; Outputs'!C$21), 1, 0)</f>
        <v>0</v>
      </c>
      <c r="P8" s="65">
        <f t="shared" si="1"/>
        <v>0</v>
      </c>
      <c r="Q8" s="65">
        <f t="shared" si="2"/>
        <v>0</v>
      </c>
      <c r="R8" s="66">
        <f t="shared" si="3"/>
        <v>23.200436121558468</v>
      </c>
      <c r="S8" s="131">
        <f t="shared" si="4"/>
        <v>0</v>
      </c>
      <c r="T8" s="132">
        <f t="shared" si="5"/>
        <v>0</v>
      </c>
      <c r="U8" s="6"/>
      <c r="W8" s="63"/>
      <c r="X8" s="63"/>
    </row>
    <row r="9" spans="1:24" x14ac:dyDescent="0.25">
      <c r="A9" s="123" t="s">
        <v>64</v>
      </c>
      <c r="B9" s="123">
        <f>'Inputs &amp; Outputs'!C21</f>
        <v>20</v>
      </c>
      <c r="C9" s="6"/>
      <c r="D9" s="141"/>
      <c r="E9" s="143"/>
      <c r="F9" s="141"/>
      <c r="G9" s="6"/>
      <c r="H9" s="135">
        <f t="shared" si="6"/>
        <v>2026</v>
      </c>
      <c r="I9" s="127">
        <f t="shared" si="7"/>
        <v>2.2889135162825314E-2</v>
      </c>
      <c r="J9" s="136">
        <f t="shared" si="8"/>
        <v>1</v>
      </c>
      <c r="K9" s="137">
        <f t="shared" si="0"/>
        <v>1</v>
      </c>
      <c r="L9" s="138">
        <f t="shared" si="9"/>
        <v>13953.903795223381</v>
      </c>
      <c r="M9" s="130">
        <f t="shared" si="10"/>
        <v>0</v>
      </c>
      <c r="N9" s="130">
        <f>IF(H9=Year_Open_to_Traffic?,Calculations!$E$4,N8+(N8*I9))</f>
        <v>0</v>
      </c>
      <c r="O9" s="130">
        <f>IF(AND(H9&gt;=Year_Open_to_Traffic?, Calculations!H9&lt;Year_Open_to_Traffic?+'Inputs &amp; Outputs'!C$21), 1, 0)</f>
        <v>0</v>
      </c>
      <c r="P9" s="65">
        <f t="shared" si="1"/>
        <v>0</v>
      </c>
      <c r="Q9" s="65">
        <f t="shared" si="2"/>
        <v>0</v>
      </c>
      <c r="R9" s="66">
        <f t="shared" si="3"/>
        <v>23.896449205205222</v>
      </c>
      <c r="S9" s="131">
        <f t="shared" si="4"/>
        <v>0</v>
      </c>
      <c r="T9" s="132">
        <f t="shared" si="5"/>
        <v>0</v>
      </c>
      <c r="U9" s="6"/>
      <c r="W9" s="63"/>
    </row>
    <row r="10" spans="1:24" x14ac:dyDescent="0.25">
      <c r="A10" s="6"/>
      <c r="B10" s="6"/>
      <c r="C10" s="6"/>
      <c r="D10" s="141"/>
      <c r="E10" s="143"/>
      <c r="F10" s="141"/>
      <c r="G10" s="6"/>
      <c r="H10" s="126">
        <f t="shared" si="6"/>
        <v>2027</v>
      </c>
      <c r="I10" s="127">
        <f t="shared" si="7"/>
        <v>2.2889135162825314E-2</v>
      </c>
      <c r="J10" s="136">
        <f t="shared" si="8"/>
        <v>1</v>
      </c>
      <c r="K10" s="137">
        <f t="shared" si="0"/>
        <v>1</v>
      </c>
      <c r="L10" s="138">
        <f t="shared" si="9"/>
        <v>14273.296585241311</v>
      </c>
      <c r="M10" s="130">
        <f t="shared" si="10"/>
        <v>0</v>
      </c>
      <c r="N10" s="130">
        <f>IF(H10=Year_Open_to_Traffic?,Calculations!$E$4,N9+(N9*I10))</f>
        <v>0</v>
      </c>
      <c r="O10" s="130">
        <f>IF(AND(H10&gt;=Year_Open_to_Traffic?, Calculations!H10&lt;Year_Open_to_Traffic?+'Inputs &amp; Outputs'!C$21), 1, 0)</f>
        <v>0</v>
      </c>
      <c r="P10" s="65">
        <f t="shared" si="1"/>
        <v>0</v>
      </c>
      <c r="Q10" s="65">
        <f t="shared" si="2"/>
        <v>0</v>
      </c>
      <c r="R10" s="66">
        <f t="shared" si="3"/>
        <v>24.613342681361377</v>
      </c>
      <c r="S10" s="131">
        <f t="shared" si="4"/>
        <v>0</v>
      </c>
      <c r="T10" s="132">
        <f t="shared" si="5"/>
        <v>0</v>
      </c>
      <c r="U10" s="6"/>
      <c r="W10" s="63"/>
    </row>
    <row r="11" spans="1:24" ht="30" customHeight="1" x14ac:dyDescent="0.25">
      <c r="A11" s="171" t="s">
        <v>186</v>
      </c>
      <c r="B11" s="172"/>
      <c r="C11" s="6"/>
      <c r="D11" s="141"/>
      <c r="E11" s="142"/>
      <c r="F11" s="141"/>
      <c r="G11" s="6"/>
      <c r="H11" s="135">
        <f t="shared" si="6"/>
        <v>2028</v>
      </c>
      <c r="I11" s="127">
        <f t="shared" si="7"/>
        <v>2.2889135162825314E-2</v>
      </c>
      <c r="J11" s="136">
        <f t="shared" si="8"/>
        <v>1</v>
      </c>
      <c r="K11" s="137">
        <f t="shared" si="0"/>
        <v>1</v>
      </c>
      <c r="L11" s="138">
        <f t="shared" si="9"/>
        <v>14599.999999999993</v>
      </c>
      <c r="M11" s="130">
        <f t="shared" si="10"/>
        <v>298424</v>
      </c>
      <c r="N11" s="130">
        <f>IF(H11=Year_Open_to_Traffic?,Calculations!$E$4,N10+(N10*I11))</f>
        <v>275125.61200000002</v>
      </c>
      <c r="O11" s="130">
        <f>IF(AND(H11&gt;=Year_Open_to_Traffic?, Calculations!H11&lt;Year_Open_to_Traffic?+'Inputs &amp; Outputs'!C$21), 1, 0)</f>
        <v>1</v>
      </c>
      <c r="P11" s="65">
        <f t="shared" si="1"/>
        <v>23298.387999999977</v>
      </c>
      <c r="Q11" s="65">
        <f t="shared" si="2"/>
        <v>1</v>
      </c>
      <c r="R11" s="66">
        <f t="shared" si="3"/>
        <v>25.35174296180222</v>
      </c>
      <c r="S11" s="131">
        <f t="shared" si="4"/>
        <v>821.01009416046782</v>
      </c>
      <c r="T11" s="132">
        <f t="shared" si="5"/>
        <v>511.28382422307516</v>
      </c>
      <c r="U11" s="6"/>
      <c r="W11" s="63"/>
    </row>
    <row r="12" spans="1:24" x14ac:dyDescent="0.25">
      <c r="A12" s="123" t="s">
        <v>178</v>
      </c>
      <c r="B12" s="144">
        <v>0.45</v>
      </c>
      <c r="C12" s="6"/>
      <c r="D12" s="141"/>
      <c r="E12" s="142"/>
      <c r="F12" s="141"/>
      <c r="G12" s="6"/>
      <c r="H12" s="126">
        <v>2026</v>
      </c>
      <c r="I12" s="127">
        <f t="shared" si="7"/>
        <v>2.2889135162825314E-2</v>
      </c>
      <c r="J12" s="136">
        <f t="shared" ref="J12:J36" si="11">J11*(1+IFERROR(_30_2045_V_C_Growth,_20_2045_V_C_Growth))</f>
        <v>1</v>
      </c>
      <c r="K12" s="137">
        <f t="shared" si="0"/>
        <v>1</v>
      </c>
      <c r="L12" s="138">
        <f t="shared" si="9"/>
        <v>14934.181373377241</v>
      </c>
      <c r="M12" s="130">
        <f t="shared" si="10"/>
        <v>305254.66727183096</v>
      </c>
      <c r="N12" s="130">
        <f>IF(H12=Year_Open_to_Traffic?,Calculations!$E$4,N11+(N11*I12))</f>
        <v>281422.99931982305</v>
      </c>
      <c r="O12" s="130">
        <v>1</v>
      </c>
      <c r="P12" s="65">
        <f t="shared" si="1"/>
        <v>23831.667952007905</v>
      </c>
      <c r="Q12" s="65">
        <v>1</v>
      </c>
      <c r="R12" s="66">
        <f t="shared" si="3"/>
        <v>23.896449205205222</v>
      </c>
      <c r="S12" s="131">
        <f t="shared" si="4"/>
        <v>791.59421733975887</v>
      </c>
      <c r="T12" s="132">
        <f t="shared" si="5"/>
        <v>564.39573672243932</v>
      </c>
      <c r="U12" s="6"/>
      <c r="W12" s="63"/>
    </row>
    <row r="13" spans="1:24" x14ac:dyDescent="0.25">
      <c r="A13" s="123" t="s">
        <v>179</v>
      </c>
      <c r="B13" s="144">
        <v>0.43</v>
      </c>
      <c r="C13" s="6"/>
      <c r="D13" s="141"/>
      <c r="E13" s="142"/>
      <c r="F13" s="141"/>
      <c r="G13" s="6"/>
      <c r="H13" s="135">
        <f t="shared" si="6"/>
        <v>2027</v>
      </c>
      <c r="I13" s="127">
        <f t="shared" si="7"/>
        <v>2.2889135162825314E-2</v>
      </c>
      <c r="J13" s="136">
        <f t="shared" si="11"/>
        <v>1</v>
      </c>
      <c r="K13" s="137">
        <f t="shared" si="0"/>
        <v>1</v>
      </c>
      <c r="L13" s="138">
        <f t="shared" si="9"/>
        <v>15276.011869378621</v>
      </c>
      <c r="M13" s="130">
        <f t="shared" si="10"/>
        <v>312241.68261009915</v>
      </c>
      <c r="N13" s="130">
        <f>IF(H13=Year_Open_to_Traffic?,Calculations!$E$4,N12+(N12*I13))</f>
        <v>287864.52838918217</v>
      </c>
      <c r="O13" s="130">
        <f>IF(AND(H13&gt;=Year_Open_to_Traffic?, Calculations!H13&lt;Year_Open_to_Traffic?+'Inputs &amp; Outputs'!C$21), 1, 0)</f>
        <v>0</v>
      </c>
      <c r="P13" s="65">
        <f t="shared" si="1"/>
        <v>0</v>
      </c>
      <c r="Q13" s="65">
        <f t="shared" si="2"/>
        <v>0</v>
      </c>
      <c r="R13" s="66">
        <f t="shared" si="3"/>
        <v>24.613342681361377</v>
      </c>
      <c r="S13" s="131">
        <f t="shared" si="4"/>
        <v>0</v>
      </c>
      <c r="T13" s="132">
        <f t="shared" si="5"/>
        <v>0</v>
      </c>
      <c r="U13" s="6"/>
      <c r="W13" s="63"/>
    </row>
    <row r="14" spans="1:24" x14ac:dyDescent="0.25">
      <c r="A14" s="6"/>
      <c r="B14" s="6"/>
      <c r="C14" s="6"/>
      <c r="D14" s="6"/>
      <c r="E14" s="6"/>
      <c r="F14" s="6"/>
      <c r="G14" s="6"/>
      <c r="H14" s="126">
        <f>H13+1</f>
        <v>2028</v>
      </c>
      <c r="I14" s="127">
        <f t="shared" si="7"/>
        <v>2.2889135162825314E-2</v>
      </c>
      <c r="J14" s="136">
        <f t="shared" si="11"/>
        <v>1</v>
      </c>
      <c r="K14" s="137">
        <f t="shared" si="0"/>
        <v>1</v>
      </c>
      <c r="L14" s="138">
        <f t="shared" si="9"/>
        <v>15625.666569805751</v>
      </c>
      <c r="M14" s="130">
        <f t="shared" si="10"/>
        <v>298424</v>
      </c>
      <c r="N14" s="130">
        <f>IF(H14=Year_Open_to_Traffic?,Calculations!$E$4,N13+(N13*I14))</f>
        <v>275125.61200000002</v>
      </c>
      <c r="O14" s="130">
        <f>IF(AND(H14&gt;=Year_Open_to_Traffic?, Calculations!H14&lt;Year_Open_to_Traffic?+'Inputs &amp; Outputs'!C$21), 1, 0)</f>
        <v>1</v>
      </c>
      <c r="P14" s="65">
        <f t="shared" si="1"/>
        <v>23298.387999999977</v>
      </c>
      <c r="Q14" s="65">
        <f t="shared" si="2"/>
        <v>1</v>
      </c>
      <c r="R14" s="66">
        <f t="shared" si="3"/>
        <v>25.35174296180222</v>
      </c>
      <c r="S14" s="131">
        <f t="shared" si="4"/>
        <v>821.01009416046782</v>
      </c>
      <c r="T14" s="132">
        <f t="shared" si="5"/>
        <v>511.28382422307516</v>
      </c>
      <c r="U14" s="6"/>
      <c r="W14" s="63"/>
    </row>
    <row r="15" spans="1:24" x14ac:dyDescent="0.25">
      <c r="A15" s="6"/>
      <c r="B15" s="6"/>
      <c r="C15" s="6"/>
      <c r="D15" s="6"/>
      <c r="E15" s="6"/>
      <c r="F15" s="6"/>
      <c r="G15" s="6"/>
      <c r="H15" s="135">
        <f t="shared" si="6"/>
        <v>2029</v>
      </c>
      <c r="I15" s="127">
        <f t="shared" si="7"/>
        <v>2.2889135162825314E-2</v>
      </c>
      <c r="J15" s="136">
        <f t="shared" si="11"/>
        <v>1</v>
      </c>
      <c r="K15" s="137">
        <f t="shared" si="0"/>
        <v>1</v>
      </c>
      <c r="L15" s="138">
        <f t="shared" si="9"/>
        <v>15983.324563931275</v>
      </c>
      <c r="M15" s="130">
        <f t="shared" si="10"/>
        <v>305254.66727183096</v>
      </c>
      <c r="N15" s="130">
        <f>IF(H15=Year_Open_to_Traffic?,Calculations!$E$4,N14+(N14*I15))</f>
        <v>281422.99931982305</v>
      </c>
      <c r="O15" s="130">
        <f>IF(AND(H15&gt;=Year_Open_to_Traffic?, Calculations!H15&lt;Year_Open_to_Traffic?+'Inputs &amp; Outputs'!C$21), 1, 0)</f>
        <v>1</v>
      </c>
      <c r="P15" s="65">
        <f t="shared" si="1"/>
        <v>23831.667952007905</v>
      </c>
      <c r="Q15" s="65">
        <f t="shared" si="2"/>
        <v>1</v>
      </c>
      <c r="R15" s="66">
        <f t="shared" si="3"/>
        <v>26.112295250656285</v>
      </c>
      <c r="S15" s="131">
        <f t="shared" si="4"/>
        <v>864.99637433102259</v>
      </c>
      <c r="T15" s="132">
        <f t="shared" si="5"/>
        <v>503.43576527640323</v>
      </c>
      <c r="U15" s="6"/>
      <c r="W15" s="63"/>
    </row>
    <row r="16" spans="1:24" x14ac:dyDescent="0.25">
      <c r="A16" s="173" t="s">
        <v>214</v>
      </c>
      <c r="B16" s="174"/>
      <c r="C16" s="6"/>
      <c r="D16" s="6"/>
      <c r="E16" s="6"/>
      <c r="F16" s="6"/>
      <c r="G16" s="6"/>
      <c r="H16" s="126">
        <f t="shared" si="6"/>
        <v>2030</v>
      </c>
      <c r="I16" s="127">
        <f t="shared" ref="I16:I36" si="12">IFERROR(_30_2045_Demand_Growth,_20_2045_Demand_Growth)</f>
        <v>2.2889135162825314E-2</v>
      </c>
      <c r="J16" s="136">
        <f t="shared" si="11"/>
        <v>1</v>
      </c>
      <c r="K16" s="137">
        <f t="shared" si="0"/>
        <v>1</v>
      </c>
      <c r="L16" s="138">
        <f t="shared" si="9"/>
        <v>16349.169040226405</v>
      </c>
      <c r="M16" s="130">
        <f t="shared" si="10"/>
        <v>312241.68261009915</v>
      </c>
      <c r="N16" s="130">
        <f>IF(H16=Year_Open_to_Traffic?,Calculations!$E$4,N15+(N15*I16))</f>
        <v>287864.52838918217</v>
      </c>
      <c r="O16" s="130">
        <f>IF(AND(H16&gt;=Year_Open_to_Traffic?, Calculations!H16&lt;Year_Open_to_Traffic?+'Inputs &amp; Outputs'!C$21), 1, 0)</f>
        <v>1</v>
      </c>
      <c r="P16" s="65">
        <f t="shared" si="1"/>
        <v>24377.154220916971</v>
      </c>
      <c r="Q16" s="65">
        <f t="shared" si="2"/>
        <v>1</v>
      </c>
      <c r="R16" s="66">
        <f t="shared" si="3"/>
        <v>26.895664108175975</v>
      </c>
      <c r="S16" s="131">
        <f t="shared" si="4"/>
        <v>911.33925505619209</v>
      </c>
      <c r="T16" s="132">
        <f t="shared" si="5"/>
        <v>495.70817176656402</v>
      </c>
      <c r="U16" s="6"/>
      <c r="W16" s="63"/>
    </row>
    <row r="17" spans="1:23" x14ac:dyDescent="0.25">
      <c r="A17" s="145"/>
      <c r="B17" s="6"/>
      <c r="C17" s="6"/>
      <c r="D17" s="6"/>
      <c r="E17" s="6"/>
      <c r="F17" s="6"/>
      <c r="G17" s="6"/>
      <c r="H17" s="135">
        <f t="shared" si="6"/>
        <v>2031</v>
      </c>
      <c r="I17" s="127">
        <f t="shared" si="12"/>
        <v>2.2889135162825314E-2</v>
      </c>
      <c r="J17" s="136">
        <f t="shared" si="11"/>
        <v>1</v>
      </c>
      <c r="K17" s="137">
        <f t="shared" si="0"/>
        <v>1</v>
      </c>
      <c r="L17" s="138">
        <f t="shared" si="9"/>
        <v>16723.387380188025</v>
      </c>
      <c r="M17" s="130">
        <f t="shared" si="10"/>
        <v>319388.62468682969</v>
      </c>
      <c r="N17" s="130">
        <f>IF(H17=Year_Open_to_Traffic?,Calculations!$E$4,N16+(N16*I17))</f>
        <v>294453.49848806515</v>
      </c>
      <c r="O17" s="130">
        <f>IF(AND(H17&gt;=Year_Open_to_Traffic?, Calculations!H17&lt;Year_Open_to_Traffic?+'Inputs &amp; Outputs'!C$21), 1, 0)</f>
        <v>1</v>
      </c>
      <c r="P17" s="65">
        <f t="shared" si="1"/>
        <v>24935.126198764541</v>
      </c>
      <c r="Q17" s="65">
        <f t="shared" si="2"/>
        <v>1</v>
      </c>
      <c r="R17" s="66">
        <f t="shared" si="3"/>
        <v>27.702534031421255</v>
      </c>
      <c r="S17" s="131">
        <f t="shared" si="4"/>
        <v>960.16499311769098</v>
      </c>
      <c r="T17" s="132">
        <f t="shared" si="5"/>
        <v>488.09919458391437</v>
      </c>
      <c r="U17" s="6"/>
      <c r="W17" s="63"/>
    </row>
    <row r="18" spans="1:23" x14ac:dyDescent="0.25">
      <c r="A18" s="6"/>
      <c r="B18" s="6"/>
      <c r="C18" s="6"/>
      <c r="D18" s="6"/>
      <c r="E18" s="6"/>
      <c r="F18" s="6"/>
      <c r="G18" s="6"/>
      <c r="H18" s="126">
        <f t="shared" si="6"/>
        <v>2032</v>
      </c>
      <c r="I18" s="127">
        <f t="shared" si="12"/>
        <v>2.2889135162825314E-2</v>
      </c>
      <c r="J18" s="136">
        <f t="shared" si="11"/>
        <v>1</v>
      </c>
      <c r="K18" s="137">
        <f t="shared" si="0"/>
        <v>1</v>
      </c>
      <c r="L18" s="138">
        <f t="shared" si="9"/>
        <v>17106.171254313434</v>
      </c>
      <c r="M18" s="130">
        <f t="shared" si="10"/>
        <v>326699.15408675541</v>
      </c>
      <c r="N18" s="130">
        <f>IF(H18=Year_Open_to_Traffic?,Calculations!$E$4,N17+(N17*I18))</f>
        <v>301193.28441412526</v>
      </c>
      <c r="O18" s="130">
        <f>IF(AND(H18&gt;=Year_Open_to_Traffic?, Calculations!H18&lt;Year_Open_to_Traffic?+'Inputs &amp; Outputs'!C$21), 1, 0)</f>
        <v>1</v>
      </c>
      <c r="P18" s="65">
        <f t="shared" si="1"/>
        <v>25505.869672630157</v>
      </c>
      <c r="Q18" s="65">
        <f t="shared" si="2"/>
        <v>1</v>
      </c>
      <c r="R18" s="66">
        <f t="shared" si="3"/>
        <v>28.53361005236389</v>
      </c>
      <c r="S18" s="131">
        <f t="shared" si="4"/>
        <v>1011.6066096064878</v>
      </c>
      <c r="T18" s="132">
        <f t="shared" si="5"/>
        <v>480.60701300211201</v>
      </c>
      <c r="U18" s="6"/>
      <c r="W18" s="63"/>
    </row>
    <row r="19" spans="1:23" x14ac:dyDescent="0.25">
      <c r="A19" s="6"/>
      <c r="B19" s="6"/>
      <c r="C19" s="6"/>
      <c r="D19" s="6"/>
      <c r="E19" s="6"/>
      <c r="F19" s="6"/>
      <c r="G19" s="6"/>
      <c r="H19" s="135">
        <f t="shared" si="6"/>
        <v>2033</v>
      </c>
      <c r="I19" s="127">
        <f t="shared" si="12"/>
        <v>2.2889135162825314E-2</v>
      </c>
      <c r="J19" s="136">
        <f t="shared" si="11"/>
        <v>1</v>
      </c>
      <c r="K19" s="137">
        <f t="shared" si="0"/>
        <v>1</v>
      </c>
      <c r="L19" s="138">
        <f t="shared" si="9"/>
        <v>17497.716720271852</v>
      </c>
      <c r="M19" s="130">
        <f t="shared" si="10"/>
        <v>334177.01518222783</v>
      </c>
      <c r="N19" s="130">
        <f>IF(H19=Year_Open_to_Traffic?,Calculations!$E$4,N18+(N18*I19))</f>
        <v>308087.33821121545</v>
      </c>
      <c r="O19" s="130">
        <f>IF(AND(H19&gt;=Year_Open_to_Traffic?, Calculations!H19&lt;Year_Open_to_Traffic?+'Inputs &amp; Outputs'!C$21), 1, 0)</f>
        <v>1</v>
      </c>
      <c r="P19" s="65">
        <f t="shared" si="1"/>
        <v>26089.676971012377</v>
      </c>
      <c r="Q19" s="65">
        <f t="shared" si="2"/>
        <v>1</v>
      </c>
      <c r="R19" s="66">
        <f t="shared" si="3"/>
        <v>29.389618353934804</v>
      </c>
      <c r="S19" s="131">
        <f t="shared" si="4"/>
        <v>1065.8042523261388</v>
      </c>
      <c r="T19" s="132">
        <f t="shared" si="5"/>
        <v>473.22983424243586</v>
      </c>
      <c r="U19" s="6"/>
      <c r="W19" s="63"/>
    </row>
    <row r="20" spans="1:23" x14ac:dyDescent="0.25">
      <c r="A20" s="6"/>
      <c r="B20" s="6"/>
      <c r="C20" s="6"/>
      <c r="D20" s="6"/>
      <c r="E20" s="6"/>
      <c r="F20" s="6"/>
      <c r="G20" s="6"/>
      <c r="H20" s="126">
        <f t="shared" si="6"/>
        <v>2034</v>
      </c>
      <c r="I20" s="127">
        <f t="shared" si="12"/>
        <v>2.2889135162825314E-2</v>
      </c>
      <c r="J20" s="136">
        <f t="shared" si="11"/>
        <v>1</v>
      </c>
      <c r="K20" s="137">
        <f t="shared" si="0"/>
        <v>1</v>
      </c>
      <c r="L20" s="138">
        <f t="shared" si="9"/>
        <v>17898.224323322982</v>
      </c>
      <c r="M20" s="130">
        <f t="shared" si="10"/>
        <v>341826.03805104335</v>
      </c>
      <c r="N20" s="130">
        <f>IF(H20=Year_Open_to_Traffic?,Calculations!$E$4,N19+(N19*I20))</f>
        <v>315139.19093748706</v>
      </c>
      <c r="O20" s="130">
        <f>IF(AND(H20&gt;=Year_Open_to_Traffic?, Calculations!H20&lt;Year_Open_to_Traffic?+'Inputs &amp; Outputs'!C$21), 1, 0)</f>
        <v>1</v>
      </c>
      <c r="P20" s="65">
        <f t="shared" si="1"/>
        <v>26686.847113556287</v>
      </c>
      <c r="Q20" s="65">
        <f t="shared" si="2"/>
        <v>1</v>
      </c>
      <c r="R20" s="66">
        <f t="shared" si="3"/>
        <v>30.271306904552848</v>
      </c>
      <c r="S20" s="131">
        <f t="shared" si="4"/>
        <v>1122.9055776121863</v>
      </c>
      <c r="T20" s="132">
        <f t="shared" si="5"/>
        <v>465.96589304480034</v>
      </c>
      <c r="U20" s="6"/>
      <c r="W20" s="63"/>
    </row>
    <row r="21" spans="1:23" x14ac:dyDescent="0.25">
      <c r="A21" s="6"/>
      <c r="B21" s="6"/>
      <c r="C21" s="6"/>
      <c r="D21" s="6"/>
      <c r="E21" s="6"/>
      <c r="F21" s="6"/>
      <c r="G21" s="6"/>
      <c r="H21" s="135">
        <f t="shared" si="6"/>
        <v>2035</v>
      </c>
      <c r="I21" s="127">
        <f t="shared" si="12"/>
        <v>2.2889135162825314E-2</v>
      </c>
      <c r="J21" s="136">
        <f t="shared" si="11"/>
        <v>1</v>
      </c>
      <c r="K21" s="137">
        <f t="shared" si="0"/>
        <v>1</v>
      </c>
      <c r="L21" s="138">
        <f t="shared" si="9"/>
        <v>18307.899199034091</v>
      </c>
      <c r="M21" s="130">
        <f t="shared" si="10"/>
        <v>349650.14043816674</v>
      </c>
      <c r="N21" s="130">
        <f>IF(H21=Year_Open_to_Traffic?,Calculations!$E$4,N20+(N20*I21))</f>
        <v>322352.45447395864</v>
      </c>
      <c r="O21" s="130">
        <f>IF(AND(H21&gt;=Year_Open_to_Traffic?, Calculations!H21&lt;Year_Open_to_Traffic?+'Inputs &amp; Outputs'!C$21), 1, 0)</f>
        <v>1</v>
      </c>
      <c r="P21" s="65">
        <f t="shared" si="1"/>
        <v>27297.685964208096</v>
      </c>
      <c r="Q21" s="65">
        <f t="shared" si="2"/>
        <v>1</v>
      </c>
      <c r="R21" s="66">
        <f t="shared" si="3"/>
        <v>31.179446111689437</v>
      </c>
      <c r="S21" s="131">
        <f t="shared" si="4"/>
        <v>1183.0661526078377</v>
      </c>
      <c r="T21" s="132">
        <f t="shared" si="5"/>
        <v>458.81345124535306</v>
      </c>
      <c r="U21" s="6"/>
      <c r="W21" s="63"/>
    </row>
    <row r="22" spans="1:23" x14ac:dyDescent="0.25">
      <c r="A22" s="6"/>
      <c r="B22" s="6"/>
      <c r="C22" s="6"/>
      <c r="D22" s="6"/>
      <c r="E22" s="6"/>
      <c r="F22" s="6"/>
      <c r="G22" s="6"/>
      <c r="H22" s="126">
        <f>H21+1</f>
        <v>2036</v>
      </c>
      <c r="I22" s="127">
        <f t="shared" si="12"/>
        <v>2.2889135162825314E-2</v>
      </c>
      <c r="J22" s="136">
        <f t="shared" si="11"/>
        <v>1</v>
      </c>
      <c r="K22" s="137">
        <f t="shared" si="0"/>
        <v>1</v>
      </c>
      <c r="L22" s="138">
        <f t="shared" si="9"/>
        <v>18726.951178348165</v>
      </c>
      <c r="M22" s="130">
        <f t="shared" si="10"/>
        <v>357653.32976235676</v>
      </c>
      <c r="N22" s="130">
        <f>IF(H22=Year_Open_to_Traffic?,Calculations!$E$4,N21+(N21*I22))</f>
        <v>329730.82337448158</v>
      </c>
      <c r="O22" s="130">
        <f>IF(AND(H22&gt;=Year_Open_to_Traffic?, Calculations!H22&lt;Year_Open_to_Traffic?+'Inputs &amp; Outputs'!C$21), 1, 0)</f>
        <v>1</v>
      </c>
      <c r="P22" s="65">
        <f t="shared" si="1"/>
        <v>27922.506387875183</v>
      </c>
      <c r="Q22" s="65">
        <f t="shared" si="2"/>
        <v>1</v>
      </c>
      <c r="R22" s="66">
        <f t="shared" si="3"/>
        <v>32.114829495040119</v>
      </c>
      <c r="S22" s="131">
        <f t="shared" si="4"/>
        <v>1246.4498790918842</v>
      </c>
      <c r="T22" s="132">
        <f t="shared" si="5"/>
        <v>451.7707973605539</v>
      </c>
      <c r="U22" s="6"/>
      <c r="W22" s="63"/>
    </row>
    <row r="23" spans="1:23" x14ac:dyDescent="0.25">
      <c r="A23" s="6"/>
      <c r="B23" s="6"/>
      <c r="C23" s="6"/>
      <c r="D23" s="6"/>
      <c r="E23" s="6"/>
      <c r="F23" s="6"/>
      <c r="G23" s="6"/>
      <c r="H23" s="135">
        <f t="shared" si="6"/>
        <v>2037</v>
      </c>
      <c r="I23" s="127">
        <f t="shared" si="12"/>
        <v>2.2889135162825314E-2</v>
      </c>
      <c r="J23" s="136">
        <f t="shared" si="11"/>
        <v>1</v>
      </c>
      <c r="K23" s="137">
        <f t="shared" si="0"/>
        <v>1</v>
      </c>
      <c r="L23" s="138">
        <f t="shared" si="9"/>
        <v>19155.594895057005</v>
      </c>
      <c r="M23" s="130">
        <f t="shared" si="10"/>
        <v>365839.70516872191</v>
      </c>
      <c r="N23" s="130">
        <f>IF(H23=Year_Open_to_Traffic?,Calculations!$E$4,N22+(N22*I23))</f>
        <v>337278.07675804978</v>
      </c>
      <c r="O23" s="130">
        <f>IF(AND(H23&gt;=Year_Open_to_Traffic?, Calculations!H23&lt;Year_Open_to_Traffic?+'Inputs &amp; Outputs'!C$21), 1, 0)</f>
        <v>1</v>
      </c>
      <c r="P23" s="65">
        <f t="shared" si="1"/>
        <v>28561.628410672129</v>
      </c>
      <c r="Q23" s="65">
        <f t="shared" si="2"/>
        <v>1</v>
      </c>
      <c r="R23" s="66">
        <f t="shared" si="3"/>
        <v>33.078274379891319</v>
      </c>
      <c r="S23" s="131">
        <f t="shared" si="4"/>
        <v>1313.2294400135493</v>
      </c>
      <c r="T23" s="132">
        <f t="shared" si="5"/>
        <v>444.83624617764104</v>
      </c>
      <c r="U23" s="6"/>
      <c r="W23" s="63"/>
    </row>
    <row r="24" spans="1:23" x14ac:dyDescent="0.25">
      <c r="A24" s="6"/>
      <c r="B24" s="6"/>
      <c r="C24" s="6"/>
      <c r="D24" s="6"/>
      <c r="E24" s="6"/>
      <c r="F24" s="6"/>
      <c r="G24" s="6"/>
      <c r="H24" s="126">
        <f t="shared" si="6"/>
        <v>2038</v>
      </c>
      <c r="I24" s="127">
        <f t="shared" si="12"/>
        <v>2.2889135162825314E-2</v>
      </c>
      <c r="J24" s="136">
        <f t="shared" si="11"/>
        <v>1</v>
      </c>
      <c r="K24" s="137">
        <f t="shared" si="0"/>
        <v>1</v>
      </c>
      <c r="L24" s="138">
        <f t="shared" si="9"/>
        <v>19594.049895734293</v>
      </c>
      <c r="M24" s="130">
        <f t="shared" si="10"/>
        <v>374213.45962825697</v>
      </c>
      <c r="N24" s="130">
        <f>IF(H24=Year_Open_to_Traffic?,Calculations!$E$4,N23+(N23*I24))</f>
        <v>344998.08024442254</v>
      </c>
      <c r="O24" s="130">
        <f>IF(AND(H24&gt;=Year_Open_to_Traffic?, Calculations!H24&lt;Year_Open_to_Traffic?+'Inputs &amp; Outputs'!C$21), 1, 0)</f>
        <v>1</v>
      </c>
      <c r="P24" s="65">
        <f t="shared" si="1"/>
        <v>29215.379383834428</v>
      </c>
      <c r="Q24" s="65">
        <f t="shared" si="2"/>
        <v>1</v>
      </c>
      <c r="R24" s="66">
        <f t="shared" si="3"/>
        <v>34.070622611288059</v>
      </c>
      <c r="S24" s="131">
        <f t="shared" si="4"/>
        <v>1383.5867699507971</v>
      </c>
      <c r="T24" s="132">
        <f t="shared" si="5"/>
        <v>438.00813835138058</v>
      </c>
      <c r="U24" s="6"/>
      <c r="W24" s="63"/>
    </row>
    <row r="25" spans="1:23" x14ac:dyDescent="0.25">
      <c r="A25" s="6"/>
      <c r="B25" s="6"/>
      <c r="C25" s="6"/>
      <c r="D25" s="6"/>
      <c r="E25" s="6"/>
      <c r="F25" s="6"/>
      <c r="G25" s="6"/>
      <c r="H25" s="135">
        <f t="shared" si="6"/>
        <v>2039</v>
      </c>
      <c r="I25" s="127">
        <f t="shared" si="12"/>
        <v>2.2889135162825314E-2</v>
      </c>
      <c r="J25" s="136">
        <f t="shared" si="11"/>
        <v>1</v>
      </c>
      <c r="K25" s="137">
        <f t="shared" si="0"/>
        <v>1</v>
      </c>
      <c r="L25" s="138">
        <f t="shared" si="9"/>
        <v>20042.540752184897</v>
      </c>
      <c r="M25" s="130">
        <f t="shared" si="10"/>
        <v>382778.88208543661</v>
      </c>
      <c r="N25" s="130">
        <f>IF(H25=Year_Open_to_Traffic?,Calculations!$E$4,N24+(N24*I25))</f>
        <v>352894.78793405241</v>
      </c>
      <c r="O25" s="130">
        <f>IF(AND(H25&gt;=Year_Open_to_Traffic?, Calculations!H25&lt;Year_Open_to_Traffic?+'Inputs &amp; Outputs'!C$21), 1, 0)</f>
        <v>1</v>
      </c>
      <c r="P25" s="65">
        <f t="shared" si="1"/>
        <v>29884.094151384197</v>
      </c>
      <c r="Q25" s="65">
        <f t="shared" si="2"/>
        <v>1</v>
      </c>
      <c r="R25" s="66">
        <f t="shared" si="3"/>
        <v>35.092741289626701</v>
      </c>
      <c r="S25" s="131">
        <f t="shared" si="4"/>
        <v>1457.7135507738269</v>
      </c>
      <c r="T25" s="132">
        <f t="shared" si="5"/>
        <v>431.2848400070074</v>
      </c>
      <c r="U25" s="6"/>
      <c r="W25" s="63"/>
    </row>
    <row r="26" spans="1:23" x14ac:dyDescent="0.25">
      <c r="A26" s="6"/>
      <c r="B26" s="6"/>
      <c r="C26" s="6"/>
      <c r="D26" s="6"/>
      <c r="E26" s="6"/>
      <c r="F26" s="6"/>
      <c r="G26" s="6"/>
      <c r="H26" s="126">
        <f t="shared" si="6"/>
        <v>2040</v>
      </c>
      <c r="I26" s="127">
        <f t="shared" si="12"/>
        <v>2.2889135162825314E-2</v>
      </c>
      <c r="J26" s="136">
        <f t="shared" si="11"/>
        <v>1</v>
      </c>
      <c r="K26" s="137">
        <f t="shared" si="0"/>
        <v>1</v>
      </c>
      <c r="L26" s="138">
        <f t="shared" si="9"/>
        <v>20501.297176468091</v>
      </c>
      <c r="M26" s="130">
        <f t="shared" si="10"/>
        <v>391540.35965496534</v>
      </c>
      <c r="N26" s="130">
        <f>IF(H26=Year_Open_to_Traffic?,Calculations!$E$4,N25+(N25*I26))</f>
        <v>360972.24443333154</v>
      </c>
      <c r="O26" s="130">
        <f>IF(AND(H26&gt;=Year_Open_to_Traffic?, Calculations!H26&lt;Year_Open_to_Traffic?+'Inputs &amp; Outputs'!C$21), 1, 0)</f>
        <v>1</v>
      </c>
      <c r="P26" s="65">
        <f t="shared" si="1"/>
        <v>30568.115221633809</v>
      </c>
      <c r="Q26" s="65">
        <f t="shared" si="2"/>
        <v>1</v>
      </c>
      <c r="R26" s="66">
        <f t="shared" si="3"/>
        <v>36.145523528315501</v>
      </c>
      <c r="S26" s="131">
        <f t="shared" si="4"/>
        <v>1535.8117338641553</v>
      </c>
      <c r="T26" s="132">
        <f t="shared" si="5"/>
        <v>424.66474234926466</v>
      </c>
      <c r="U26" s="6"/>
      <c r="W26" s="63"/>
    </row>
    <row r="27" spans="1:23" x14ac:dyDescent="0.25">
      <c r="A27" s="6"/>
      <c r="B27" s="6"/>
      <c r="C27" s="6"/>
      <c r="D27" s="6"/>
      <c r="E27" s="6"/>
      <c r="F27" s="6"/>
      <c r="G27" s="6"/>
      <c r="H27" s="135">
        <f t="shared" si="6"/>
        <v>2041</v>
      </c>
      <c r="I27" s="127">
        <f t="shared" si="12"/>
        <v>2.2889135162825314E-2</v>
      </c>
      <c r="J27" s="136">
        <f t="shared" si="11"/>
        <v>1</v>
      </c>
      <c r="K27" s="137">
        <f t="shared" si="0"/>
        <v>1</v>
      </c>
      <c r="L27" s="138">
        <f t="shared" si="9"/>
        <v>20970.554138553518</v>
      </c>
      <c r="M27" s="130">
        <f t="shared" si="10"/>
        <v>400502.37986880908</v>
      </c>
      <c r="N27" s="130">
        <f>IF(H27=Year_Open_to_Traffic?,Calculations!$E$4,N26+(N26*I27))</f>
        <v>369234.58692619449</v>
      </c>
      <c r="O27" s="130">
        <f>IF(AND(H27&gt;=Year_Open_to_Traffic?, Calculations!H27&lt;Year_Open_to_Traffic?+'Inputs &amp; Outputs'!C$21), 1, 0)</f>
        <v>1</v>
      </c>
      <c r="P27" s="65">
        <f t="shared" si="1"/>
        <v>31267.792942614586</v>
      </c>
      <c r="Q27" s="65">
        <f t="shared" si="2"/>
        <v>1</v>
      </c>
      <c r="R27" s="66">
        <f t="shared" si="3"/>
        <v>37.229889234164965</v>
      </c>
      <c r="S27" s="131">
        <f t="shared" si="4"/>
        <v>1618.0940903119808</v>
      </c>
      <c r="T27" s="132">
        <f t="shared" si="5"/>
        <v>418.14626127743611</v>
      </c>
      <c r="U27" s="6"/>
      <c r="W27" s="63"/>
    </row>
    <row r="28" spans="1:23" x14ac:dyDescent="0.25">
      <c r="A28" s="6"/>
      <c r="B28" s="6"/>
      <c r="C28" s="6"/>
      <c r="D28" s="6"/>
      <c r="E28" s="6"/>
      <c r="F28" s="6"/>
      <c r="G28" s="6"/>
      <c r="H28" s="126">
        <f t="shared" si="6"/>
        <v>2042</v>
      </c>
      <c r="I28" s="127">
        <f t="shared" si="12"/>
        <v>2.2889135162825314E-2</v>
      </c>
      <c r="J28" s="136">
        <f t="shared" si="11"/>
        <v>1</v>
      </c>
      <c r="K28" s="137">
        <f t="shared" si="0"/>
        <v>1</v>
      </c>
      <c r="L28" s="138">
        <f t="shared" si="9"/>
        <v>21450.551986670216</v>
      </c>
      <c r="M28" s="130">
        <f t="shared" si="10"/>
        <v>409669.53297465947</v>
      </c>
      <c r="N28" s="130">
        <f>IF(H28=Year_Open_to_Traffic?,Calculations!$E$4,N27+(N27*I28))</f>
        <v>377686.04729313811</v>
      </c>
      <c r="O28" s="130">
        <f>IF(AND(H28&gt;=Year_Open_to_Traffic?, Calculations!H28&lt;Year_Open_to_Traffic?+'Inputs &amp; Outputs'!C$21), 1, 0)</f>
        <v>1</v>
      </c>
      <c r="P28" s="65">
        <f t="shared" si="1"/>
        <v>31983.485681521357</v>
      </c>
      <c r="Q28" s="65">
        <f t="shared" si="2"/>
        <v>1</v>
      </c>
      <c r="R28" s="66">
        <f t="shared" si="3"/>
        <v>38.346785911189912</v>
      </c>
      <c r="S28" s="131">
        <f t="shared" si="4"/>
        <v>1704.7847905908411</v>
      </c>
      <c r="T28" s="132">
        <f t="shared" si="5"/>
        <v>411.72783700629446</v>
      </c>
      <c r="U28" s="6"/>
      <c r="W28" s="63"/>
    </row>
    <row r="29" spans="1:23" x14ac:dyDescent="0.25">
      <c r="A29" s="6"/>
      <c r="B29" s="6"/>
      <c r="C29" s="6"/>
      <c r="D29" s="6"/>
      <c r="E29" s="6"/>
      <c r="F29" s="6"/>
      <c r="G29" s="6"/>
      <c r="H29" s="135">
        <f t="shared" si="6"/>
        <v>2043</v>
      </c>
      <c r="I29" s="127">
        <f t="shared" si="12"/>
        <v>2.2889135162825314E-2</v>
      </c>
      <c r="J29" s="136">
        <f t="shared" si="11"/>
        <v>1</v>
      </c>
      <c r="K29" s="137">
        <f t="shared" si="0"/>
        <v>1</v>
      </c>
      <c r="L29" s="138">
        <f t="shared" si="9"/>
        <v>21941.536570410321</v>
      </c>
      <c r="M29" s="130">
        <f t="shared" si="10"/>
        <v>419046.51428700797</v>
      </c>
      <c r="N29" s="130">
        <f>IF(H29=Year_Open_to_Traffic?,Calculations!$E$4,N28+(N28*I29))</f>
        <v>386330.954278744</v>
      </c>
      <c r="O29" s="130">
        <f>IF(AND(H29&gt;=Year_Open_to_Traffic?, Calculations!H29&lt;Year_Open_to_Traffic?+'Inputs &amp; Outputs'!C$21), 1, 0)</f>
        <v>1</v>
      </c>
      <c r="P29" s="65">
        <f t="shared" si="1"/>
        <v>32715.560008263972</v>
      </c>
      <c r="Q29" s="65">
        <f t="shared" si="2"/>
        <v>1</v>
      </c>
      <c r="R29" s="66">
        <f t="shared" si="3"/>
        <v>39.497189488525613</v>
      </c>
      <c r="S29" s="131">
        <f t="shared" si="4"/>
        <v>1796.1200152887893</v>
      </c>
      <c r="T29" s="132">
        <f t="shared" si="5"/>
        <v>405.40793369286359</v>
      </c>
      <c r="U29" s="6"/>
      <c r="W29" s="63"/>
    </row>
    <row r="30" spans="1:23" x14ac:dyDescent="0.25">
      <c r="A30" s="6"/>
      <c r="B30" s="6"/>
      <c r="C30" s="6"/>
      <c r="D30" s="6"/>
      <c r="E30" s="6"/>
      <c r="F30" s="6"/>
      <c r="G30" s="6"/>
      <c r="H30" s="135">
        <f t="shared" si="6"/>
        <v>2044</v>
      </c>
      <c r="I30" s="127">
        <f t="shared" si="12"/>
        <v>2.2889135162825314E-2</v>
      </c>
      <c r="J30" s="136">
        <f t="shared" si="11"/>
        <v>1</v>
      </c>
      <c r="K30" s="137">
        <f t="shared" si="0"/>
        <v>1</v>
      </c>
      <c r="L30" s="138">
        <f t="shared" si="9"/>
        <v>22443.759366650516</v>
      </c>
      <c r="M30" s="130">
        <f t="shared" si="10"/>
        <v>428638.12659203412</v>
      </c>
      <c r="N30" s="130">
        <f>IF(H30=Year_Open_to_Traffic?,Calculations!$E$4,N29+(N29*I30))</f>
        <v>395173.73570881347</v>
      </c>
      <c r="O30" s="130">
        <f>IF(AND(H30&gt;=Year_Open_to_Traffic?, Calculations!H30&lt;Year_Open_to_Traffic?+'Inputs &amp; Outputs'!C$21), 1, 0)</f>
        <v>1</v>
      </c>
      <c r="P30" s="65">
        <f t="shared" si="1"/>
        <v>33464.390883220651</v>
      </c>
      <c r="Q30" s="65">
        <f t="shared" si="2"/>
        <v>1</v>
      </c>
      <c r="R30" s="66">
        <f t="shared" si="3"/>
        <v>40.682105173181384</v>
      </c>
      <c r="S30" s="131">
        <f t="shared" si="4"/>
        <v>1892.3485985600123</v>
      </c>
      <c r="T30" s="132">
        <f t="shared" si="5"/>
        <v>399.18503906891453</v>
      </c>
      <c r="U30" s="6"/>
      <c r="W30" s="63"/>
    </row>
    <row r="31" spans="1:23" x14ac:dyDescent="0.25">
      <c r="A31" s="6"/>
      <c r="B31" s="6"/>
      <c r="C31" s="6"/>
      <c r="D31" s="6"/>
      <c r="E31" s="6"/>
      <c r="F31" s="6"/>
      <c r="G31" s="6"/>
      <c r="H31" s="135">
        <f t="shared" si="6"/>
        <v>2045</v>
      </c>
      <c r="I31" s="127">
        <f t="shared" si="12"/>
        <v>2.2889135162825314E-2</v>
      </c>
      <c r="J31" s="136">
        <f t="shared" si="11"/>
        <v>1</v>
      </c>
      <c r="K31" s="137">
        <f t="shared" si="0"/>
        <v>1</v>
      </c>
      <c r="L31" s="138">
        <f t="shared" si="9"/>
        <v>22957.477608355708</v>
      </c>
      <c r="M31" s="130">
        <f t="shared" si="10"/>
        <v>438449.28260753944</v>
      </c>
      <c r="N31" s="130">
        <f>IF(H31=Year_Open_to_Traffic?,Calculations!$E$4,N30+(N30*I31))</f>
        <v>404218.9207582511</v>
      </c>
      <c r="O31" s="130">
        <f>IF(AND(H31&gt;=Year_Open_to_Traffic?, Calculations!H31&lt;Year_Open_to_Traffic?+'Inputs &amp; Outputs'!C$21), 1, 0)</f>
        <v>1</v>
      </c>
      <c r="P31" s="65">
        <f t="shared" si="1"/>
        <v>34230.36184928834</v>
      </c>
      <c r="Q31" s="65">
        <f t="shared" si="2"/>
        <v>1</v>
      </c>
      <c r="R31" s="66">
        <f t="shared" si="3"/>
        <v>41.902568328376816</v>
      </c>
      <c r="S31" s="131">
        <f t="shared" si="4"/>
        <v>1993.7327060498658</v>
      </c>
      <c r="T31" s="132">
        <f t="shared" si="5"/>
        <v>393.05766407909823</v>
      </c>
      <c r="U31" s="6"/>
      <c r="W31" s="63"/>
    </row>
    <row r="32" spans="1:23" x14ac:dyDescent="0.25">
      <c r="A32" s="6"/>
      <c r="B32" s="6"/>
      <c r="C32" s="6"/>
      <c r="D32" s="6"/>
      <c r="E32" s="6"/>
      <c r="F32" s="6"/>
      <c r="G32" s="6"/>
      <c r="H32" s="135">
        <f t="shared" si="6"/>
        <v>2046</v>
      </c>
      <c r="I32" s="127">
        <f t="shared" si="12"/>
        <v>2.2889135162825314E-2</v>
      </c>
      <c r="J32" s="136">
        <f t="shared" si="11"/>
        <v>1</v>
      </c>
      <c r="K32" s="137">
        <f t="shared" si="0"/>
        <v>1</v>
      </c>
      <c r="L32" s="138">
        <f t="shared" si="9"/>
        <v>23482.954416330896</v>
      </c>
      <c r="M32" s="130">
        <f t="shared" si="10"/>
        <v>448485.0074991872</v>
      </c>
      <c r="N32" s="130">
        <f>IF(H32=Year_Open_to_Traffic?,Calculations!$E$4,N31+(N31*I32))</f>
        <v>413471.14227085811</v>
      </c>
      <c r="O32" s="130">
        <f>IF(AND(H32&gt;=Year_Open_to_Traffic?, Calculations!H32&lt;Year_Open_to_Traffic?+'Inputs &amp; Outputs'!C$21), 1, 0)</f>
        <v>1</v>
      </c>
      <c r="P32" s="65">
        <f t="shared" si="1"/>
        <v>35013.865228329087</v>
      </c>
      <c r="Q32" s="65">
        <f t="shared" si="2"/>
        <v>1</v>
      </c>
      <c r="R32" s="66">
        <f t="shared" si="3"/>
        <v>43.15964537822812</v>
      </c>
      <c r="S32" s="131">
        <f t="shared" si="4"/>
        <v>2100.5485491403001</v>
      </c>
      <c r="T32" s="132">
        <f t="shared" si="5"/>
        <v>387.02434252463394</v>
      </c>
      <c r="U32" s="6"/>
      <c r="W32" s="63"/>
    </row>
    <row r="33" spans="1:23" x14ac:dyDescent="0.25">
      <c r="A33" s="6"/>
      <c r="B33" s="6"/>
      <c r="C33" s="6"/>
      <c r="D33" s="6"/>
      <c r="E33" s="6"/>
      <c r="F33" s="6"/>
      <c r="G33" s="6"/>
      <c r="H33" s="135">
        <f t="shared" si="6"/>
        <v>2047</v>
      </c>
      <c r="I33" s="127">
        <f t="shared" si="12"/>
        <v>2.2889135162825314E-2</v>
      </c>
      <c r="J33" s="136">
        <f t="shared" si="11"/>
        <v>1</v>
      </c>
      <c r="K33" s="137">
        <f t="shared" si="0"/>
        <v>1</v>
      </c>
      <c r="L33" s="138">
        <f t="shared" si="9"/>
        <v>24020.458933988761</v>
      </c>
      <c r="M33" s="130">
        <f t="shared" si="10"/>
        <v>458750.4414543368</v>
      </c>
      <c r="N33" s="130">
        <f>IF(H33=Year_Open_to_Traffic?,Calculations!$E$4,N32+(N32*I33))</f>
        <v>422935.13913222356</v>
      </c>
      <c r="O33" s="130">
        <f>IF(AND(H33&gt;=Year_Open_to_Traffic?, Calculations!H33&lt;Year_Open_to_Traffic?+'Inputs &amp; Outputs'!C$21), 1, 0)</f>
        <v>1</v>
      </c>
      <c r="P33" s="65">
        <f t="shared" si="1"/>
        <v>35815.302322113246</v>
      </c>
      <c r="Q33" s="65">
        <f t="shared" si="2"/>
        <v>1</v>
      </c>
      <c r="R33" s="66">
        <f t="shared" si="3"/>
        <v>44.454434739574971</v>
      </c>
      <c r="S33" s="131">
        <f t="shared" si="4"/>
        <v>2213.0871374615785</v>
      </c>
      <c r="T33" s="132">
        <f t="shared" si="5"/>
        <v>381.08363071247049</v>
      </c>
      <c r="U33" s="6"/>
      <c r="W33" s="63"/>
    </row>
    <row r="34" spans="1:23" x14ac:dyDescent="0.25">
      <c r="A34" s="6"/>
      <c r="B34" s="6"/>
      <c r="C34" s="6"/>
      <c r="D34" s="6"/>
      <c r="E34" s="6"/>
      <c r="F34" s="6"/>
      <c r="G34" s="6"/>
      <c r="H34" s="135">
        <f t="shared" si="6"/>
        <v>2048</v>
      </c>
      <c r="I34" s="127">
        <f t="shared" si="12"/>
        <v>2.2889135162825314E-2</v>
      </c>
      <c r="J34" s="136">
        <f t="shared" si="11"/>
        <v>1</v>
      </c>
      <c r="K34" s="137">
        <f t="shared" si="0"/>
        <v>1</v>
      </c>
      <c r="L34" s="138">
        <f t="shared" si="9"/>
        <v>24570.266465201923</v>
      </c>
      <c r="M34" s="130">
        <f t="shared" si="10"/>
        <v>469250.84231479088</v>
      </c>
      <c r="N34" s="130">
        <f>IF(H34=Year_Open_to_Traffic?,Calculations!$E$4,N33+(N33*I34))</f>
        <v>432615.75869692938</v>
      </c>
      <c r="O34" s="130">
        <f>IF(AND(H34&gt;=Year_Open_to_Traffic?, Calculations!H34&lt;Year_Open_to_Traffic?+'Inputs &amp; Outputs'!C$21), 1, 0)</f>
        <v>0</v>
      </c>
      <c r="P34" s="65">
        <f t="shared" si="1"/>
        <v>0</v>
      </c>
      <c r="Q34" s="65">
        <f t="shared" si="2"/>
        <v>0</v>
      </c>
      <c r="R34" s="66">
        <f t="shared" si="3"/>
        <v>45.788067781762216</v>
      </c>
      <c r="S34" s="131">
        <f t="shared" si="4"/>
        <v>0</v>
      </c>
      <c r="T34" s="132">
        <f t="shared" si="5"/>
        <v>0</v>
      </c>
      <c r="U34" s="6"/>
      <c r="W34" s="63"/>
    </row>
    <row r="35" spans="1:23" x14ac:dyDescent="0.25">
      <c r="A35" s="6"/>
      <c r="B35" s="6"/>
      <c r="C35" s="6"/>
      <c r="D35" s="6"/>
      <c r="E35" s="6"/>
      <c r="F35" s="6"/>
      <c r="G35" s="6"/>
      <c r="H35" s="135">
        <f t="shared" si="6"/>
        <v>2049</v>
      </c>
      <c r="I35" s="127">
        <f t="shared" si="12"/>
        <v>2.2889135162825314E-2</v>
      </c>
      <c r="J35" s="136">
        <f t="shared" si="11"/>
        <v>1</v>
      </c>
      <c r="K35" s="137">
        <f t="shared" si="0"/>
        <v>1</v>
      </c>
      <c r="L35" s="138">
        <f t="shared" si="9"/>
        <v>25132.658615310564</v>
      </c>
      <c r="M35" s="130">
        <f t="shared" si="10"/>
        <v>479991.58826980373</v>
      </c>
      <c r="N35" s="130">
        <f>IF(H35=Year_Open_to_Traffic?,Calculations!$E$4,N34+(N34*I35))</f>
        <v>442517.95927131164</v>
      </c>
      <c r="O35" s="130">
        <f>IF(AND(H35&gt;=Year_Open_to_Traffic?, Calculations!H35&lt;Year_Open_to_Traffic?+'Inputs &amp; Outputs'!C$21), 1, 0)</f>
        <v>0</v>
      </c>
      <c r="P35" s="65">
        <f t="shared" si="1"/>
        <v>0</v>
      </c>
      <c r="Q35" s="65">
        <f t="shared" si="2"/>
        <v>0</v>
      </c>
      <c r="R35" s="66">
        <f t="shared" si="3"/>
        <v>47.161709815215083</v>
      </c>
      <c r="S35" s="131">
        <f t="shared" si="4"/>
        <v>0</v>
      </c>
      <c r="T35" s="132">
        <f t="shared" si="5"/>
        <v>0</v>
      </c>
      <c r="U35" s="6"/>
      <c r="W35" s="63"/>
    </row>
    <row r="36" spans="1:23" x14ac:dyDescent="0.25">
      <c r="A36" s="6"/>
      <c r="B36" s="6"/>
      <c r="C36" s="6"/>
      <c r="D36" s="6"/>
      <c r="E36" s="6"/>
      <c r="F36" s="6"/>
      <c r="G36" s="6"/>
      <c r="H36" s="135">
        <f t="shared" si="6"/>
        <v>2050</v>
      </c>
      <c r="I36" s="127">
        <f t="shared" si="12"/>
        <v>2.2889135162825314E-2</v>
      </c>
      <c r="J36" s="136">
        <f t="shared" si="11"/>
        <v>1</v>
      </c>
      <c r="K36" s="137">
        <f t="shared" si="0"/>
        <v>1</v>
      </c>
      <c r="L36" s="138">
        <f t="shared" si="9"/>
        <v>25707.923435357552</v>
      </c>
      <c r="M36" s="130">
        <f t="shared" si="10"/>
        <v>490978.18061073049</v>
      </c>
      <c r="N36" s="130">
        <f>IF(H36=Year_Open_to_Traffic?,Calculations!$E$4,N35+(N35*I36))</f>
        <v>452646.81265305035</v>
      </c>
      <c r="O36" s="130">
        <f>IF(AND(H36&gt;=Year_Open_to_Traffic?, Calculations!H36&lt;Year_Open_to_Traffic?+'Inputs &amp; Outputs'!C$21), 1, 0)</f>
        <v>0</v>
      </c>
      <c r="P36" s="65">
        <f t="shared" si="1"/>
        <v>0</v>
      </c>
      <c r="Q36" s="65">
        <f t="shared" si="2"/>
        <v>0</v>
      </c>
      <c r="R36" s="66">
        <f t="shared" si="3"/>
        <v>48.57656110967153</v>
      </c>
      <c r="S36" s="131">
        <f t="shared" si="4"/>
        <v>0</v>
      </c>
      <c r="T36" s="132">
        <f t="shared" si="5"/>
        <v>0</v>
      </c>
      <c r="U36" s="6"/>
      <c r="W36" s="63"/>
    </row>
    <row r="37" spans="1:23" x14ac:dyDescent="0.25">
      <c r="A37" s="6"/>
      <c r="B37" s="6"/>
      <c r="C37" s="6"/>
      <c r="D37" s="6"/>
      <c r="E37" s="6"/>
      <c r="F37" s="6"/>
      <c r="G37" s="6"/>
      <c r="H37" s="146"/>
      <c r="I37" s="147"/>
      <c r="J37" s="148"/>
      <c r="K37" s="149"/>
      <c r="L37" s="146"/>
      <c r="M37" s="146"/>
      <c r="N37" s="146"/>
      <c r="O37" s="146"/>
      <c r="P37" s="146"/>
      <c r="Q37" s="146"/>
      <c r="R37" s="146"/>
      <c r="S37" s="150"/>
      <c r="T37" s="132">
        <f>SUM(T4:T36)</f>
        <v>9939.0201809377322</v>
      </c>
      <c r="U37" s="6"/>
      <c r="W37" s="63"/>
    </row>
    <row r="38" spans="1:23" x14ac:dyDescent="0.25">
      <c r="A38" s="6"/>
      <c r="B38" s="6"/>
      <c r="C38" s="6"/>
      <c r="D38" s="6"/>
      <c r="E38" s="6"/>
      <c r="F38" s="6"/>
      <c r="G38" s="6"/>
      <c r="H38" s="6"/>
      <c r="I38" s="151"/>
      <c r="J38" s="152"/>
      <c r="K38" s="153"/>
      <c r="L38" s="6"/>
      <c r="M38" s="6"/>
      <c r="N38" s="6"/>
      <c r="O38" s="6"/>
      <c r="P38" s="6"/>
      <c r="Q38" s="6"/>
      <c r="R38" s="6"/>
      <c r="S38" s="6"/>
      <c r="T38" s="6"/>
      <c r="U38" s="6"/>
    </row>
  </sheetData>
  <mergeCells count="2">
    <mergeCell ref="A11:B11"/>
    <mergeCell ref="A16:B16"/>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160" zoomScaleNormal="160" workbookViewId="0">
      <selection activeCell="C8" sqref="C8"/>
    </sheetView>
  </sheetViews>
  <sheetFormatPr defaultRowHeight="15" x14ac:dyDescent="0.25"/>
  <cols>
    <col min="1" max="1" width="3.42578125" customWidth="1"/>
    <col min="2" max="2" width="35.28515625" customWidth="1"/>
    <col min="3" max="3" width="22.7109375" bestFit="1" customWidth="1"/>
    <col min="4" max="4" width="20" bestFit="1" customWidth="1"/>
  </cols>
  <sheetData>
    <row r="2" spans="2:3" x14ac:dyDescent="0.25">
      <c r="B2" s="2" t="s">
        <v>190</v>
      </c>
    </row>
    <row r="4" spans="2:3" x14ac:dyDescent="0.25">
      <c r="B4" s="2" t="s">
        <v>32</v>
      </c>
    </row>
    <row r="5" spans="2:3" x14ac:dyDescent="0.25">
      <c r="B5" s="32" t="s">
        <v>34</v>
      </c>
      <c r="C5" s="34">
        <v>2021</v>
      </c>
    </row>
    <row r="6" spans="2:3" x14ac:dyDescent="0.25">
      <c r="B6" s="32" t="s">
        <v>35</v>
      </c>
      <c r="C6" s="48">
        <v>7.0000000000000007E-2</v>
      </c>
    </row>
    <row r="7" spans="2:3" x14ac:dyDescent="0.25">
      <c r="B7" s="29"/>
      <c r="C7" s="30"/>
    </row>
    <row r="8" spans="2:3" x14ac:dyDescent="0.25">
      <c r="B8" s="31" t="s">
        <v>33</v>
      </c>
      <c r="C8" s="30"/>
    </row>
    <row r="9" spans="2:3" x14ac:dyDescent="0.25">
      <c r="B9" s="32" t="s">
        <v>221</v>
      </c>
      <c r="C9" s="33">
        <f>'Value of Travel Time'!D21</f>
        <v>20.613287</v>
      </c>
    </row>
    <row r="10" spans="2:3" x14ac:dyDescent="0.25">
      <c r="B10" s="52" t="s">
        <v>224</v>
      </c>
      <c r="C10" s="53">
        <v>0.03</v>
      </c>
    </row>
  </sheetData>
  <sheetProtection algorithmName="SHA-512" hashValue="MUup2dmSXB2Ur58s1/NDAJYCSej3ulUDfS+Ppwte/62Dop39VmswxROOW8xTeaDfgTF0z/HKtZF5AFQSIS83pw==" saltValue="q+C6OVYza66HWn+49jUhkA==" spinCount="100000" sheet="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J21"/>
  <sheetViews>
    <sheetView topLeftCell="A2" zoomScale="130" zoomScaleNormal="130" workbookViewId="0">
      <selection activeCell="E30" sqref="E30"/>
    </sheetView>
  </sheetViews>
  <sheetFormatPr defaultRowHeight="15" x14ac:dyDescent="0.25"/>
  <cols>
    <col min="2" max="2" width="14.42578125" customWidth="1"/>
    <col min="3" max="3" width="22.42578125" bestFit="1" customWidth="1"/>
    <col min="4" max="4" width="23.140625" bestFit="1" customWidth="1"/>
    <col min="5" max="5" width="14" customWidth="1"/>
    <col min="7" max="7" width="10.140625" bestFit="1" customWidth="1"/>
  </cols>
  <sheetData>
    <row r="2" spans="2:8" x14ac:dyDescent="0.25">
      <c r="B2" s="3" t="s">
        <v>207</v>
      </c>
    </row>
    <row r="3" spans="2:8" x14ac:dyDescent="0.25">
      <c r="B3" s="3"/>
    </row>
    <row r="4" spans="2:8" hidden="1" x14ac:dyDescent="0.25">
      <c r="B4" s="54" t="s">
        <v>0</v>
      </c>
      <c r="C4" s="54" t="s">
        <v>1</v>
      </c>
      <c r="D4" s="55">
        <v>3006841</v>
      </c>
      <c r="E4" s="56">
        <f>D4/D$12</f>
        <v>0.12557431780451911</v>
      </c>
      <c r="F4" s="54"/>
      <c r="G4" s="54" t="s">
        <v>2</v>
      </c>
      <c r="H4" s="56">
        <f>SUMIF($C$4:$C$11,G4,$E$4:$E$11)</f>
        <v>0.75146889419806362</v>
      </c>
    </row>
    <row r="5" spans="2:8" hidden="1" x14ac:dyDescent="0.25">
      <c r="B5" s="54" t="s">
        <v>0</v>
      </c>
      <c r="C5" s="54" t="s">
        <v>2</v>
      </c>
      <c r="D5" s="55">
        <v>12248090</v>
      </c>
      <c r="E5" s="56">
        <f t="shared" ref="E5:E12" si="0">D5/D$12</f>
        <v>0.51151542304975628</v>
      </c>
      <c r="F5" s="54"/>
      <c r="G5" s="54" t="s">
        <v>1</v>
      </c>
      <c r="H5" s="56">
        <f>SUMIF($C$4:$C$11,G5,$E$4:$E$11)</f>
        <v>0.21391573997984439</v>
      </c>
    </row>
    <row r="6" spans="2:8" hidden="1" x14ac:dyDescent="0.25">
      <c r="B6" s="54" t="s">
        <v>3</v>
      </c>
      <c r="C6" s="54" t="s">
        <v>1</v>
      </c>
      <c r="D6" s="55">
        <v>2053465</v>
      </c>
      <c r="E6" s="56">
        <f t="shared" si="0"/>
        <v>8.5758597315407373E-2</v>
      </c>
      <c r="F6" s="54"/>
      <c r="G6" s="54" t="s">
        <v>4</v>
      </c>
      <c r="H6" s="56">
        <f>SUMIF($C$4:$C$11,G6,$E$4:$E$11)</f>
        <v>3.4615365822091917E-2</v>
      </c>
    </row>
    <row r="7" spans="2:8" hidden="1" x14ac:dyDescent="0.25">
      <c r="B7" s="54" t="s">
        <v>3</v>
      </c>
      <c r="C7" s="54" t="s">
        <v>2</v>
      </c>
      <c r="D7" s="55">
        <v>5512163</v>
      </c>
      <c r="E7" s="56">
        <f t="shared" si="0"/>
        <v>0.23020376147335739</v>
      </c>
      <c r="F7" s="54"/>
      <c r="G7" s="54"/>
      <c r="H7" s="56">
        <f>SUM(H4:H6)</f>
        <v>0.99999999999999989</v>
      </c>
    </row>
    <row r="8" spans="2:8" hidden="1" x14ac:dyDescent="0.25">
      <c r="B8" s="54" t="s">
        <v>56</v>
      </c>
      <c r="C8" s="54" t="s">
        <v>4</v>
      </c>
      <c r="D8" s="55">
        <v>108311</v>
      </c>
      <c r="E8" s="56">
        <f t="shared" si="0"/>
        <v>4.5233785011330055E-3</v>
      </c>
      <c r="F8" s="54"/>
      <c r="G8" s="54"/>
      <c r="H8" s="54"/>
    </row>
    <row r="9" spans="2:8" hidden="1" x14ac:dyDescent="0.25">
      <c r="B9" s="54" t="s">
        <v>57</v>
      </c>
      <c r="C9" s="54" t="s">
        <v>4</v>
      </c>
      <c r="D9" s="55">
        <v>720544</v>
      </c>
      <c r="E9" s="56">
        <f t="shared" si="0"/>
        <v>3.0091987320958909E-2</v>
      </c>
      <c r="F9" s="54"/>
      <c r="G9" s="54"/>
      <c r="H9" s="54"/>
    </row>
    <row r="10" spans="2:8" hidden="1" x14ac:dyDescent="0.25">
      <c r="B10" s="54" t="s">
        <v>5</v>
      </c>
      <c r="C10" s="54" t="s">
        <v>1</v>
      </c>
      <c r="D10" s="55">
        <v>61845</v>
      </c>
      <c r="E10" s="56">
        <f t="shared" si="0"/>
        <v>2.5828248599179286E-3</v>
      </c>
      <c r="F10" s="54"/>
      <c r="G10" s="54"/>
      <c r="H10" s="54"/>
    </row>
    <row r="11" spans="2:8" hidden="1" x14ac:dyDescent="0.25">
      <c r="B11" s="54" t="s">
        <v>6</v>
      </c>
      <c r="C11" s="54" t="s">
        <v>2</v>
      </c>
      <c r="D11" s="55">
        <v>233454</v>
      </c>
      <c r="E11" s="56">
        <f t="shared" si="0"/>
        <v>9.7497096749499558E-3</v>
      </c>
      <c r="F11" s="54"/>
      <c r="G11" s="54"/>
      <c r="H11" s="54"/>
    </row>
    <row r="12" spans="2:8" hidden="1" x14ac:dyDescent="0.25">
      <c r="B12" s="54"/>
      <c r="C12" s="54"/>
      <c r="D12" s="57">
        <f>SUM(D4:D11)</f>
        <v>23944713</v>
      </c>
      <c r="E12" s="56">
        <f t="shared" si="0"/>
        <v>1</v>
      </c>
      <c r="F12" s="54"/>
      <c r="G12" s="54"/>
      <c r="H12" s="54"/>
    </row>
    <row r="13" spans="2:8" hidden="1" x14ac:dyDescent="0.25">
      <c r="B13" s="54"/>
      <c r="C13" s="54"/>
      <c r="D13" s="54"/>
      <c r="E13" s="54"/>
      <c r="F13" s="54"/>
      <c r="G13" s="54"/>
      <c r="H13" s="54"/>
    </row>
    <row r="14" spans="2:8" x14ac:dyDescent="0.25">
      <c r="B14" s="54"/>
      <c r="C14" s="54"/>
      <c r="D14" s="54"/>
      <c r="E14" s="54"/>
      <c r="F14" s="54"/>
      <c r="G14" s="54"/>
      <c r="H14" s="54"/>
    </row>
    <row r="15" spans="2:8" x14ac:dyDescent="0.25">
      <c r="B15" s="58" t="s">
        <v>191</v>
      </c>
      <c r="C15" s="54"/>
      <c r="D15" s="54"/>
      <c r="E15" s="54"/>
      <c r="F15" s="54"/>
      <c r="G15" s="54"/>
      <c r="H15" s="54"/>
    </row>
    <row r="16" spans="2:8" x14ac:dyDescent="0.25">
      <c r="B16" s="54"/>
      <c r="C16" s="54"/>
      <c r="D16" s="54"/>
      <c r="E16" s="54"/>
      <c r="F16" s="54"/>
      <c r="G16" s="54"/>
      <c r="H16" s="54"/>
    </row>
    <row r="17" spans="2:10" x14ac:dyDescent="0.25">
      <c r="B17" s="54"/>
      <c r="C17" s="59" t="s">
        <v>192</v>
      </c>
      <c r="D17" s="59" t="s">
        <v>193</v>
      </c>
      <c r="E17" s="59"/>
      <c r="F17" s="54"/>
      <c r="G17" s="54"/>
      <c r="H17" s="54"/>
    </row>
    <row r="18" spans="2:10" x14ac:dyDescent="0.25">
      <c r="B18" s="60" t="s">
        <v>7</v>
      </c>
      <c r="C18" s="61">
        <v>16.5</v>
      </c>
      <c r="D18" s="62">
        <f>C18*(1+'Assumed Values'!$C$10)^(2021-2019)</f>
        <v>17.504849999999998</v>
      </c>
      <c r="E18" s="62"/>
      <c r="F18" s="54"/>
      <c r="G18" s="54"/>
      <c r="H18" s="54"/>
      <c r="J18" s="62"/>
    </row>
    <row r="19" spans="2:10" x14ac:dyDescent="0.25">
      <c r="B19" s="60" t="s">
        <v>8</v>
      </c>
      <c r="C19" s="61">
        <v>27.9</v>
      </c>
      <c r="D19" s="62">
        <f>C19*(1+'Assumed Values'!$C$10)^(2021-2019)</f>
        <v>29.599109999999996</v>
      </c>
      <c r="E19" s="62"/>
      <c r="F19" s="54"/>
      <c r="G19" s="54"/>
      <c r="H19" s="54"/>
      <c r="J19" s="62"/>
    </row>
    <row r="20" spans="2:10" x14ac:dyDescent="0.25">
      <c r="B20" s="60" t="s">
        <v>4</v>
      </c>
      <c r="C20" s="61">
        <v>30.8</v>
      </c>
      <c r="D20" s="62">
        <f>C20*(1+'Assumed Values'!$C$10)^(2021-2019)</f>
        <v>32.675719999999998</v>
      </c>
      <c r="E20" s="62"/>
      <c r="F20" s="54"/>
      <c r="G20" s="54"/>
      <c r="H20" s="54"/>
      <c r="J20" s="62"/>
    </row>
    <row r="21" spans="2:10" x14ac:dyDescent="0.25">
      <c r="B21" s="4" t="s">
        <v>9</v>
      </c>
      <c r="C21" s="5">
        <f>ROUND(SUMPRODUCT(C18:C20,H4:H6),2)</f>
        <v>19.43</v>
      </c>
      <c r="D21" s="85">
        <f>C21*(1+'Assumed Values'!$C$10)^(2021-2019)</f>
        <v>20.613287</v>
      </c>
      <c r="E21" s="62"/>
      <c r="I21" s="81"/>
      <c r="J21" s="81"/>
    </row>
  </sheetData>
  <sheetProtection algorithmName="SHA-512" hashValue="bI+ke/sKrIKTFWygDWkmipzJK/7nstO2jFwa97gX10/RjQoyV4ZszNUBsyLL51ZxE6c1T28BAHmCQfID5uiSww==" saltValue="oJ/zjs8sSv/5+ciqACqVhQ==" spinCount="100000" sheet="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P80"/>
  <sheetViews>
    <sheetView topLeftCell="A4" zoomScale="115" zoomScaleNormal="115" workbookViewId="0">
      <selection activeCell="B25" sqref="B25"/>
    </sheetView>
  </sheetViews>
  <sheetFormatPr defaultRowHeight="15" x14ac:dyDescent="0.25"/>
  <cols>
    <col min="2" max="2" width="51.85546875" bestFit="1" customWidth="1"/>
    <col min="3" max="3" width="25.140625" bestFit="1" customWidth="1"/>
    <col min="4" max="7" width="10.7109375" hidden="1" customWidth="1"/>
    <col min="8" max="8" width="23.28515625" customWidth="1"/>
    <col min="9" max="9" width="12.42578125" bestFit="1" customWidth="1"/>
    <col min="11" max="12" width="12.85546875" customWidth="1"/>
    <col min="16" max="16" width="25" customWidth="1"/>
  </cols>
  <sheetData>
    <row r="2" spans="2:16" x14ac:dyDescent="0.25">
      <c r="B2" s="175" t="s">
        <v>164</v>
      </c>
      <c r="C2" s="175"/>
      <c r="D2" s="175"/>
      <c r="E2" s="175"/>
      <c r="F2" s="175"/>
      <c r="G2" s="175"/>
      <c r="H2" s="175"/>
      <c r="I2" s="175"/>
    </row>
    <row r="3" spans="2:16" x14ac:dyDescent="0.25">
      <c r="B3" s="176" t="s">
        <v>187</v>
      </c>
      <c r="C3" s="176"/>
      <c r="I3" s="70"/>
    </row>
    <row r="4" spans="2:16" ht="75" x14ac:dyDescent="0.25">
      <c r="B4" s="64" t="s">
        <v>165</v>
      </c>
      <c r="C4" s="64" t="s">
        <v>215</v>
      </c>
      <c r="D4" s="80" t="s">
        <v>168</v>
      </c>
      <c r="E4" s="64" t="s">
        <v>169</v>
      </c>
      <c r="F4" s="64" t="s">
        <v>166</v>
      </c>
      <c r="G4" s="74" t="s">
        <v>167</v>
      </c>
      <c r="H4" s="76"/>
      <c r="L4" s="64" t="s">
        <v>79</v>
      </c>
      <c r="N4" s="64" t="s">
        <v>177</v>
      </c>
      <c r="P4" s="64" t="s">
        <v>196</v>
      </c>
    </row>
    <row r="5" spans="2:16" x14ac:dyDescent="0.25">
      <c r="B5" s="67" t="s">
        <v>99</v>
      </c>
      <c r="C5" s="72">
        <v>0.15</v>
      </c>
      <c r="D5" s="68">
        <v>0.1</v>
      </c>
      <c r="E5" s="68">
        <v>7.0000000000000007E-2</v>
      </c>
      <c r="F5" s="68">
        <v>0.2</v>
      </c>
      <c r="G5" s="75">
        <v>0.15</v>
      </c>
      <c r="H5" s="77"/>
      <c r="L5" s="49" t="s">
        <v>170</v>
      </c>
      <c r="N5" s="49" t="s">
        <v>178</v>
      </c>
      <c r="P5" s="49" t="s">
        <v>197</v>
      </c>
    </row>
    <row r="6" spans="2:16" x14ac:dyDescent="0.25">
      <c r="B6" s="67" t="s">
        <v>84</v>
      </c>
      <c r="C6" s="72">
        <v>0.2</v>
      </c>
      <c r="D6" s="68">
        <v>0.2</v>
      </c>
      <c r="E6" s="68">
        <v>0.1</v>
      </c>
      <c r="F6" s="68">
        <v>0.3</v>
      </c>
      <c r="G6" s="75">
        <v>0.2</v>
      </c>
      <c r="H6" s="77"/>
      <c r="L6" s="49" t="s">
        <v>171</v>
      </c>
      <c r="N6" s="49" t="s">
        <v>179</v>
      </c>
      <c r="P6" s="49" t="s">
        <v>198</v>
      </c>
    </row>
    <row r="7" spans="2:16" x14ac:dyDescent="0.25">
      <c r="B7" s="67" t="s">
        <v>100</v>
      </c>
      <c r="C7" s="72">
        <v>0.25</v>
      </c>
      <c r="D7" s="68">
        <v>0.2</v>
      </c>
      <c r="E7" s="68">
        <v>0.15</v>
      </c>
      <c r="F7" s="68">
        <v>0.3</v>
      </c>
      <c r="G7" s="75">
        <v>0.25</v>
      </c>
      <c r="H7" s="77"/>
      <c r="L7" s="49" t="s">
        <v>172</v>
      </c>
      <c r="P7" s="49" t="s">
        <v>199</v>
      </c>
    </row>
    <row r="8" spans="2:16" x14ac:dyDescent="0.25">
      <c r="B8" s="67" t="s">
        <v>101</v>
      </c>
      <c r="C8" s="72">
        <v>0.15</v>
      </c>
      <c r="D8" s="68">
        <v>0.02</v>
      </c>
      <c r="E8" s="68">
        <v>0.02</v>
      </c>
      <c r="F8" s="68">
        <v>0.2</v>
      </c>
      <c r="G8" s="75">
        <v>0.15</v>
      </c>
      <c r="H8" s="77"/>
      <c r="L8" s="52" t="s">
        <v>185</v>
      </c>
      <c r="P8" s="49" t="s">
        <v>200</v>
      </c>
    </row>
    <row r="9" spans="2:16" x14ac:dyDescent="0.25">
      <c r="B9" s="67" t="s">
        <v>85</v>
      </c>
      <c r="C9" s="72">
        <v>0.15</v>
      </c>
      <c r="D9" s="68">
        <v>0.02</v>
      </c>
      <c r="E9" s="68">
        <v>0.02</v>
      </c>
      <c r="F9" s="68">
        <v>0.2</v>
      </c>
      <c r="G9" s="75">
        <v>0.15</v>
      </c>
      <c r="H9" s="77"/>
      <c r="L9" s="49" t="s">
        <v>173</v>
      </c>
      <c r="P9" s="49" t="s">
        <v>201</v>
      </c>
    </row>
    <row r="10" spans="2:16" x14ac:dyDescent="0.25">
      <c r="B10" s="67" t="s">
        <v>102</v>
      </c>
      <c r="C10" s="72">
        <v>0.22</v>
      </c>
      <c r="D10" s="68">
        <v>0.1</v>
      </c>
      <c r="E10" s="68">
        <v>0.1</v>
      </c>
      <c r="F10" s="68">
        <v>0.3</v>
      </c>
      <c r="G10" s="75">
        <v>0.22</v>
      </c>
      <c r="H10" s="77"/>
      <c r="L10" s="49" t="s">
        <v>174</v>
      </c>
      <c r="P10" s="49" t="s">
        <v>202</v>
      </c>
    </row>
    <row r="11" spans="2:16" x14ac:dyDescent="0.25">
      <c r="B11" s="67" t="s">
        <v>103</v>
      </c>
      <c r="C11" s="72">
        <v>0.3</v>
      </c>
      <c r="D11" s="68">
        <v>0.2</v>
      </c>
      <c r="E11" s="68">
        <v>0.12</v>
      </c>
      <c r="F11" s="68">
        <v>0.4</v>
      </c>
      <c r="G11" s="75">
        <v>0.3</v>
      </c>
      <c r="H11" s="77"/>
      <c r="L11" s="49" t="s">
        <v>175</v>
      </c>
    </row>
    <row r="12" spans="2:16" x14ac:dyDescent="0.25">
      <c r="B12" s="67" t="s">
        <v>104</v>
      </c>
      <c r="C12" s="72">
        <v>0.3</v>
      </c>
      <c r="D12" s="68">
        <v>0.2</v>
      </c>
      <c r="E12" s="68">
        <v>0.12</v>
      </c>
      <c r="F12" s="68">
        <v>0.4</v>
      </c>
      <c r="G12" s="75">
        <v>0.3</v>
      </c>
      <c r="H12" s="77"/>
      <c r="L12" s="49" t="s">
        <v>176</v>
      </c>
    </row>
    <row r="13" spans="2:16" x14ac:dyDescent="0.25">
      <c r="B13" s="67" t="s">
        <v>87</v>
      </c>
      <c r="C13" s="72">
        <v>0.1</v>
      </c>
      <c r="D13" s="68">
        <v>0.02</v>
      </c>
      <c r="E13" s="68">
        <v>0.02</v>
      </c>
      <c r="F13" s="68">
        <v>0.2</v>
      </c>
      <c r="G13" s="75">
        <v>0.1</v>
      </c>
      <c r="H13" s="77"/>
    </row>
    <row r="14" spans="2:16" x14ac:dyDescent="0.25">
      <c r="B14" s="67" t="s">
        <v>105</v>
      </c>
      <c r="C14" s="72">
        <v>0.1</v>
      </c>
      <c r="D14" s="68">
        <v>0.1</v>
      </c>
      <c r="E14" s="68">
        <v>0.05</v>
      </c>
      <c r="F14" s="68">
        <v>0.2</v>
      </c>
      <c r="G14" s="71">
        <v>0.1</v>
      </c>
    </row>
    <row r="15" spans="2:16" x14ac:dyDescent="0.25">
      <c r="B15" s="67" t="s">
        <v>106</v>
      </c>
      <c r="C15" s="72">
        <v>0.02</v>
      </c>
      <c r="D15" s="68">
        <v>0.01</v>
      </c>
      <c r="E15" s="68">
        <v>0.01</v>
      </c>
      <c r="F15" s="68">
        <v>0.04</v>
      </c>
      <c r="G15" s="71">
        <v>0.02</v>
      </c>
    </row>
    <row r="16" spans="2:16" x14ac:dyDescent="0.25">
      <c r="B16" s="67" t="s">
        <v>107</v>
      </c>
      <c r="C16" s="72">
        <v>0.01</v>
      </c>
      <c r="D16" s="68">
        <v>0.01</v>
      </c>
      <c r="E16" s="68">
        <v>5.0000000000000001E-3</v>
      </c>
      <c r="F16" s="68">
        <v>0.01</v>
      </c>
      <c r="G16" s="71">
        <v>5.0000000000000001E-3</v>
      </c>
    </row>
    <row r="17" spans="2:7" x14ac:dyDescent="0.25">
      <c r="B17" s="67" t="s">
        <v>108</v>
      </c>
      <c r="C17" s="72">
        <v>0.02</v>
      </c>
      <c r="D17" s="68">
        <v>0.02</v>
      </c>
      <c r="E17" s="68">
        <v>0.01</v>
      </c>
      <c r="F17" s="68">
        <v>0.04</v>
      </c>
      <c r="G17" s="71">
        <v>0.02</v>
      </c>
    </row>
    <row r="18" spans="2:7" x14ac:dyDescent="0.25">
      <c r="B18" s="67" t="s">
        <v>109</v>
      </c>
      <c r="C18" s="72">
        <v>0.02</v>
      </c>
      <c r="D18" s="68">
        <v>0.02</v>
      </c>
      <c r="E18" s="68">
        <v>0.01</v>
      </c>
      <c r="F18" s="68">
        <v>0.04</v>
      </c>
      <c r="G18" s="71">
        <v>0.02</v>
      </c>
    </row>
    <row r="19" spans="2:7" x14ac:dyDescent="0.25">
      <c r="B19" s="67" t="s">
        <v>110</v>
      </c>
      <c r="C19" s="72">
        <v>0.05</v>
      </c>
      <c r="D19" s="68">
        <v>0.05</v>
      </c>
      <c r="E19" s="68">
        <v>0.02</v>
      </c>
      <c r="F19" s="68">
        <v>0.01</v>
      </c>
      <c r="G19" s="71">
        <v>5.0000000000000001E-3</v>
      </c>
    </row>
    <row r="20" spans="2:7" x14ac:dyDescent="0.25">
      <c r="B20" s="67" t="s">
        <v>111</v>
      </c>
      <c r="C20" s="72">
        <v>0.01</v>
      </c>
      <c r="D20" s="68">
        <v>0.01</v>
      </c>
      <c r="E20" s="68">
        <v>5.0000000000000001E-3</v>
      </c>
      <c r="F20" s="68">
        <v>0.01</v>
      </c>
      <c r="G20" s="71">
        <v>5.0000000000000001E-3</v>
      </c>
    </row>
    <row r="21" spans="2:7" x14ac:dyDescent="0.25">
      <c r="B21" s="67" t="s">
        <v>112</v>
      </c>
      <c r="C21" s="72">
        <v>0.15</v>
      </c>
      <c r="D21" s="68">
        <v>0.1</v>
      </c>
      <c r="E21" s="68">
        <v>0.1</v>
      </c>
      <c r="F21" s="68">
        <v>0.25</v>
      </c>
      <c r="G21" s="71">
        <v>0.15</v>
      </c>
    </row>
    <row r="22" spans="2:7" x14ac:dyDescent="0.25">
      <c r="B22" s="67" t="s">
        <v>113</v>
      </c>
      <c r="C22" s="72">
        <v>0.15</v>
      </c>
      <c r="D22" s="68">
        <v>0.1</v>
      </c>
      <c r="E22" s="68">
        <v>0.1</v>
      </c>
      <c r="F22" s="68">
        <v>0.15</v>
      </c>
      <c r="G22" s="71">
        <v>0.15</v>
      </c>
    </row>
    <row r="23" spans="2:7" x14ac:dyDescent="0.25">
      <c r="B23" s="67" t="s">
        <v>114</v>
      </c>
      <c r="C23" s="72">
        <v>0.1</v>
      </c>
      <c r="D23" s="68">
        <v>0.05</v>
      </c>
      <c r="E23" s="68">
        <v>0.03</v>
      </c>
      <c r="F23" s="68">
        <v>0.1</v>
      </c>
      <c r="G23" s="71">
        <v>0.1</v>
      </c>
    </row>
    <row r="24" spans="2:7" x14ac:dyDescent="0.25">
      <c r="B24" s="67" t="s">
        <v>90</v>
      </c>
      <c r="C24" s="72">
        <v>0.04</v>
      </c>
      <c r="D24" s="68">
        <v>0.03</v>
      </c>
      <c r="E24" s="68">
        <v>0.01</v>
      </c>
      <c r="F24" s="68">
        <v>0.06</v>
      </c>
      <c r="G24" s="71">
        <v>0.04</v>
      </c>
    </row>
    <row r="25" spans="2:7" x14ac:dyDescent="0.25">
      <c r="B25" s="67" t="s">
        <v>115</v>
      </c>
      <c r="C25" s="72">
        <v>0.1</v>
      </c>
      <c r="D25" s="68">
        <v>0.1</v>
      </c>
      <c r="E25" s="68">
        <v>0.05</v>
      </c>
      <c r="F25" s="68">
        <v>0.2</v>
      </c>
      <c r="G25" s="71">
        <v>0.1</v>
      </c>
    </row>
    <row r="26" spans="2:7" x14ac:dyDescent="0.25">
      <c r="B26" s="67" t="s">
        <v>116</v>
      </c>
      <c r="C26" s="72">
        <v>0.2</v>
      </c>
      <c r="D26" s="68">
        <v>0.1</v>
      </c>
      <c r="E26" s="68">
        <v>0.1</v>
      </c>
      <c r="F26" s="68">
        <v>0.25</v>
      </c>
      <c r="G26" s="71">
        <v>0.2</v>
      </c>
    </row>
    <row r="27" spans="2:7" x14ac:dyDescent="0.25">
      <c r="B27" s="67" t="s">
        <v>117</v>
      </c>
      <c r="C27" s="72">
        <v>0.1</v>
      </c>
      <c r="D27" s="68">
        <v>0.1</v>
      </c>
      <c r="E27" s="68">
        <v>0.05</v>
      </c>
      <c r="F27" s="68">
        <v>0.15</v>
      </c>
      <c r="G27" s="71">
        <v>0.1</v>
      </c>
    </row>
    <row r="28" spans="2:7" x14ac:dyDescent="0.25">
      <c r="B28" s="67" t="s">
        <v>118</v>
      </c>
      <c r="C28" s="72">
        <v>0.05</v>
      </c>
      <c r="D28" s="68">
        <v>0.05</v>
      </c>
      <c r="E28" s="68">
        <v>0.02</v>
      </c>
      <c r="F28" s="68">
        <v>0.1</v>
      </c>
      <c r="G28" s="71">
        <v>0.05</v>
      </c>
    </row>
    <row r="29" spans="2:7" x14ac:dyDescent="0.25">
      <c r="B29" s="67" t="s">
        <v>119</v>
      </c>
      <c r="C29" s="72">
        <v>0.01</v>
      </c>
      <c r="D29" s="68">
        <v>0.02</v>
      </c>
      <c r="E29" s="68">
        <v>0.01</v>
      </c>
      <c r="F29" s="68">
        <v>0.02</v>
      </c>
      <c r="G29" s="71">
        <v>0.01</v>
      </c>
    </row>
    <row r="30" spans="2:7" x14ac:dyDescent="0.25">
      <c r="B30" s="67" t="s">
        <v>120</v>
      </c>
      <c r="C30" s="72">
        <v>0.04</v>
      </c>
      <c r="D30" s="68">
        <v>0.05</v>
      </c>
      <c r="E30" s="68">
        <v>0.02</v>
      </c>
      <c r="F30" s="68">
        <v>0.1</v>
      </c>
      <c r="G30" s="71">
        <v>0.04</v>
      </c>
    </row>
    <row r="31" spans="2:7" x14ac:dyDescent="0.25">
      <c r="B31" s="67" t="s">
        <v>121</v>
      </c>
      <c r="C31" s="72">
        <v>0.02</v>
      </c>
      <c r="D31" s="68">
        <v>0.02</v>
      </c>
      <c r="E31" s="68">
        <v>0.01</v>
      </c>
      <c r="F31" s="68">
        <v>0.04</v>
      </c>
      <c r="G31" s="71">
        <v>0.02</v>
      </c>
    </row>
    <row r="32" spans="2:7" x14ac:dyDescent="0.25">
      <c r="B32" s="67" t="s">
        <v>122</v>
      </c>
      <c r="C32" s="72">
        <v>0.05</v>
      </c>
      <c r="D32" s="68">
        <v>0.02</v>
      </c>
      <c r="E32" s="68">
        <v>0.01</v>
      </c>
      <c r="F32" s="68">
        <v>0.1</v>
      </c>
      <c r="G32" s="71">
        <v>0.05</v>
      </c>
    </row>
    <row r="33" spans="2:7" x14ac:dyDescent="0.25">
      <c r="B33" s="67" t="s">
        <v>123</v>
      </c>
      <c r="C33" s="72">
        <v>0.05</v>
      </c>
      <c r="D33" s="68">
        <v>0.04</v>
      </c>
      <c r="E33" s="68">
        <v>0.02</v>
      </c>
      <c r="F33" s="68">
        <v>0.1</v>
      </c>
      <c r="G33" s="71">
        <v>0.05</v>
      </c>
    </row>
    <row r="34" spans="2:7" x14ac:dyDescent="0.25">
      <c r="B34" s="67" t="s">
        <v>124</v>
      </c>
      <c r="C34" s="72">
        <v>0.05</v>
      </c>
      <c r="D34" s="68">
        <v>0.02</v>
      </c>
      <c r="E34" s="68">
        <v>0.02</v>
      </c>
      <c r="F34" s="68">
        <v>0.1</v>
      </c>
      <c r="G34" s="71">
        <v>0.05</v>
      </c>
    </row>
    <row r="35" spans="2:7" x14ac:dyDescent="0.25">
      <c r="B35" s="67" t="s">
        <v>95</v>
      </c>
      <c r="C35" s="72">
        <v>0.05</v>
      </c>
      <c r="D35" s="68">
        <v>0.02</v>
      </c>
      <c r="E35" s="68">
        <v>0.02</v>
      </c>
      <c r="F35" s="68">
        <v>0.1</v>
      </c>
      <c r="G35" s="71">
        <v>0.05</v>
      </c>
    </row>
    <row r="36" spans="2:7" x14ac:dyDescent="0.25">
      <c r="B36" s="67" t="s">
        <v>96</v>
      </c>
      <c r="C36" s="72">
        <v>0.05</v>
      </c>
      <c r="D36" s="68">
        <v>0.04</v>
      </c>
      <c r="E36" s="68">
        <v>0.02</v>
      </c>
      <c r="F36" s="68">
        <v>0.1</v>
      </c>
      <c r="G36" s="71">
        <v>0.05</v>
      </c>
    </row>
    <row r="37" spans="2:7" x14ac:dyDescent="0.25">
      <c r="B37" s="67" t="s">
        <v>125</v>
      </c>
      <c r="C37" s="72">
        <v>0.25</v>
      </c>
      <c r="D37" s="68">
        <v>0.1</v>
      </c>
      <c r="E37" s="68">
        <v>0.15</v>
      </c>
      <c r="F37" s="68">
        <v>0.3</v>
      </c>
      <c r="G37" s="71">
        <v>0.25</v>
      </c>
    </row>
    <row r="38" spans="2:7" x14ac:dyDescent="0.25">
      <c r="B38" s="67" t="s">
        <v>86</v>
      </c>
      <c r="C38" s="72">
        <v>0.2</v>
      </c>
      <c r="D38" s="68">
        <v>0.1</v>
      </c>
      <c r="E38" s="68">
        <v>0.1</v>
      </c>
      <c r="F38" s="68">
        <v>0.3</v>
      </c>
      <c r="G38" s="71">
        <v>0.2</v>
      </c>
    </row>
    <row r="39" spans="2:7" x14ac:dyDescent="0.25">
      <c r="B39" s="67" t="s">
        <v>126</v>
      </c>
      <c r="C39" s="72">
        <v>0.25</v>
      </c>
      <c r="D39" s="68">
        <v>0.2</v>
      </c>
      <c r="E39" s="68">
        <v>0.17</v>
      </c>
      <c r="F39" s="68">
        <v>0.3</v>
      </c>
      <c r="G39" s="71">
        <v>0.25</v>
      </c>
    </row>
    <row r="40" spans="2:7" x14ac:dyDescent="0.25">
      <c r="B40" s="67" t="s">
        <v>92</v>
      </c>
      <c r="C40" s="72">
        <v>0.25</v>
      </c>
      <c r="D40" s="68">
        <v>0.2</v>
      </c>
      <c r="E40" s="68">
        <v>0.17</v>
      </c>
      <c r="F40" s="68">
        <v>0.3</v>
      </c>
      <c r="G40" s="71">
        <v>0.25</v>
      </c>
    </row>
    <row r="41" spans="2:7" x14ac:dyDescent="0.25">
      <c r="B41" s="67" t="s">
        <v>91</v>
      </c>
      <c r="C41" s="72">
        <v>0.3</v>
      </c>
      <c r="D41" s="68">
        <v>0.15</v>
      </c>
      <c r="E41" s="68">
        <v>0.15</v>
      </c>
      <c r="F41" s="68">
        <v>0.3</v>
      </c>
      <c r="G41" s="71">
        <v>0.3</v>
      </c>
    </row>
    <row r="42" spans="2:7" x14ac:dyDescent="0.25">
      <c r="B42" s="67" t="s">
        <v>127</v>
      </c>
      <c r="C42" s="72">
        <v>0.2</v>
      </c>
      <c r="D42" s="68">
        <v>0.1</v>
      </c>
      <c r="E42" s="68">
        <v>0.15</v>
      </c>
      <c r="F42" s="68">
        <v>0.3</v>
      </c>
      <c r="G42" s="71">
        <v>0.2</v>
      </c>
    </row>
    <row r="43" spans="2:7" x14ac:dyDescent="0.25">
      <c r="B43" s="67" t="s">
        <v>128</v>
      </c>
      <c r="C43" s="72">
        <v>0.2</v>
      </c>
      <c r="D43" s="68">
        <v>0.1</v>
      </c>
      <c r="E43" s="68">
        <v>0.1</v>
      </c>
      <c r="F43" s="68">
        <v>0.2</v>
      </c>
      <c r="G43" s="71">
        <v>0.2</v>
      </c>
    </row>
    <row r="44" spans="2:7" x14ac:dyDescent="0.25">
      <c r="B44" s="67" t="s">
        <v>88</v>
      </c>
      <c r="C44" s="72">
        <v>0.2</v>
      </c>
      <c r="D44" s="68">
        <v>0.2</v>
      </c>
      <c r="E44" s="68">
        <v>0.1</v>
      </c>
      <c r="F44" s="68">
        <v>0.3</v>
      </c>
      <c r="G44" s="71">
        <v>0.2</v>
      </c>
    </row>
    <row r="45" spans="2:7" x14ac:dyDescent="0.25">
      <c r="B45" s="67" t="s">
        <v>129</v>
      </c>
      <c r="C45" s="72">
        <v>0.05</v>
      </c>
      <c r="D45" s="68">
        <v>0.02</v>
      </c>
      <c r="E45" s="68">
        <v>0.01</v>
      </c>
      <c r="F45" s="68">
        <v>0.05</v>
      </c>
      <c r="G45" s="71">
        <v>0.05</v>
      </c>
    </row>
    <row r="46" spans="2:7" x14ac:dyDescent="0.25">
      <c r="B46" s="67" t="s">
        <v>130</v>
      </c>
      <c r="C46" s="72">
        <v>0.05</v>
      </c>
      <c r="D46" s="68">
        <v>0.02</v>
      </c>
      <c r="E46" s="68">
        <v>0.01</v>
      </c>
      <c r="F46" s="68">
        <v>0.05</v>
      </c>
      <c r="G46" s="71">
        <v>0.05</v>
      </c>
    </row>
    <row r="47" spans="2:7" x14ac:dyDescent="0.25">
      <c r="B47" s="67" t="s">
        <v>131</v>
      </c>
      <c r="C47" s="72">
        <v>0.05</v>
      </c>
      <c r="D47" s="68">
        <v>0.04</v>
      </c>
      <c r="E47" s="68">
        <v>0.02</v>
      </c>
      <c r="F47" s="68">
        <v>0.1</v>
      </c>
      <c r="G47" s="71">
        <v>0.05</v>
      </c>
    </row>
    <row r="48" spans="2:7" x14ac:dyDescent="0.25">
      <c r="B48" s="67" t="s">
        <v>93</v>
      </c>
      <c r="C48" s="72">
        <v>0.05</v>
      </c>
      <c r="D48" s="68">
        <v>0.03</v>
      </c>
      <c r="E48" s="68">
        <v>0.01</v>
      </c>
      <c r="F48" s="68">
        <v>0.1</v>
      </c>
      <c r="G48" s="71">
        <v>0.05</v>
      </c>
    </row>
    <row r="49" spans="2:7" x14ac:dyDescent="0.25">
      <c r="B49" s="67" t="s">
        <v>132</v>
      </c>
      <c r="C49" s="72">
        <v>0.2</v>
      </c>
      <c r="D49" s="68">
        <v>0.1</v>
      </c>
      <c r="E49" s="68">
        <v>7.0000000000000007E-2</v>
      </c>
      <c r="F49" s="68">
        <v>0.2</v>
      </c>
      <c r="G49" s="71">
        <v>0.2</v>
      </c>
    </row>
    <row r="50" spans="2:7" x14ac:dyDescent="0.25">
      <c r="B50" s="67" t="s">
        <v>89</v>
      </c>
      <c r="C50" s="72">
        <v>0.15</v>
      </c>
      <c r="D50" s="68">
        <v>0.15</v>
      </c>
      <c r="E50" s="68">
        <v>0.08</v>
      </c>
      <c r="F50" s="68">
        <v>0.3</v>
      </c>
      <c r="G50" s="71">
        <v>0.15</v>
      </c>
    </row>
    <row r="51" spans="2:7" x14ac:dyDescent="0.25">
      <c r="B51" s="69" t="s">
        <v>133</v>
      </c>
      <c r="C51" s="72">
        <v>0.1</v>
      </c>
      <c r="D51" s="68">
        <v>0.05</v>
      </c>
      <c r="E51" s="68">
        <v>0.05</v>
      </c>
      <c r="F51" s="68">
        <v>0.15</v>
      </c>
      <c r="G51" s="71">
        <v>0.1</v>
      </c>
    </row>
    <row r="52" spans="2:7" x14ac:dyDescent="0.25">
      <c r="B52" s="67" t="s">
        <v>134</v>
      </c>
      <c r="C52" s="72">
        <v>0.1</v>
      </c>
      <c r="D52" s="68">
        <v>0.05</v>
      </c>
      <c r="E52" s="68">
        <v>0.05</v>
      </c>
      <c r="F52" s="68">
        <v>0.1</v>
      </c>
      <c r="G52" s="71">
        <v>0.1</v>
      </c>
    </row>
    <row r="53" spans="2:7" x14ac:dyDescent="0.25">
      <c r="B53" s="67" t="s">
        <v>135</v>
      </c>
      <c r="C53" s="72">
        <v>0.4</v>
      </c>
      <c r="D53" s="68">
        <v>0.4</v>
      </c>
      <c r="E53" s="68">
        <v>0.25</v>
      </c>
      <c r="F53" s="68">
        <v>0.75</v>
      </c>
      <c r="G53" s="71">
        <v>0.4</v>
      </c>
    </row>
    <row r="54" spans="2:7" x14ac:dyDescent="0.25">
      <c r="B54" s="67" t="s">
        <v>136</v>
      </c>
      <c r="C54" s="72">
        <v>0.2</v>
      </c>
      <c r="D54" s="68">
        <v>0.2</v>
      </c>
      <c r="E54" s="68">
        <v>0.1</v>
      </c>
      <c r="F54" s="68">
        <v>0.3</v>
      </c>
      <c r="G54" s="71">
        <v>0.2</v>
      </c>
    </row>
    <row r="55" spans="2:7" x14ac:dyDescent="0.25">
      <c r="B55" s="67" t="s">
        <v>137</v>
      </c>
      <c r="C55" s="72">
        <v>0.2</v>
      </c>
      <c r="D55" s="68">
        <v>0.1</v>
      </c>
      <c r="E55" s="68">
        <v>0.1</v>
      </c>
      <c r="F55" s="68">
        <v>0.25</v>
      </c>
      <c r="G55" s="71">
        <v>0.2</v>
      </c>
    </row>
    <row r="56" spans="2:7" x14ac:dyDescent="0.25">
      <c r="B56" s="67" t="s">
        <v>138</v>
      </c>
      <c r="C56" s="72">
        <v>0.15</v>
      </c>
      <c r="D56" s="68">
        <v>0.1</v>
      </c>
      <c r="E56" s="68">
        <v>0.1</v>
      </c>
      <c r="F56" s="68">
        <v>0.15</v>
      </c>
      <c r="G56" s="71">
        <v>0.15</v>
      </c>
    </row>
    <row r="57" spans="2:7" x14ac:dyDescent="0.25">
      <c r="B57" s="67" t="s">
        <v>139</v>
      </c>
      <c r="C57" s="72">
        <v>0.2</v>
      </c>
      <c r="D57" s="68">
        <v>0.15</v>
      </c>
      <c r="E57" s="68">
        <v>0.15</v>
      </c>
      <c r="F57" s="68">
        <v>0.3</v>
      </c>
      <c r="G57" s="71">
        <v>0.2</v>
      </c>
    </row>
    <row r="58" spans="2:7" x14ac:dyDescent="0.25">
      <c r="B58" s="67" t="s">
        <v>140</v>
      </c>
      <c r="C58" s="72">
        <v>0.05</v>
      </c>
      <c r="D58" s="68">
        <v>0.05</v>
      </c>
      <c r="E58" s="68">
        <v>0.02</v>
      </c>
      <c r="F58" s="68">
        <v>0.1</v>
      </c>
      <c r="G58" s="71">
        <v>0.05</v>
      </c>
    </row>
    <row r="59" spans="2:7" x14ac:dyDescent="0.25">
      <c r="B59" s="67" t="s">
        <v>141</v>
      </c>
      <c r="C59" s="72">
        <v>0.03</v>
      </c>
      <c r="D59" s="68">
        <v>0.02</v>
      </c>
      <c r="E59" s="68">
        <v>0.01</v>
      </c>
      <c r="F59" s="68">
        <v>0.03</v>
      </c>
      <c r="G59" s="71">
        <v>0.03</v>
      </c>
    </row>
    <row r="60" spans="2:7" x14ac:dyDescent="0.25">
      <c r="B60" s="67" t="s">
        <v>142</v>
      </c>
      <c r="C60" s="72">
        <v>0.1</v>
      </c>
      <c r="D60" s="68">
        <v>0.1</v>
      </c>
      <c r="E60" s="68">
        <v>0.05</v>
      </c>
      <c r="F60" s="68">
        <v>0.2</v>
      </c>
      <c r="G60" s="71">
        <v>0.1</v>
      </c>
    </row>
    <row r="61" spans="2:7" x14ac:dyDescent="0.25">
      <c r="B61" s="67" t="s">
        <v>143</v>
      </c>
      <c r="C61" s="72">
        <v>0.1</v>
      </c>
      <c r="D61" s="68">
        <v>0.1</v>
      </c>
      <c r="E61" s="68">
        <v>0.05</v>
      </c>
      <c r="F61" s="68">
        <v>0.2</v>
      </c>
      <c r="G61" s="71">
        <v>0.1</v>
      </c>
    </row>
    <row r="62" spans="2:7" x14ac:dyDescent="0.25">
      <c r="B62" s="67" t="s">
        <v>144</v>
      </c>
      <c r="C62" s="72">
        <v>0.03</v>
      </c>
      <c r="D62" s="68">
        <v>0.04</v>
      </c>
      <c r="E62" s="68">
        <v>0.02</v>
      </c>
      <c r="F62" s="68">
        <v>0.08</v>
      </c>
      <c r="G62" s="71">
        <v>0.03</v>
      </c>
    </row>
    <row r="63" spans="2:7" x14ac:dyDescent="0.25">
      <c r="B63" s="67" t="s">
        <v>145</v>
      </c>
      <c r="C63" s="72">
        <v>0.03</v>
      </c>
      <c r="D63" s="68">
        <v>0.04</v>
      </c>
      <c r="E63" s="68">
        <v>0.02</v>
      </c>
      <c r="F63" s="68">
        <v>0.08</v>
      </c>
      <c r="G63" s="71">
        <v>0.03</v>
      </c>
    </row>
    <row r="64" spans="2:7" x14ac:dyDescent="0.25">
      <c r="B64" s="67" t="s">
        <v>146</v>
      </c>
      <c r="C64" s="72">
        <v>0.01</v>
      </c>
      <c r="D64" s="68">
        <v>0.01</v>
      </c>
      <c r="E64" s="68">
        <v>0.01</v>
      </c>
      <c r="F64" s="68">
        <v>0.01</v>
      </c>
      <c r="G64" s="71">
        <v>0.01</v>
      </c>
    </row>
    <row r="65" spans="2:7" x14ac:dyDescent="0.25">
      <c r="B65" s="67" t="s">
        <v>147</v>
      </c>
      <c r="C65" s="72">
        <v>0.01</v>
      </c>
      <c r="D65" s="68">
        <v>0.01</v>
      </c>
      <c r="E65" s="68">
        <v>0.01</v>
      </c>
      <c r="F65" s="68">
        <v>0.01</v>
      </c>
      <c r="G65" s="71">
        <v>0.01</v>
      </c>
    </row>
    <row r="66" spans="2:7" x14ac:dyDescent="0.25">
      <c r="B66" s="67" t="s">
        <v>148</v>
      </c>
      <c r="C66" s="72">
        <v>0.01</v>
      </c>
      <c r="D66" s="68">
        <v>0.01</v>
      </c>
      <c r="E66" s="68">
        <v>5.0000000000000001E-3</v>
      </c>
      <c r="F66" s="68">
        <v>0.01</v>
      </c>
      <c r="G66" s="71">
        <v>5.0000000000000001E-3</v>
      </c>
    </row>
    <row r="67" spans="2:7" x14ac:dyDescent="0.25">
      <c r="B67" s="67" t="s">
        <v>149</v>
      </c>
      <c r="C67" s="72">
        <v>0.01</v>
      </c>
      <c r="D67" s="68">
        <v>0.01</v>
      </c>
      <c r="E67" s="68">
        <v>5.0000000000000001E-3</v>
      </c>
      <c r="F67" s="68">
        <v>0.01</v>
      </c>
      <c r="G67" s="71">
        <v>5.0000000000000001E-3</v>
      </c>
    </row>
    <row r="68" spans="2:7" x14ac:dyDescent="0.25">
      <c r="B68" s="67" t="s">
        <v>150</v>
      </c>
      <c r="C68" s="72">
        <v>0.02</v>
      </c>
      <c r="D68" s="68">
        <v>0.02</v>
      </c>
      <c r="E68" s="68">
        <v>0.01</v>
      </c>
      <c r="F68" s="68">
        <v>0.04</v>
      </c>
      <c r="G68" s="71">
        <v>0.02</v>
      </c>
    </row>
    <row r="69" spans="2:7" x14ac:dyDescent="0.25">
      <c r="B69" s="67" t="s">
        <v>151</v>
      </c>
      <c r="C69" s="72">
        <v>0.01</v>
      </c>
      <c r="D69" s="68">
        <v>0.02</v>
      </c>
      <c r="E69" s="68">
        <v>0.01</v>
      </c>
      <c r="F69" s="68">
        <v>0.02</v>
      </c>
      <c r="G69" s="71">
        <v>0.01</v>
      </c>
    </row>
    <row r="70" spans="2:7" x14ac:dyDescent="0.25">
      <c r="B70" s="67" t="s">
        <v>152</v>
      </c>
      <c r="C70" s="72">
        <v>0.03</v>
      </c>
      <c r="D70" s="68">
        <v>0.05</v>
      </c>
      <c r="E70" s="68">
        <v>0.02</v>
      </c>
      <c r="F70" s="68">
        <v>0.08</v>
      </c>
      <c r="G70" s="71">
        <v>0.03</v>
      </c>
    </row>
    <row r="71" spans="2:7" x14ac:dyDescent="0.25">
      <c r="B71" s="67" t="s">
        <v>153</v>
      </c>
      <c r="C71" s="72">
        <v>0.03</v>
      </c>
      <c r="D71" s="68">
        <v>0.03</v>
      </c>
      <c r="E71" s="68">
        <v>0.02</v>
      </c>
      <c r="F71" s="68">
        <v>0.05</v>
      </c>
      <c r="G71" s="71">
        <v>0.03</v>
      </c>
    </row>
    <row r="72" spans="2:7" x14ac:dyDescent="0.25">
      <c r="B72" s="67" t="s">
        <v>154</v>
      </c>
      <c r="C72" s="72">
        <v>0.03</v>
      </c>
      <c r="D72" s="68">
        <v>0.04</v>
      </c>
      <c r="E72" s="68">
        <v>0.02</v>
      </c>
      <c r="F72" s="68">
        <v>0.08</v>
      </c>
      <c r="G72" s="71">
        <v>0.03</v>
      </c>
    </row>
    <row r="73" spans="2:7" x14ac:dyDescent="0.25">
      <c r="B73" s="67" t="s">
        <v>155</v>
      </c>
      <c r="C73" s="72">
        <v>0.03</v>
      </c>
      <c r="D73" s="68">
        <v>0.02</v>
      </c>
      <c r="E73" s="68">
        <v>0.01</v>
      </c>
      <c r="F73" s="68">
        <v>0.05</v>
      </c>
      <c r="G73" s="71">
        <v>0.03</v>
      </c>
    </row>
    <row r="74" spans="2:7" x14ac:dyDescent="0.25">
      <c r="B74" s="67" t="s">
        <v>156</v>
      </c>
      <c r="C74" s="72">
        <v>0.05</v>
      </c>
      <c r="D74" s="68">
        <v>0.02</v>
      </c>
      <c r="E74" s="68">
        <v>0.01</v>
      </c>
      <c r="F74" s="68">
        <v>0.05</v>
      </c>
      <c r="G74" s="71">
        <v>0.03</v>
      </c>
    </row>
    <row r="75" spans="2:7" x14ac:dyDescent="0.25">
      <c r="B75" s="67" t="s">
        <v>157</v>
      </c>
      <c r="C75" s="72">
        <v>0.1</v>
      </c>
      <c r="D75" s="68">
        <v>0.08</v>
      </c>
      <c r="E75" s="68">
        <v>0.04</v>
      </c>
      <c r="F75" s="68">
        <v>0.15</v>
      </c>
      <c r="G75" s="71">
        <v>0.1</v>
      </c>
    </row>
    <row r="76" spans="2:7" x14ac:dyDescent="0.25">
      <c r="B76" s="67" t="s">
        <v>158</v>
      </c>
      <c r="C76" s="72">
        <v>0.1</v>
      </c>
      <c r="D76" s="68">
        <v>0.08</v>
      </c>
      <c r="E76" s="68">
        <v>0.04</v>
      </c>
      <c r="F76" s="68">
        <v>0.15</v>
      </c>
      <c r="G76" s="71">
        <v>0.1</v>
      </c>
    </row>
    <row r="77" spans="2:7" x14ac:dyDescent="0.25">
      <c r="B77" s="67" t="s">
        <v>159</v>
      </c>
      <c r="C77" s="72">
        <v>0.08</v>
      </c>
      <c r="D77" s="68">
        <v>0.08</v>
      </c>
      <c r="E77" s="68">
        <v>0.04</v>
      </c>
      <c r="F77" s="68">
        <v>0.15</v>
      </c>
      <c r="G77" s="71">
        <v>0.08</v>
      </c>
    </row>
    <row r="78" spans="2:7" x14ac:dyDescent="0.25">
      <c r="B78" s="67" t="s">
        <v>160</v>
      </c>
      <c r="C78" s="72">
        <v>0.03</v>
      </c>
      <c r="D78" s="68">
        <v>0.04</v>
      </c>
      <c r="E78" s="68">
        <v>0.02</v>
      </c>
      <c r="F78" s="68">
        <v>0.05</v>
      </c>
      <c r="G78" s="71">
        <v>0.03</v>
      </c>
    </row>
    <row r="79" spans="2:7" x14ac:dyDescent="0.25">
      <c r="B79" s="67" t="s">
        <v>94</v>
      </c>
      <c r="C79" s="72">
        <v>0.03</v>
      </c>
      <c r="D79" s="68">
        <v>0.04</v>
      </c>
      <c r="E79" s="68">
        <v>0.02</v>
      </c>
      <c r="F79" s="68">
        <v>0.05</v>
      </c>
      <c r="G79" s="71">
        <v>0.03</v>
      </c>
    </row>
    <row r="80" spans="2:7" x14ac:dyDescent="0.25">
      <c r="B80" s="67" t="s">
        <v>161</v>
      </c>
      <c r="C80" s="72">
        <v>0.03</v>
      </c>
      <c r="D80" s="68">
        <v>0.04</v>
      </c>
      <c r="E80" s="68">
        <v>0.02</v>
      </c>
      <c r="F80" s="68">
        <v>0.05</v>
      </c>
      <c r="G80" s="71">
        <v>0.03</v>
      </c>
    </row>
  </sheetData>
  <mergeCells count="2">
    <mergeCell ref="B2:I2"/>
    <mergeCell ref="B3:C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63BF5-92C2-4493-B31B-458D41167747}">
  <dimension ref="B2:M16"/>
  <sheetViews>
    <sheetView workbookViewId="0">
      <selection activeCell="D15" sqref="D15"/>
    </sheetView>
  </sheetViews>
  <sheetFormatPr defaultRowHeight="15" x14ac:dyDescent="0.25"/>
  <cols>
    <col min="1" max="1" width="3.140625" customWidth="1"/>
    <col min="2" max="2" width="13.7109375" customWidth="1"/>
    <col min="3" max="3" width="12" bestFit="1" customWidth="1"/>
    <col min="4" max="4" width="11.28515625" bestFit="1" customWidth="1"/>
  </cols>
  <sheetData>
    <row r="2" spans="2:13" x14ac:dyDescent="0.25">
      <c r="C2" s="111" t="s">
        <v>234</v>
      </c>
      <c r="D2" s="111" t="s">
        <v>234</v>
      </c>
    </row>
    <row r="3" spans="2:13" x14ac:dyDescent="0.25">
      <c r="B3" s="155" t="s">
        <v>241</v>
      </c>
      <c r="C3" s="111" t="s">
        <v>235</v>
      </c>
      <c r="D3" s="112" t="s">
        <v>236</v>
      </c>
      <c r="E3" s="113"/>
      <c r="M3" s="113"/>
    </row>
    <row r="4" spans="2:13" x14ac:dyDescent="0.25">
      <c r="B4" s="154" t="s">
        <v>170</v>
      </c>
      <c r="C4" s="111">
        <v>1.6465250156540216E-2</v>
      </c>
      <c r="D4" s="112">
        <v>3.5990313013993261E-2</v>
      </c>
      <c r="E4" s="113"/>
    </row>
    <row r="5" spans="2:13" x14ac:dyDescent="0.25">
      <c r="B5" s="154" t="s">
        <v>171</v>
      </c>
      <c r="C5" s="111">
        <v>1.5615221198574572E-2</v>
      </c>
      <c r="D5" s="112">
        <v>2.4287640268739003E-2</v>
      </c>
      <c r="E5" s="113"/>
    </row>
    <row r="6" spans="2:13" x14ac:dyDescent="0.25">
      <c r="B6" s="154" t="s">
        <v>172</v>
      </c>
      <c r="C6" s="111">
        <v>3.195266160252231E-2</v>
      </c>
      <c r="D6" s="112">
        <v>2.6990658283985388E-2</v>
      </c>
      <c r="E6" s="113"/>
    </row>
    <row r="7" spans="2:13" x14ac:dyDescent="0.25">
      <c r="B7" s="154" t="s">
        <v>185</v>
      </c>
      <c r="C7" s="111">
        <v>1.9699867662153519E-2</v>
      </c>
      <c r="D7" s="112">
        <v>1.3066379160471426E-2</v>
      </c>
      <c r="E7" s="113"/>
    </row>
    <row r="8" spans="2:13" x14ac:dyDescent="0.25">
      <c r="B8" s="154" t="s">
        <v>173</v>
      </c>
      <c r="C8" s="111">
        <v>1.9512302850000194E-2</v>
      </c>
      <c r="D8" s="112">
        <v>1.2024674308902259E-2</v>
      </c>
      <c r="E8" s="113"/>
    </row>
    <row r="9" spans="2:13" x14ac:dyDescent="0.25">
      <c r="B9" s="154" t="s">
        <v>174</v>
      </c>
      <c r="C9" s="111">
        <v>1.782356260884985E-2</v>
      </c>
      <c r="D9" s="112">
        <v>2.9745043736646361E-2</v>
      </c>
      <c r="E9" s="113"/>
    </row>
    <row r="10" spans="2:13" x14ac:dyDescent="0.25">
      <c r="B10" s="154" t="s">
        <v>175</v>
      </c>
      <c r="C10" s="111">
        <v>2.508906394952868E-2</v>
      </c>
      <c r="D10" s="112">
        <v>2.4222517026481549E-2</v>
      </c>
      <c r="E10" s="113"/>
    </row>
    <row r="11" spans="2:13" x14ac:dyDescent="0.25">
      <c r="B11" s="154" t="s">
        <v>176</v>
      </c>
      <c r="C11" s="111">
        <v>2.4045854892342022E-2</v>
      </c>
      <c r="D11" s="112">
        <v>4.1038431317052267E-2</v>
      </c>
      <c r="E11" s="113"/>
    </row>
    <row r="12" spans="2:13" x14ac:dyDescent="0.25">
      <c r="C12" s="114"/>
      <c r="D12" s="156"/>
      <c r="E12" s="113"/>
    </row>
    <row r="13" spans="2:13" x14ac:dyDescent="0.25">
      <c r="B13" s="177" t="s">
        <v>234</v>
      </c>
      <c r="C13" s="177"/>
    </row>
    <row r="14" spans="2:13" ht="30" x14ac:dyDescent="0.25">
      <c r="B14" s="158" t="s">
        <v>242</v>
      </c>
      <c r="C14" s="157">
        <f>'Inputs &amp; Outputs'!$C$32</f>
        <v>12461</v>
      </c>
    </row>
    <row r="15" spans="2:13" ht="60" x14ac:dyDescent="0.25">
      <c r="B15" s="158" t="s">
        <v>243</v>
      </c>
      <c r="C15" s="157">
        <f>'Inputs &amp; Outputs'!$C$33</f>
        <v>14600</v>
      </c>
    </row>
    <row r="16" spans="2:13" x14ac:dyDescent="0.25">
      <c r="B16" s="154" t="s">
        <v>234</v>
      </c>
      <c r="C16" s="159">
        <f>(($C$15/$C$14)^(1/(Year_Open_to_Traffic?-2021))-1)</f>
        <v>2.2889135162825314E-2</v>
      </c>
    </row>
  </sheetData>
  <mergeCells count="1">
    <mergeCell ref="B13:C1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044b98a-cc98-43c3-8dd9-c574fe526816" xsi:nil="true"/>
    <lcf76f155ced4ddcb4097134ff3c332f xmlns="de331666-0071-4b87-a440-e10fb0f9308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3FD71055A43F94EA50A5E0F004D6C60" ma:contentTypeVersion="19" ma:contentTypeDescription="Create a new document." ma:contentTypeScope="" ma:versionID="98e7590328fdede68df8bb16a3b19df2">
  <xsd:schema xmlns:xsd="http://www.w3.org/2001/XMLSchema" xmlns:xs="http://www.w3.org/2001/XMLSchema" xmlns:p="http://schemas.microsoft.com/office/2006/metadata/properties" xmlns:ns2="de331666-0071-4b87-a440-e10fb0f93085" xmlns:ns3="8044b98a-cc98-43c3-8dd9-c574fe526816" targetNamespace="http://schemas.microsoft.com/office/2006/metadata/properties" ma:root="true" ma:fieldsID="f9c8c5018dbf226a183418a2db4c8a03" ns2:_="" ns3:_="">
    <xsd:import namespace="de331666-0071-4b87-a440-e10fb0f93085"/>
    <xsd:import namespace="8044b98a-cc98-43c3-8dd9-c574fe52681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LengthInSeconds" minOccurs="0"/>
                <xsd:element ref="ns2:MediaServiceLocation"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331666-0071-4b87-a440-e10fb0f930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ca37a28-47b4-4f3f-aba1-ba46afc357f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44b98a-cc98-43c3-8dd9-c574fe52681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d441d68d-6d42-4729-a16e-7b2962ec8519}" ma:internalName="TaxCatchAll" ma:showField="CatchAllData" ma:web="8044b98a-cc98-43c3-8dd9-c574fe5268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7F98B3-8110-4FA2-AF3E-50F48B49B1D6}">
  <ds:schemaRefs>
    <ds:schemaRef ds:uri="http://schemas.microsoft.com/office/2006/metadata/properties"/>
    <ds:schemaRef ds:uri="http://schemas.microsoft.com/office/infopath/2007/PartnerControls"/>
    <ds:schemaRef ds:uri="8044b98a-cc98-43c3-8dd9-c574fe526816"/>
    <ds:schemaRef ds:uri="de331666-0071-4b87-a440-e10fb0f93085"/>
  </ds:schemaRefs>
</ds:datastoreItem>
</file>

<file path=customXml/itemProps2.xml><?xml version="1.0" encoding="utf-8"?>
<ds:datastoreItem xmlns:ds="http://schemas.openxmlformats.org/officeDocument/2006/customXml" ds:itemID="{849C2EE6-AA99-4F19-BF68-C5F9B1C611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331666-0071-4b87-a440-e10fb0f93085"/>
    <ds:schemaRef ds:uri="8044b98a-cc98-43c3-8dd9-c574fe5268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4FF4BF-10E9-45C2-BF98-8919E186035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26</vt:i4>
      </vt:variant>
    </vt:vector>
  </HeadingPairs>
  <TitlesOfParts>
    <vt:vector size="35"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Growth Rates</vt:lpstr>
      <vt:lpstr>_20_2030_V_C_Growth</vt:lpstr>
      <vt:lpstr>_20_2045_Demand_Growth</vt:lpstr>
      <vt:lpstr>_20_2045_V_C_Growth</vt:lpstr>
      <vt:lpstr>_20_V_C_Ratio</vt:lpstr>
      <vt:lpstr>_2045_V_C_Ratio</vt:lpstr>
      <vt:lpstr>_30_2045_Demand_Growth</vt:lpstr>
      <vt:lpstr>_30_2045_V_C_Growth</vt:lpstr>
      <vt:lpstr>_30_V_C_Ratio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Value_of_Delay_Savings__2020_____000s</vt:lpstr>
      <vt:lpstr>Value_of_Travel_Time__VoTT___2020</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Ponce, Alberto (Engineering)</cp:lastModifiedBy>
  <cp:lastPrinted>2018-07-16T14:36:56Z</cp:lastPrinted>
  <dcterms:created xsi:type="dcterms:W3CDTF">2012-07-25T15:48:32Z</dcterms:created>
  <dcterms:modified xsi:type="dcterms:W3CDTF">2023-08-07T20:58:14Z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0x01010063FD71055A43F94EA50A5E0F004D6C60</vt:lpwstr>
  </property>
  <property fmtid="{D5CDD505-2E9C-101B-9397-08002B2CF9AE}" pid="3" name="MediaServiceImageTags">
    <vt:lpwstr/>
  </property>
</Properties>
</file>