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mc:AlternateContent xmlns:mc="http://schemas.openxmlformats.org/markup-compatibility/2006">
    <mc:Choice Requires="x15">
      <x15ac:absPath xmlns:x15ac="http://schemas.microsoft.com/office/spreadsheetml/2010/11/ac" url="C:\Users\qli\Box\HOU - Houston\2023 H-GAC Call For Projects\2023 BCA - Combined\David\Benefits\"/>
    </mc:Choice>
  </mc:AlternateContent>
  <xr:revisionPtr revIDLastSave="0" documentId="8_{A55C21B5-6E46-4632-ADCD-02B14DD1D031}" xr6:coauthVersionLast="47" xr6:coauthVersionMax="47" xr10:uidLastSave="{00000000-0000-0000-0000-000000000000}"/>
  <bookViews>
    <workbookView xWindow="-38510" yWindow="-110" windowWidth="38620" windowHeight="21220" firstSheet="1" activeTab="4" xr2:uid="{027CACD5-FD3E-479D-A130-2BA1287BE19F}"/>
  </bookViews>
  <sheets>
    <sheet name="Instruction" sheetId="2" r:id="rId1"/>
    <sheet name="Project Information Data" sheetId="3" r:id="rId2"/>
    <sheet name="Raw Crash Data" sheetId="4" r:id="rId3"/>
    <sheet name="Raw Bike_Ped Data" sheetId="5" r:id="rId4"/>
    <sheet name="Output" sheetId="7" r:id="rId5"/>
    <sheet name="Summary" sheetId="8" r:id="rId6"/>
    <sheet name="Final BCR" sheetId="9" r:id="rId7"/>
    <sheet name="Capital Costs" sheetId="11" r:id="rId8"/>
    <sheet name="Operations and Maintenance" sheetId="12" r:id="rId9"/>
    <sheet name="Safety" sheetId="13" r:id="rId10"/>
    <sheet name="Travel Time Savings" sheetId="14" r:id="rId11"/>
    <sheet name="Emissions Reduction" sheetId="15" r:id="rId12"/>
    <sheet name="Vehicle Operating Cost Savings" sheetId="16" r:id="rId13"/>
    <sheet name="Other Highway Use Externalities" sheetId="17" r:id="rId14"/>
    <sheet name="Amenity Benefits" sheetId="18" r:id="rId15"/>
    <sheet name="Health Benefits" sheetId="19" r:id="rId16"/>
    <sheet name="Residual Value" sheetId="20" r:id="rId17"/>
    <sheet name="Project Information" sheetId="21" r:id="rId18"/>
    <sheet name="Parameter Values" sheetId="22" r:id="rId19"/>
    <sheet name="Emission Factors" sheetId="23" r:id="rId20"/>
    <sheet name="Other Benefit 4" sheetId="27" state="hidden" r:id="rId21"/>
    <sheet name="Other Benefit 3" sheetId="26" state="hidden" r:id="rId22"/>
    <sheet name="Other Benefit 2" sheetId="25" state="hidden" r:id="rId23"/>
    <sheet name="Other Benefit 1" sheetId="24" state="hidden" r:id="rId24"/>
    <sheet name="User Volumes" sheetId="10" state="hidden" r:id="rId25"/>
    <sheet name="Overview" sheetId="6" state="hidden" r:id="rId26"/>
  </sheets>
  <externalReferences>
    <externalReference r:id="rId27"/>
  </externalReferences>
  <definedNames>
    <definedName name="_xlnm._FilterDatabase" localSheetId="4" hidden="1">Output!$A$3:$BK$130</definedName>
    <definedName name="_xlnm._FilterDatabase" localSheetId="1" hidden="1">'Project Information Data'!$A$1:$AP$76</definedName>
    <definedName name="Add_Sidewalk_Width">'Project Information'!$B$28</definedName>
    <definedName name="Analysis_Period">'Project Information'!$B$10</definedName>
    <definedName name="Assumed_Heavy_Truck_Percent" localSheetId="23">'Emission Factors'!$J$310</definedName>
    <definedName name="Assumed_Heavy_Truck_Percent" localSheetId="22">'Emission Factors'!$J$310</definedName>
    <definedName name="Assumed_Heavy_Truck_Percent" localSheetId="21">'Emission Factors'!$J$310</definedName>
    <definedName name="Assumed_Heavy_Truck_Percent" localSheetId="20">'Emission Factors'!$J$310</definedName>
    <definedName name="Assumed_Heavy_Truck_Percent">'Emission Factors'!$J$310</definedName>
    <definedName name="Assumed_Pct_Increase_Daily_Cycling_Trips">'Project Information'!$B$36</definedName>
    <definedName name="Assumed_Pct_Increase_Daily_Walking_Trips">'Project Information'!$B$30</definedName>
    <definedName name="Base_Year">'Project Information'!$B$6</definedName>
    <definedName name="Base_Year_AADT">'Project Information'!$B$18</definedName>
    <definedName name="Base_Year_Daily_Cycling_Trips">'Project Information'!$B$33</definedName>
    <definedName name="Base_Year_Daily_Walking_Trips">'Project Information'!$B$27</definedName>
    <definedName name="Base_Year_Truck_AADT" localSheetId="19">'Project Information'!$B$19</definedName>
    <definedName name="Base_Year_Truck_AADT" localSheetId="23">'Project Information'!$B$19</definedName>
    <definedName name="Base_Year_Truck_AADT" localSheetId="22">'Project Information'!$B$19</definedName>
    <definedName name="Base_Year_Truck_AADT" localSheetId="21">'Project Information'!$B$19</definedName>
    <definedName name="Base_Year_Truck_AADT" localSheetId="20">'Project Information'!$B$19</definedName>
    <definedName name="Base_Year_Truck_AADT" localSheetId="18">'Project Information'!$B$19</definedName>
    <definedName name="Base_Year_Truck_AADT">'Project Information'!$B$19</definedName>
    <definedName name="BikePed_GR">'Project Information'!$B$26</definedName>
    <definedName name="Build_Project_Length">'Project Information'!$B$17</definedName>
    <definedName name="Build_Start_AADT">'Project Information'!$B$23</definedName>
    <definedName name="Build_Start_Annual_VMT" localSheetId="19">'Project Information'!$B$24</definedName>
    <definedName name="Build_Start_Annual_VMT" localSheetId="23">'Project Information'!$B$24</definedName>
    <definedName name="Build_Start_Annual_VMT" localSheetId="22">'Project Information'!$B$24</definedName>
    <definedName name="Build_Start_Annual_VMT" localSheetId="21">'Project Information'!$B$24</definedName>
    <definedName name="Build_Start_Annual_VMT" localSheetId="20">'Project Information'!$B$24</definedName>
    <definedName name="Build_Start_Annual_VMT" localSheetId="18">'Project Information'!$B$24</definedName>
    <definedName name="Build_Start_Annual_VMT">'Project Information'!$B$24</definedName>
    <definedName name="Build_Start_Daily_Bike_Ped_Trips" localSheetId="19">'Project Information'!$B$40</definedName>
    <definedName name="Build_Start_Daily_Bike_Ped_Trips" localSheetId="23">'Project Information'!$B$40</definedName>
    <definedName name="Build_Start_Daily_Bike_Ped_Trips" localSheetId="22">'Project Information'!$B$40</definedName>
    <definedName name="Build_Start_Daily_Bike_Ped_Trips" localSheetId="21">'Project Information'!$B$40</definedName>
    <definedName name="Build_Start_Daily_Bike_Ped_Trips" localSheetId="20">'Project Information'!$B$40</definedName>
    <definedName name="Build_Start_Daily_Bike_Ped_Trips" localSheetId="18">'Project Information'!$B$40</definedName>
    <definedName name="Build_Start_Daily_Bike_Ped_Trips">'Project Information'!$B$40</definedName>
    <definedName name="Build_Start_Daily_Cycling_Trips">'Project Information'!$B$38</definedName>
    <definedName name="Build_Start_Daily_Walking_Trips">'Project Information'!$B$32</definedName>
    <definedName name="County" localSheetId="19">'Project Information'!$B$13</definedName>
    <definedName name="County" localSheetId="23">'Project Information'!$B$13</definedName>
    <definedName name="County" localSheetId="22">'Project Information'!$B$13</definedName>
    <definedName name="County" localSheetId="21">'Project Information'!$B$13</definedName>
    <definedName name="County" localSheetId="20">'Project Information'!$B$13</definedName>
    <definedName name="County" localSheetId="18">'Project Information'!$B$13</definedName>
    <definedName name="County">'Project Information'!$B$13</definedName>
    <definedName name="Facility_Type" localSheetId="19">'Project Information'!$B$14</definedName>
    <definedName name="Facility_Type" localSheetId="23">'Project Information'!$B$14</definedName>
    <definedName name="Facility_Type" localSheetId="22">'Project Information'!$B$14</definedName>
    <definedName name="Facility_Type" localSheetId="21">'Project Information'!$B$14</definedName>
    <definedName name="Facility_Type" localSheetId="20">'Project Information'!$B$14</definedName>
    <definedName name="Facility_Type" localSheetId="18">'Project Information'!$B$14</definedName>
    <definedName name="Facility_Type">'Project Information'!$B$14</definedName>
    <definedName name="Growth_Rate">'Project Information'!$B$20</definedName>
    <definedName name="Induced_Daily_Cycling_Trips">'Project Information'!$B$37</definedName>
    <definedName name="Induced_Daily_Walking_Trips">'Project Information'!$B$31</definedName>
    <definedName name="No_Build_Project_Length">'Project Information'!$B$16</definedName>
    <definedName name="No_Build_Start_AADT">'Project Information'!$B$21</definedName>
    <definedName name="No_Build_Start_Annual_VMT" localSheetId="19">'Project Information'!$B$22</definedName>
    <definedName name="No_Build_Start_Annual_VMT" localSheetId="23">'Project Information'!$B$22</definedName>
    <definedName name="No_Build_Start_Annual_VMT" localSheetId="22">'Project Information'!$B$22</definedName>
    <definedName name="No_Build_Start_Annual_VMT" localSheetId="21">'Project Information'!$B$22</definedName>
    <definedName name="No_Build_Start_Annual_VMT" localSheetId="20">'Project Information'!$B$22</definedName>
    <definedName name="No_Build_Start_Annual_VMT" localSheetId="18">'Project Information'!$B$22</definedName>
    <definedName name="No_Build_Start_Annual_VMT">'Project Information'!$B$22</definedName>
    <definedName name="No_Build_Start_Daily_Bike_Ped_Trips" localSheetId="19">'Project Information'!$B$39</definedName>
    <definedName name="No_Build_Start_Daily_Bike_Ped_Trips" localSheetId="23">'Project Information'!$B$39</definedName>
    <definedName name="No_Build_Start_Daily_Bike_Ped_Trips" localSheetId="22">'Project Information'!$B$39</definedName>
    <definedName name="No_Build_Start_Daily_Bike_Ped_Trips" localSheetId="21">'Project Information'!$B$39</definedName>
    <definedName name="No_Build_Start_Daily_Bike_Ped_Trips" localSheetId="20">'Project Information'!$B$39</definedName>
    <definedName name="No_Build_Start_Daily_Bike_Ped_Trips" localSheetId="18">'Project Information'!$B$39</definedName>
    <definedName name="No_Build_Start_Daily_Bike_Ped_Trips">'Project Information'!$B$39</definedName>
    <definedName name="No_Build_Start_Daily_Cycling_Trips">'Project Information'!$B$35</definedName>
    <definedName name="No_Build_Start_Daily_Walking_Trips">'Project Information'!$B$29</definedName>
    <definedName name="Opening_Year">'Project Information'!$B$9</definedName>
    <definedName name="Project_ID">'Project Information'!$B$12</definedName>
    <definedName name="Reduced_Annual_VMT_Open_Year" localSheetId="19">'Project Information'!$B$41</definedName>
    <definedName name="Reduced_Annual_VMT_Open_Year" localSheetId="23">'Project Information'!$B$41</definedName>
    <definedName name="Reduced_Annual_VMT_Open_Year" localSheetId="22">'Project Information'!$B$41</definedName>
    <definedName name="Reduced_Annual_VMT_Open_Year" localSheetId="21">'Project Information'!$B$41</definedName>
    <definedName name="Reduced_Annual_VMT_Open_Year" localSheetId="20">'Project Information'!$B$41</definedName>
    <definedName name="Reduced_Annual_VMT_Open_Year" localSheetId="18">'Project Information'!$B$41</definedName>
    <definedName name="Reduced_Annual_VMT_Open_Year">'Project Information'!$B$41</definedName>
    <definedName name="Seg_ID" localSheetId="19">'Project Information'!#REF!</definedName>
    <definedName name="Seg_ID" localSheetId="23">'Project Information'!#REF!</definedName>
    <definedName name="Seg_ID" localSheetId="22">'Project Information'!#REF!</definedName>
    <definedName name="Seg_ID" localSheetId="21">'Project Information'!#REF!</definedName>
    <definedName name="Seg_ID" localSheetId="20">'Project Information'!#REF!</definedName>
    <definedName name="Seg_ID" localSheetId="18">'Project Information'!#REF!</definedName>
    <definedName name="Seg_ID">'Project Information'!#REF!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6" i="13" l="1" a="1"/>
  <c r="G36" i="13" s="1"/>
  <c r="L36" i="13" s="1"/>
  <c r="T67" i="15"/>
  <c r="S67" i="15"/>
  <c r="R67" i="15"/>
  <c r="P67" i="15"/>
  <c r="P34" i="15"/>
  <c r="C29" i="15"/>
  <c r="B29" i="15"/>
  <c r="C28" i="15"/>
  <c r="B28" i="15"/>
  <c r="C27" i="15"/>
  <c r="B27" i="15"/>
  <c r="C26" i="15"/>
  <c r="B26" i="15"/>
  <c r="C24" i="15"/>
  <c r="B24" i="15"/>
  <c r="C23" i="15"/>
  <c r="B23" i="15"/>
  <c r="C22" i="15"/>
  <c r="B22" i="15"/>
  <c r="C21" i="15"/>
  <c r="B21" i="15"/>
  <c r="C18" i="15"/>
  <c r="B18" i="15"/>
  <c r="C17" i="15"/>
  <c r="C16" i="15"/>
  <c r="C15" i="15"/>
  <c r="B15" i="15"/>
  <c r="C14" i="15"/>
  <c r="C13" i="15"/>
  <c r="C12" i="15"/>
  <c r="B12" i="15"/>
  <c r="C11" i="15"/>
  <c r="C10" i="15"/>
  <c r="B34" i="21"/>
  <c r="F26" i="18" s="1"/>
  <c r="F22" i="19" s="1"/>
  <c r="B33" i="21" a="1"/>
  <c r="B33" i="21" s="1"/>
  <c r="B28" i="21"/>
  <c r="F18" i="18" s="1"/>
  <c r="B27" i="21" a="1"/>
  <c r="B27" i="21" s="1"/>
  <c r="B26" i="21" a="1"/>
  <c r="B26" i="21" s="1"/>
  <c r="F14" i="18" s="1"/>
  <c r="B20" i="21"/>
  <c r="G23" i="17" s="1"/>
  <c r="B19" i="21"/>
  <c r="B18" i="21"/>
  <c r="H26" i="13" s="1"/>
  <c r="B17" i="21"/>
  <c r="P39" i="15" s="1"/>
  <c r="B16" i="21"/>
  <c r="B14" i="21"/>
  <c r="P36" i="15" s="1"/>
  <c r="B13" i="21"/>
  <c r="P35" i="15" s="1"/>
  <c r="B9" i="21"/>
  <c r="B8" i="21" s="1"/>
  <c r="B11" i="21" s="1"/>
  <c r="B6" i="21"/>
  <c r="C11" i="20"/>
  <c r="A11" i="19"/>
  <c r="A10" i="19"/>
  <c r="C9" i="19"/>
  <c r="B9" i="19"/>
  <c r="C8" i="19"/>
  <c r="B8" i="19"/>
  <c r="D16" i="17"/>
  <c r="C16" i="17"/>
  <c r="B16" i="17"/>
  <c r="A16" i="17"/>
  <c r="F26" i="17" s="1"/>
  <c r="D15" i="17"/>
  <c r="C15" i="17"/>
  <c r="B15" i="17"/>
  <c r="A15" i="17"/>
  <c r="D14" i="17"/>
  <c r="C14" i="17"/>
  <c r="B14" i="17"/>
  <c r="A14" i="17"/>
  <c r="D13" i="17"/>
  <c r="C13" i="17"/>
  <c r="B13" i="17"/>
  <c r="A13" i="17"/>
  <c r="D12" i="17"/>
  <c r="C12" i="17"/>
  <c r="B12" i="17"/>
  <c r="A12" i="17"/>
  <c r="D11" i="17"/>
  <c r="C11" i="17"/>
  <c r="B11" i="17"/>
  <c r="A11" i="17"/>
  <c r="D10" i="17"/>
  <c r="C10" i="17"/>
  <c r="B10" i="17"/>
  <c r="A10" i="17"/>
  <c r="D9" i="17"/>
  <c r="C9" i="17"/>
  <c r="B9" i="17"/>
  <c r="A9" i="17"/>
  <c r="D8" i="17"/>
  <c r="C8" i="17"/>
  <c r="B8" i="17"/>
  <c r="A8" i="17"/>
  <c r="B22" i="16"/>
  <c r="B20" i="16"/>
  <c r="B19" i="16"/>
  <c r="B18" i="16"/>
  <c r="B17" i="16"/>
  <c r="B15" i="16"/>
  <c r="B14" i="16"/>
  <c r="B13" i="16"/>
  <c r="B12" i="16"/>
  <c r="B9" i="16"/>
  <c r="B8" i="16"/>
  <c r="H40" i="14"/>
  <c r="H39" i="14"/>
  <c r="I39" i="14" s="1"/>
  <c r="H38" i="14"/>
  <c r="H28" i="14"/>
  <c r="H51" i="14" s="1"/>
  <c r="H52" i="14" s="1"/>
  <c r="H26" i="14"/>
  <c r="H25" i="14"/>
  <c r="P50" i="15" s="1"/>
  <c r="B16" i="14"/>
  <c r="B15" i="14"/>
  <c r="B14" i="14"/>
  <c r="B13" i="14"/>
  <c r="B11" i="14"/>
  <c r="B10" i="14"/>
  <c r="B9" i="14"/>
  <c r="B8" i="14"/>
  <c r="H78" i="13"/>
  <c r="H77" i="13"/>
  <c r="H76" i="13"/>
  <c r="H75" i="13"/>
  <c r="H74" i="13"/>
  <c r="H71" i="13"/>
  <c r="H70" i="13"/>
  <c r="H69" i="13"/>
  <c r="H68" i="13"/>
  <c r="H67" i="13"/>
  <c r="H64" i="13"/>
  <c r="H63" i="13"/>
  <c r="H62" i="13"/>
  <c r="H61" i="13"/>
  <c r="H60" i="13"/>
  <c r="L52" i="13"/>
  <c r="K52" i="13"/>
  <c r="J52" i="13"/>
  <c r="H52" i="13"/>
  <c r="I52" i="13" s="1"/>
  <c r="L51" i="13"/>
  <c r="K51" i="13"/>
  <c r="J51" i="13"/>
  <c r="H51" i="13"/>
  <c r="L50" i="13"/>
  <c r="K50" i="13"/>
  <c r="J50" i="13"/>
  <c r="H50" i="13"/>
  <c r="L49" i="13"/>
  <c r="K49" i="13"/>
  <c r="J49" i="13"/>
  <c r="H49" i="13"/>
  <c r="B18" i="13"/>
  <c r="B17" i="13"/>
  <c r="B16" i="13"/>
  <c r="B13" i="13"/>
  <c r="B12" i="13"/>
  <c r="B11" i="13"/>
  <c r="B10" i="13"/>
  <c r="B9" i="13"/>
  <c r="B8" i="13"/>
  <c r="B7" i="13"/>
  <c r="H12" i="12"/>
  <c r="H11" i="12"/>
  <c r="H41" i="12" s="1"/>
  <c r="F13" i="11"/>
  <c r="A5" i="11" s="1"/>
  <c r="B11" i="20" s="1"/>
  <c r="A9" i="11"/>
  <c r="A41" i="8" s="1"/>
  <c r="A42" i="8" s="1"/>
  <c r="A43" i="8" s="1"/>
  <c r="O35" i="8"/>
  <c r="N35" i="8"/>
  <c r="M35" i="8"/>
  <c r="L35" i="8"/>
  <c r="O34" i="8"/>
  <c r="N34" i="8"/>
  <c r="M34" i="8"/>
  <c r="L34" i="8"/>
  <c r="O33" i="8"/>
  <c r="N33" i="8"/>
  <c r="M33" i="8"/>
  <c r="L33" i="8"/>
  <c r="O32" i="8"/>
  <c r="N32" i="8"/>
  <c r="M32" i="8"/>
  <c r="L32" i="8"/>
  <c r="O31" i="8"/>
  <c r="N31" i="8"/>
  <c r="M31" i="8"/>
  <c r="L31" i="8"/>
  <c r="O30" i="8"/>
  <c r="N30" i="8"/>
  <c r="M30" i="8"/>
  <c r="L30" i="8"/>
  <c r="O29" i="8"/>
  <c r="N29" i="8"/>
  <c r="M29" i="8"/>
  <c r="L29" i="8"/>
  <c r="O28" i="8"/>
  <c r="N28" i="8"/>
  <c r="M28" i="8"/>
  <c r="L28" i="8"/>
  <c r="O27" i="8"/>
  <c r="N27" i="8"/>
  <c r="M27" i="8"/>
  <c r="L27" i="8"/>
  <c r="O26" i="8"/>
  <c r="N26" i="8"/>
  <c r="M26" i="8"/>
  <c r="L26" i="8"/>
  <c r="O25" i="8"/>
  <c r="N25" i="8"/>
  <c r="M25" i="8"/>
  <c r="L25" i="8"/>
  <c r="O24" i="8"/>
  <c r="N24" i="8"/>
  <c r="M24" i="8"/>
  <c r="L24" i="8"/>
  <c r="O23" i="8"/>
  <c r="N23" i="8"/>
  <c r="M23" i="8"/>
  <c r="L23" i="8"/>
  <c r="O22" i="8"/>
  <c r="N22" i="8"/>
  <c r="M22" i="8"/>
  <c r="L22" i="8"/>
  <c r="O21" i="8"/>
  <c r="N21" i="8"/>
  <c r="M21" i="8"/>
  <c r="L21" i="8"/>
  <c r="O20" i="8"/>
  <c r="N20" i="8"/>
  <c r="M20" i="8"/>
  <c r="L20" i="8"/>
  <c r="O19" i="8"/>
  <c r="N19" i="8"/>
  <c r="M19" i="8"/>
  <c r="L19" i="8"/>
  <c r="O18" i="8"/>
  <c r="N18" i="8"/>
  <c r="M18" i="8"/>
  <c r="L18" i="8"/>
  <c r="O17" i="8"/>
  <c r="N17" i="8"/>
  <c r="M17" i="8"/>
  <c r="L17" i="8"/>
  <c r="O16" i="8"/>
  <c r="N16" i="8"/>
  <c r="M16" i="8"/>
  <c r="L16" i="8"/>
  <c r="O15" i="8"/>
  <c r="N15" i="8"/>
  <c r="M15" i="8"/>
  <c r="L15" i="8"/>
  <c r="O14" i="8"/>
  <c r="N14" i="8"/>
  <c r="M14" i="8"/>
  <c r="L14" i="8"/>
  <c r="O13" i="8"/>
  <c r="N13" i="8"/>
  <c r="M13" i="8"/>
  <c r="L13" i="8"/>
  <c r="O12" i="8"/>
  <c r="N12" i="8"/>
  <c r="M12" i="8"/>
  <c r="L12" i="8"/>
  <c r="O11" i="8"/>
  <c r="N11" i="8"/>
  <c r="M11" i="8"/>
  <c r="L11" i="8"/>
  <c r="O10" i="8"/>
  <c r="N10" i="8"/>
  <c r="M10" i="8"/>
  <c r="L10" i="8"/>
  <c r="O9" i="8"/>
  <c r="N9" i="8"/>
  <c r="M9" i="8"/>
  <c r="L9" i="8"/>
  <c r="O8" i="8"/>
  <c r="N8" i="8"/>
  <c r="M8" i="8"/>
  <c r="L8" i="8"/>
  <c r="O7" i="8"/>
  <c r="N7" i="8"/>
  <c r="M7" i="8"/>
  <c r="L7" i="8"/>
  <c r="O6" i="8"/>
  <c r="N6" i="8"/>
  <c r="M6" i="8"/>
  <c r="L6" i="8"/>
  <c r="O5" i="8"/>
  <c r="N5" i="8"/>
  <c r="M5" i="8"/>
  <c r="L5" i="8"/>
  <c r="BC4" i="7"/>
  <c r="AO4" i="7"/>
  <c r="AN4" i="7"/>
  <c r="AM4" i="7"/>
  <c r="AL4" i="7"/>
  <c r="AJ4" i="7"/>
  <c r="AI4" i="7"/>
  <c r="AG4" i="7"/>
  <c r="AF4" i="7"/>
  <c r="AE4" i="7"/>
  <c r="AC4" i="7"/>
  <c r="AA4" i="7"/>
  <c r="X4" i="7"/>
  <c r="W4" i="7"/>
  <c r="V4" i="7"/>
  <c r="U4" i="7"/>
  <c r="S4" i="7"/>
  <c r="R4" i="7"/>
  <c r="O4" i="7"/>
  <c r="N4" i="7"/>
  <c r="M4" i="7"/>
  <c r="L4" i="7"/>
  <c r="K4" i="7"/>
  <c r="J4" i="7"/>
  <c r="I4" i="7"/>
  <c r="H4" i="7"/>
  <c r="G4" i="7"/>
  <c r="F4" i="7"/>
  <c r="BD4" i="7" s="1"/>
  <c r="E4" i="7"/>
  <c r="D4" i="7"/>
  <c r="C4" i="7"/>
  <c r="B4" i="7"/>
  <c r="A4" i="7"/>
  <c r="Y4" i="7" s="1"/>
  <c r="G109" i="22"/>
  <c r="G108" i="22"/>
  <c r="G107" i="22"/>
  <c r="G106" i="22"/>
  <c r="G105" i="22"/>
  <c r="G104" i="22"/>
  <c r="G103" i="22"/>
  <c r="G102" i="22"/>
  <c r="G101" i="22"/>
  <c r="G100" i="22"/>
  <c r="G99" i="22"/>
  <c r="G98" i="22"/>
  <c r="G97" i="22"/>
  <c r="G96" i="22"/>
  <c r="G95" i="22"/>
  <c r="G94" i="22"/>
  <c r="G93" i="22"/>
  <c r="G92" i="22"/>
  <c r="G91" i="22"/>
  <c r="G90" i="22"/>
  <c r="G89" i="22"/>
  <c r="G88" i="22"/>
  <c r="G87" i="22"/>
  <c r="G86" i="22"/>
  <c r="G85" i="22"/>
  <c r="G84" i="22"/>
  <c r="G83" i="22"/>
  <c r="G82" i="22"/>
  <c r="G81" i="22"/>
  <c r="G80" i="22"/>
  <c r="G79" i="22"/>
  <c r="F16" i="19"/>
  <c r="F12" i="18"/>
  <c r="G21" i="17"/>
  <c r="H27" i="16"/>
  <c r="I40" i="14"/>
  <c r="I38" i="14"/>
  <c r="H21" i="14"/>
  <c r="G78" i="13"/>
  <c r="G77" i="13"/>
  <c r="G76" i="13"/>
  <c r="G75" i="13"/>
  <c r="G74" i="13"/>
  <c r="G71" i="13"/>
  <c r="G70" i="13"/>
  <c r="G69" i="13"/>
  <c r="G68" i="13"/>
  <c r="G67" i="13"/>
  <c r="G64" i="13"/>
  <c r="G63" i="13"/>
  <c r="G62" i="13"/>
  <c r="G61" i="13"/>
  <c r="G60" i="13"/>
  <c r="B52" i="13"/>
  <c r="I51" i="13"/>
  <c r="I50" i="13"/>
  <c r="I49" i="13"/>
  <c r="H23" i="13"/>
  <c r="H9" i="12"/>
  <c r="F10" i="11"/>
  <c r="O36" i="8"/>
  <c r="N36" i="8"/>
  <c r="M36" i="8"/>
  <c r="L36" i="8"/>
  <c r="BG4" i="7"/>
  <c r="BF4" i="7"/>
  <c r="A10" i="6"/>
  <c r="AH2" i="3"/>
  <c r="S72" i="3"/>
  <c r="S40" i="3"/>
  <c r="S3" i="3"/>
  <c r="S32" i="3"/>
  <c r="S8" i="3"/>
  <c r="S66" i="3"/>
  <c r="S71" i="3"/>
  <c r="S55" i="3"/>
  <c r="S34" i="3"/>
  <c r="S39" i="3"/>
  <c r="S65" i="3"/>
  <c r="S58" i="3"/>
  <c r="S57" i="3"/>
  <c r="S24" i="3"/>
  <c r="S50" i="3"/>
  <c r="S2" i="3" a="1"/>
  <c r="S60" i="3"/>
  <c r="S5" i="3"/>
  <c r="S68" i="3"/>
  <c r="S10" i="3"/>
  <c r="S45" i="3"/>
  <c r="S9" i="3"/>
  <c r="S23" i="3"/>
  <c r="S14" i="3"/>
  <c r="S19" i="3"/>
  <c r="S48" i="3"/>
  <c r="S46" i="3"/>
  <c r="S52" i="3"/>
  <c r="S29" i="3"/>
  <c r="S35" i="3"/>
  <c r="S76" i="3"/>
  <c r="S61" i="3"/>
  <c r="S13" i="3"/>
  <c r="S18" i="3"/>
  <c r="S26" i="3"/>
  <c r="S20" i="3"/>
  <c r="S4" i="3"/>
  <c r="S16" i="3"/>
  <c r="S30" i="3"/>
  <c r="S73" i="3"/>
  <c r="S41" i="3"/>
  <c r="S67" i="3"/>
  <c r="S7" i="3"/>
  <c r="S36" i="3"/>
  <c r="S25" i="3"/>
  <c r="S51" i="3"/>
  <c r="S56" i="3"/>
  <c r="S44" i="3"/>
  <c r="S70" i="3"/>
  <c r="S49" i="3"/>
  <c r="S33" i="3"/>
  <c r="S38" i="3"/>
  <c r="S64" i="3"/>
  <c r="S63" i="3"/>
  <c r="S47" i="3"/>
  <c r="S28" i="3"/>
  <c r="S54" i="3"/>
  <c r="S17" i="3"/>
  <c r="S22" i="3"/>
  <c r="S6" i="3"/>
  <c r="S69" i="3"/>
  <c r="S11" i="3"/>
  <c r="S15" i="3"/>
  <c r="S74" i="3"/>
  <c r="S21" i="3"/>
  <c r="S62" i="3"/>
  <c r="S12" i="3"/>
  <c r="S75" i="3"/>
  <c r="S59" i="3"/>
  <c r="S43" i="3"/>
  <c r="S27" i="3"/>
  <c r="S53" i="3"/>
  <c r="S31" i="3"/>
  <c r="S37" i="3"/>
  <c r="S42" i="3"/>
  <c r="P43" i="15" l="1"/>
  <c r="A33" i="15"/>
  <c r="P38" i="15"/>
  <c r="P40" i="15"/>
  <c r="P41" i="15"/>
  <c r="J42" i="13"/>
  <c r="H43" i="13"/>
  <c r="K43" i="13"/>
  <c r="L43" i="13"/>
  <c r="H37" i="13"/>
  <c r="H44" i="13"/>
  <c r="J37" i="13"/>
  <c r="J44" i="13"/>
  <c r="L42" i="13"/>
  <c r="J43" i="13"/>
  <c r="K37" i="13"/>
  <c r="K44" i="13"/>
  <c r="L37" i="13"/>
  <c r="L44" i="13"/>
  <c r="L40" i="13"/>
  <c r="H41" i="13"/>
  <c r="I41" i="13" s="1"/>
  <c r="K41" i="13"/>
  <c r="H45" i="13"/>
  <c r="I45" i="13" s="1"/>
  <c r="K47" i="13"/>
  <c r="J48" i="13"/>
  <c r="L41" i="13"/>
  <c r="L47" i="13"/>
  <c r="H47" i="13"/>
  <c r="I47" i="13" s="1"/>
  <c r="K48" i="13"/>
  <c r="J41" i="13"/>
  <c r="H40" i="13"/>
  <c r="I40" i="13" s="1"/>
  <c r="L48" i="13"/>
  <c r="H42" i="13"/>
  <c r="I42" i="13" s="1"/>
  <c r="H38" i="13"/>
  <c r="J45" i="13"/>
  <c r="K38" i="13"/>
  <c r="K45" i="13"/>
  <c r="L38" i="13"/>
  <c r="H39" i="13"/>
  <c r="K39" i="13"/>
  <c r="K46" i="13"/>
  <c r="K40" i="13"/>
  <c r="H48" i="13"/>
  <c r="I48" i="13" s="1"/>
  <c r="K42" i="13"/>
  <c r="J38" i="13"/>
  <c r="L45" i="13"/>
  <c r="H46" i="13"/>
  <c r="I46" i="13" s="1"/>
  <c r="J39" i="13"/>
  <c r="J46" i="13"/>
  <c r="L39" i="13"/>
  <c r="L46" i="13"/>
  <c r="J40" i="13"/>
  <c r="J47" i="13"/>
  <c r="BI4" i="7"/>
  <c r="R54" i="15" a="1"/>
  <c r="R54" i="15" s="1"/>
  <c r="Q54" i="15" a="1"/>
  <c r="Q54" i="15" s="1"/>
  <c r="P54" i="15" a="1"/>
  <c r="P54" i="15" s="1"/>
  <c r="T64" i="15"/>
  <c r="S64" i="15"/>
  <c r="R64" i="15"/>
  <c r="Q64" i="15"/>
  <c r="P64" i="15"/>
  <c r="S54" i="15" a="1"/>
  <c r="S54" i="15" s="1"/>
  <c r="T54" i="15" a="1"/>
  <c r="T54" i="15" s="1"/>
  <c r="B31" i="21"/>
  <c r="D11" i="20"/>
  <c r="D12" i="20" s="1"/>
  <c r="B37" i="21"/>
  <c r="C33" i="15"/>
  <c r="E33" i="15"/>
  <c r="O73" i="15"/>
  <c r="B21" i="21"/>
  <c r="H28" i="13" s="1"/>
  <c r="P46" i="15"/>
  <c r="B41" i="21"/>
  <c r="B35" i="21"/>
  <c r="B38" i="21" s="1"/>
  <c r="B29" i="21"/>
  <c r="H30" i="13"/>
  <c r="I75" i="13" s="1"/>
  <c r="I71" i="13"/>
  <c r="A12" i="27"/>
  <c r="A8" i="26"/>
  <c r="A8" i="25"/>
  <c r="E33" i="18"/>
  <c r="A8" i="24"/>
  <c r="A10" i="10"/>
  <c r="S2" i="3"/>
  <c r="AH4" i="7" s="1"/>
  <c r="G32" i="14" s="1" a="1"/>
  <c r="F20" i="18"/>
  <c r="F21" i="19"/>
  <c r="G21" i="19" s="1"/>
  <c r="F15" i="18"/>
  <c r="H25" i="13"/>
  <c r="A8" i="12"/>
  <c r="A22" i="13"/>
  <c r="H27" i="13"/>
  <c r="I68" i="13"/>
  <c r="A20" i="17"/>
  <c r="F33" i="17"/>
  <c r="E29" i="19"/>
  <c r="H29" i="16"/>
  <c r="I69" i="13"/>
  <c r="H23" i="14"/>
  <c r="H24" i="14"/>
  <c r="A26" i="16"/>
  <c r="I64" i="13"/>
  <c r="G37" i="16"/>
  <c r="H27" i="14"/>
  <c r="I60" i="13"/>
  <c r="I62" i="13"/>
  <c r="I61" i="13"/>
  <c r="I70" i="13"/>
  <c r="A18" i="20"/>
  <c r="G84" i="13"/>
  <c r="G15" i="12"/>
  <c r="A6" i="8"/>
  <c r="A15" i="19"/>
  <c r="I63" i="13"/>
  <c r="I67" i="13"/>
  <c r="A11" i="18"/>
  <c r="A20" i="14"/>
  <c r="G55" i="14"/>
  <c r="H29" i="14"/>
  <c r="I51" i="14"/>
  <c r="I52" i="14" s="1"/>
  <c r="J36" i="13"/>
  <c r="K36" i="13"/>
  <c r="H36" i="13"/>
  <c r="C9" i="11"/>
  <c r="B41" i="8" s="1"/>
  <c r="C41" i="8" s="1"/>
  <c r="A10" i="11"/>
  <c r="A44" i="8"/>
  <c r="A45" i="8" s="1"/>
  <c r="A46" i="8" s="1"/>
  <c r="A47" i="8" s="1"/>
  <c r="A48" i="8" s="1"/>
  <c r="L37" i="8"/>
  <c r="M37" i="8"/>
  <c r="O37" i="8"/>
  <c r="Z4" i="7"/>
  <c r="AB4" i="7"/>
  <c r="P4" i="7"/>
  <c r="Q4" i="7"/>
  <c r="T4" i="7"/>
  <c r="AK4" i="7"/>
  <c r="BH4" i="7"/>
  <c r="AH79" i="3"/>
  <c r="F22" i="18"/>
  <c r="F18" i="19"/>
  <c r="H31" i="13"/>
  <c r="G22" i="19"/>
  <c r="F29" i="18"/>
  <c r="F30" i="18" s="1"/>
  <c r="I38" i="13"/>
  <c r="I44" i="13"/>
  <c r="B53" i="13"/>
  <c r="I37" i="13"/>
  <c r="I39" i="13"/>
  <c r="I43" i="13"/>
  <c r="H38" i="12"/>
  <c r="H42" i="12"/>
  <c r="H16" i="12"/>
  <c r="H18" i="12"/>
  <c r="H20" i="12"/>
  <c r="H22" i="12"/>
  <c r="H24" i="12"/>
  <c r="H26" i="12"/>
  <c r="H28" i="12"/>
  <c r="H30" i="12"/>
  <c r="H32" i="12"/>
  <c r="H34" i="12"/>
  <c r="H36" i="12"/>
  <c r="H39" i="12"/>
  <c r="H43" i="12"/>
  <c r="H40" i="12"/>
  <c r="H44" i="12"/>
  <c r="H15" i="12"/>
  <c r="H17" i="12"/>
  <c r="H19" i="12"/>
  <c r="H21" i="12"/>
  <c r="H23" i="12"/>
  <c r="H25" i="12"/>
  <c r="H27" i="12"/>
  <c r="H29" i="12"/>
  <c r="H31" i="12"/>
  <c r="H33" i="12"/>
  <c r="H35" i="12"/>
  <c r="H37" i="12"/>
  <c r="A34" i="15" l="1"/>
  <c r="F33" i="15"/>
  <c r="D33" i="15"/>
  <c r="B33" i="15"/>
  <c r="G32" i="14"/>
  <c r="H32" i="14" s="1"/>
  <c r="H36" i="14"/>
  <c r="I36" i="14" s="1"/>
  <c r="H35" i="14"/>
  <c r="I35" i="14" s="1"/>
  <c r="H33" i="14"/>
  <c r="I33" i="14" s="1"/>
  <c r="H37" i="14"/>
  <c r="I37" i="14" s="1"/>
  <c r="H34" i="14"/>
  <c r="I34" i="14" s="1"/>
  <c r="P60" i="15"/>
  <c r="T56" i="15"/>
  <c r="S56" i="15"/>
  <c r="R56" i="15"/>
  <c r="Q56" i="15"/>
  <c r="P56" i="15"/>
  <c r="B22" i="21"/>
  <c r="P44" i="15" s="1"/>
  <c r="P42" i="15"/>
  <c r="O74" i="15"/>
  <c r="B32" i="21"/>
  <c r="B40" i="21" s="1"/>
  <c r="B39" i="21"/>
  <c r="H32" i="13" s="1"/>
  <c r="F28" i="18"/>
  <c r="P70" i="15"/>
  <c r="T70" i="15"/>
  <c r="S70" i="15"/>
  <c r="R70" i="15"/>
  <c r="Q70" i="15"/>
  <c r="I74" i="13"/>
  <c r="I78" i="13"/>
  <c r="I76" i="13"/>
  <c r="I77" i="13"/>
  <c r="B23" i="21"/>
  <c r="B24" i="21" s="1"/>
  <c r="F29" i="19"/>
  <c r="A16" i="19"/>
  <c r="A17" i="19" s="1"/>
  <c r="A18" i="19" s="1"/>
  <c r="A19" i="19" s="1"/>
  <c r="A20" i="19" s="1"/>
  <c r="A21" i="19" s="1"/>
  <c r="A22" i="19" s="1"/>
  <c r="A23" i="19" s="1"/>
  <c r="A24" i="19" s="1"/>
  <c r="A25" i="19" s="1"/>
  <c r="A26" i="19" s="1"/>
  <c r="A27" i="19" s="1"/>
  <c r="A28" i="19" s="1"/>
  <c r="A29" i="19" s="1"/>
  <c r="A30" i="19" s="1"/>
  <c r="A31" i="19" s="1"/>
  <c r="A32" i="19" s="1"/>
  <c r="A33" i="19" s="1"/>
  <c r="A34" i="19" s="1"/>
  <c r="A35" i="19" s="1"/>
  <c r="A36" i="19" s="1"/>
  <c r="A37" i="19" s="1"/>
  <c r="A38" i="19" s="1"/>
  <c r="A39" i="19" s="1"/>
  <c r="A40" i="19" s="1"/>
  <c r="A41" i="19" s="1"/>
  <c r="A42" i="19" s="1"/>
  <c r="A43" i="19" s="1"/>
  <c r="A44" i="19" s="1"/>
  <c r="G16" i="12"/>
  <c r="A27" i="16"/>
  <c r="A28" i="16" s="1"/>
  <c r="A29" i="16" s="1"/>
  <c r="A30" i="16" s="1"/>
  <c r="A31" i="16" s="1"/>
  <c r="A32" i="16" s="1"/>
  <c r="A33" i="16" s="1"/>
  <c r="A34" i="16" s="1"/>
  <c r="A35" i="16" s="1"/>
  <c r="A36" i="16" s="1"/>
  <c r="A37" i="16" s="1"/>
  <c r="A38" i="16" s="1"/>
  <c r="A39" i="16" s="1"/>
  <c r="A40" i="16" s="1"/>
  <c r="A41" i="16" s="1"/>
  <c r="A42" i="16" s="1"/>
  <c r="A43" i="16" s="1"/>
  <c r="A44" i="16" s="1"/>
  <c r="A45" i="16" s="1"/>
  <c r="A46" i="16" s="1"/>
  <c r="A47" i="16" s="1"/>
  <c r="A48" i="16" s="1"/>
  <c r="A49" i="16" s="1"/>
  <c r="A50" i="16" s="1"/>
  <c r="A51" i="16" s="1"/>
  <c r="A52" i="16" s="1"/>
  <c r="A53" i="16" s="1"/>
  <c r="A54" i="16" s="1"/>
  <c r="A55" i="16" s="1"/>
  <c r="A19" i="20"/>
  <c r="F34" i="17"/>
  <c r="F35" i="17" s="1"/>
  <c r="F36" i="17" s="1"/>
  <c r="F37" i="17" s="1"/>
  <c r="F38" i="17" s="1"/>
  <c r="F39" i="17" s="1"/>
  <c r="F40" i="17" s="1"/>
  <c r="F41" i="17" s="1"/>
  <c r="F42" i="17" s="1"/>
  <c r="F43" i="17" s="1"/>
  <c r="F44" i="17" s="1"/>
  <c r="F45" i="17" s="1"/>
  <c r="F46" i="17" s="1"/>
  <c r="F47" i="17" s="1"/>
  <c r="F48" i="17" s="1"/>
  <c r="F49" i="17" s="1"/>
  <c r="F50" i="17" s="1"/>
  <c r="F51" i="17" s="1"/>
  <c r="F52" i="17" s="1"/>
  <c r="F53" i="17" s="1"/>
  <c r="F54" i="17" s="1"/>
  <c r="F55" i="17" s="1"/>
  <c r="F56" i="17" s="1"/>
  <c r="F57" i="17" s="1"/>
  <c r="F58" i="17" s="1"/>
  <c r="F59" i="17" s="1"/>
  <c r="F60" i="17" s="1"/>
  <c r="F61" i="17" s="1"/>
  <c r="F62" i="17" s="1"/>
  <c r="A21" i="17"/>
  <c r="A22" i="17" s="1"/>
  <c r="A23" i="17" s="1"/>
  <c r="A24" i="17" s="1"/>
  <c r="A25" i="17" s="1"/>
  <c r="A26" i="17" s="1"/>
  <c r="A27" i="17" s="1"/>
  <c r="A28" i="17" s="1"/>
  <c r="A29" i="17" s="1"/>
  <c r="A30" i="17" s="1"/>
  <c r="A31" i="17" s="1"/>
  <c r="A32" i="17" s="1"/>
  <c r="A33" i="17" s="1"/>
  <c r="A34" i="17" s="1"/>
  <c r="A35" i="17" s="1"/>
  <c r="A36" i="17" s="1"/>
  <c r="A37" i="17" s="1"/>
  <c r="A38" i="17" s="1"/>
  <c r="A39" i="17" s="1"/>
  <c r="A40" i="17" s="1"/>
  <c r="A41" i="17" s="1"/>
  <c r="A42" i="17" s="1"/>
  <c r="A43" i="17" s="1"/>
  <c r="A44" i="17" s="1"/>
  <c r="A45" i="17" s="1"/>
  <c r="A46" i="17" s="1"/>
  <c r="A47" i="17" s="1"/>
  <c r="A48" i="17" s="1"/>
  <c r="A49" i="17" s="1"/>
  <c r="G56" i="14"/>
  <c r="G57" i="14" s="1"/>
  <c r="G58" i="14" s="1"/>
  <c r="G59" i="14" s="1"/>
  <c r="G60" i="14" s="1"/>
  <c r="G61" i="14" s="1"/>
  <c r="G62" i="14" s="1"/>
  <c r="G63" i="14" s="1"/>
  <c r="G64" i="14" s="1"/>
  <c r="G65" i="14" s="1"/>
  <c r="G66" i="14" s="1"/>
  <c r="G67" i="14" s="1"/>
  <c r="G68" i="14" s="1"/>
  <c r="G69" i="14" s="1"/>
  <c r="G70" i="14" s="1"/>
  <c r="G71" i="14" s="1"/>
  <c r="G72" i="14" s="1"/>
  <c r="G73" i="14" s="1"/>
  <c r="G74" i="14" s="1"/>
  <c r="G75" i="14" s="1"/>
  <c r="G76" i="14" s="1"/>
  <c r="G77" i="14" s="1"/>
  <c r="G78" i="14" s="1"/>
  <c r="G79" i="14" s="1"/>
  <c r="G80" i="14" s="1"/>
  <c r="G81" i="14" s="1"/>
  <c r="G82" i="14" s="1"/>
  <c r="G83" i="14" s="1"/>
  <c r="G84" i="14" s="1"/>
  <c r="E34" i="18"/>
  <c r="E35" i="18" s="1"/>
  <c r="E36" i="18" s="1"/>
  <c r="E37" i="18" s="1"/>
  <c r="E38" i="18" s="1"/>
  <c r="E39" i="18" s="1"/>
  <c r="E40" i="18" s="1"/>
  <c r="E41" i="18" s="1"/>
  <c r="E42" i="18" s="1"/>
  <c r="E43" i="18" s="1"/>
  <c r="E44" i="18" s="1"/>
  <c r="E45" i="18" s="1"/>
  <c r="E46" i="18" s="1"/>
  <c r="E47" i="18" s="1"/>
  <c r="E48" i="18" s="1"/>
  <c r="E49" i="18" s="1"/>
  <c r="E50" i="18" s="1"/>
  <c r="E51" i="18" s="1"/>
  <c r="E52" i="18" s="1"/>
  <c r="E53" i="18" s="1"/>
  <c r="E54" i="18" s="1"/>
  <c r="E55" i="18" s="1"/>
  <c r="E56" i="18" s="1"/>
  <c r="E57" i="18" s="1"/>
  <c r="E58" i="18" s="1"/>
  <c r="E59" i="18" s="1"/>
  <c r="E60" i="18" s="1"/>
  <c r="E61" i="18" s="1"/>
  <c r="E62" i="18" s="1"/>
  <c r="A11" i="10"/>
  <c r="A12" i="10" s="1"/>
  <c r="A13" i="10" s="1"/>
  <c r="A14" i="10" s="1"/>
  <c r="A15" i="10" s="1"/>
  <c r="A16" i="10" s="1"/>
  <c r="A17" i="10" s="1"/>
  <c r="A18" i="10" s="1"/>
  <c r="A19" i="10" s="1"/>
  <c r="A20" i="10" s="1"/>
  <c r="A21" i="10" s="1"/>
  <c r="A22" i="10" s="1"/>
  <c r="A23" i="10" s="1"/>
  <c r="A24" i="10" s="1"/>
  <c r="A25" i="10" s="1"/>
  <c r="A26" i="10" s="1"/>
  <c r="A27" i="10" s="1"/>
  <c r="A28" i="10" s="1"/>
  <c r="A29" i="10" s="1"/>
  <c r="A30" i="10" s="1"/>
  <c r="A31" i="10" s="1"/>
  <c r="A32" i="10" s="1"/>
  <c r="A33" i="10" s="1"/>
  <c r="A34" i="10" s="1"/>
  <c r="A35" i="10" s="1"/>
  <c r="A36" i="10" s="1"/>
  <c r="A37" i="10" s="1"/>
  <c r="A38" i="10" s="1"/>
  <c r="A39" i="10" s="1"/>
  <c r="A9" i="25"/>
  <c r="A10" i="25" s="1"/>
  <c r="A11" i="25" s="1"/>
  <c r="A12" i="25" s="1"/>
  <c r="A13" i="25" s="1"/>
  <c r="A14" i="25" s="1"/>
  <c r="A15" i="25" s="1"/>
  <c r="A16" i="25" s="1"/>
  <c r="A17" i="25" s="1"/>
  <c r="A18" i="25" s="1"/>
  <c r="A19" i="25" s="1"/>
  <c r="A20" i="25" s="1"/>
  <c r="A21" i="25" s="1"/>
  <c r="A22" i="25" s="1"/>
  <c r="A23" i="25" s="1"/>
  <c r="A24" i="25" s="1"/>
  <c r="A25" i="25" s="1"/>
  <c r="A26" i="25" s="1"/>
  <c r="A27" i="25" s="1"/>
  <c r="A28" i="25" s="1"/>
  <c r="A29" i="25" s="1"/>
  <c r="A30" i="25" s="1"/>
  <c r="A31" i="25" s="1"/>
  <c r="A32" i="25" s="1"/>
  <c r="A33" i="25" s="1"/>
  <c r="A34" i="25" s="1"/>
  <c r="A35" i="25" s="1"/>
  <c r="A36" i="25" s="1"/>
  <c r="A37" i="25" s="1"/>
  <c r="A9" i="26"/>
  <c r="A10" i="26" s="1"/>
  <c r="A11" i="26" s="1"/>
  <c r="A12" i="26" s="1"/>
  <c r="A13" i="26" s="1"/>
  <c r="A14" i="26" s="1"/>
  <c r="A15" i="26" s="1"/>
  <c r="A16" i="26" s="1"/>
  <c r="A17" i="26" s="1"/>
  <c r="A18" i="26" s="1"/>
  <c r="A19" i="26" s="1"/>
  <c r="A20" i="26" s="1"/>
  <c r="A21" i="26" s="1"/>
  <c r="A22" i="26" s="1"/>
  <c r="A23" i="26" s="1"/>
  <c r="A24" i="26" s="1"/>
  <c r="A25" i="26" s="1"/>
  <c r="A26" i="26" s="1"/>
  <c r="A27" i="26" s="1"/>
  <c r="A28" i="26" s="1"/>
  <c r="A29" i="26" s="1"/>
  <c r="A30" i="26" s="1"/>
  <c r="A31" i="26" s="1"/>
  <c r="A32" i="26" s="1"/>
  <c r="A33" i="26" s="1"/>
  <c r="A34" i="26" s="1"/>
  <c r="A35" i="26" s="1"/>
  <c r="A36" i="26" s="1"/>
  <c r="A37" i="26" s="1"/>
  <c r="A13" i="27"/>
  <c r="A14" i="27" s="1"/>
  <c r="A15" i="27" s="1"/>
  <c r="A16" i="27" s="1"/>
  <c r="A17" i="27" s="1"/>
  <c r="A18" i="27" s="1"/>
  <c r="A19" i="27" s="1"/>
  <c r="A20" i="27" s="1"/>
  <c r="A21" i="27" s="1"/>
  <c r="A22" i="27" s="1"/>
  <c r="A23" i="27" s="1"/>
  <c r="A24" i="27" s="1"/>
  <c r="A25" i="27" s="1"/>
  <c r="A26" i="27" s="1"/>
  <c r="A27" i="27" s="1"/>
  <c r="A28" i="27" s="1"/>
  <c r="A29" i="27" s="1"/>
  <c r="A30" i="27" s="1"/>
  <c r="A31" i="27" s="1"/>
  <c r="A32" i="27" s="1"/>
  <c r="A33" i="27" s="1"/>
  <c r="A34" i="27" s="1"/>
  <c r="A35" i="27" s="1"/>
  <c r="A36" i="27" s="1"/>
  <c r="A37" i="27" s="1"/>
  <c r="A38" i="27" s="1"/>
  <c r="A39" i="27" s="1"/>
  <c r="A40" i="27" s="1"/>
  <c r="A41" i="27" s="1"/>
  <c r="A9" i="12"/>
  <c r="A10" i="12" s="1"/>
  <c r="A11" i="12" s="1"/>
  <c r="A12" i="12" s="1"/>
  <c r="A13" i="12" s="1"/>
  <c r="A14" i="12" s="1"/>
  <c r="A15" i="12" s="1"/>
  <c r="A16" i="12" s="1"/>
  <c r="A17" i="12" s="1"/>
  <c r="A18" i="12" s="1"/>
  <c r="A19" i="12" s="1"/>
  <c r="A20" i="12" s="1"/>
  <c r="A21" i="12" s="1"/>
  <c r="A22" i="12" s="1"/>
  <c r="A23" i="12" s="1"/>
  <c r="A24" i="12" s="1"/>
  <c r="A25" i="12" s="1"/>
  <c r="A26" i="12" s="1"/>
  <c r="A27" i="12" s="1"/>
  <c r="A28" i="12" s="1"/>
  <c r="A29" i="12" s="1"/>
  <c r="A30" i="12" s="1"/>
  <c r="A31" i="12" s="1"/>
  <c r="A32" i="12" s="1"/>
  <c r="A33" i="12" s="1"/>
  <c r="A34" i="12" s="1"/>
  <c r="A35" i="12" s="1"/>
  <c r="A36" i="12" s="1"/>
  <c r="A37" i="12" s="1"/>
  <c r="A9" i="24"/>
  <c r="A10" i="24" s="1"/>
  <c r="A11" i="24" s="1"/>
  <c r="A12" i="24" s="1"/>
  <c r="A13" i="24" s="1"/>
  <c r="A14" i="24" s="1"/>
  <c r="A15" i="24" s="1"/>
  <c r="A16" i="24" s="1"/>
  <c r="A17" i="24" s="1"/>
  <c r="A18" i="24" s="1"/>
  <c r="A19" i="24" s="1"/>
  <c r="A20" i="24" s="1"/>
  <c r="A21" i="24" s="1"/>
  <c r="A22" i="24" s="1"/>
  <c r="A23" i="24" s="1"/>
  <c r="A24" i="24" s="1"/>
  <c r="A25" i="24" s="1"/>
  <c r="A26" i="24" s="1"/>
  <c r="A27" i="24" s="1"/>
  <c r="A28" i="24" s="1"/>
  <c r="A29" i="24" s="1"/>
  <c r="A30" i="24" s="1"/>
  <c r="A31" i="24" s="1"/>
  <c r="A32" i="24" s="1"/>
  <c r="A33" i="24" s="1"/>
  <c r="A34" i="24" s="1"/>
  <c r="A35" i="24" s="1"/>
  <c r="A36" i="24" s="1"/>
  <c r="A37" i="24" s="1"/>
  <c r="A7" i="8"/>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G85" i="13"/>
  <c r="G86" i="13" s="1"/>
  <c r="G87" i="13" s="1"/>
  <c r="G88" i="13" s="1"/>
  <c r="G89" i="13" s="1"/>
  <c r="G90" i="13" s="1"/>
  <c r="G91" i="13" s="1"/>
  <c r="G92" i="13" s="1"/>
  <c r="G93" i="13" s="1"/>
  <c r="G94" i="13" s="1"/>
  <c r="G95" i="13" s="1"/>
  <c r="G96" i="13" s="1"/>
  <c r="G97" i="13" s="1"/>
  <c r="G98" i="13" s="1"/>
  <c r="G99" i="13" s="1"/>
  <c r="G100" i="13" s="1"/>
  <c r="G101" i="13" s="1"/>
  <c r="G102" i="13" s="1"/>
  <c r="G103" i="13" s="1"/>
  <c r="G104" i="13" s="1"/>
  <c r="G105" i="13" s="1"/>
  <c r="G106" i="13" s="1"/>
  <c r="G107" i="13" s="1"/>
  <c r="G108" i="13" s="1"/>
  <c r="G109" i="13" s="1"/>
  <c r="G110" i="13" s="1"/>
  <c r="G111" i="13" s="1"/>
  <c r="G112" i="13" s="1"/>
  <c r="G113" i="13" s="1"/>
  <c r="E30" i="19"/>
  <c r="E31" i="19" s="1"/>
  <c r="E32" i="19" s="1"/>
  <c r="E33" i="19" s="1"/>
  <c r="E34" i="19" s="1"/>
  <c r="E35" i="19" s="1"/>
  <c r="E36" i="19" s="1"/>
  <c r="E37" i="19" s="1"/>
  <c r="E38" i="19" s="1"/>
  <c r="E39" i="19" s="1"/>
  <c r="E40" i="19" s="1"/>
  <c r="E41" i="19" s="1"/>
  <c r="E42" i="19" s="1"/>
  <c r="E43" i="19" s="1"/>
  <c r="E44" i="19" s="1"/>
  <c r="E45" i="19" s="1"/>
  <c r="E46" i="19" s="1"/>
  <c r="E47" i="19" s="1"/>
  <c r="E48" i="19" s="1"/>
  <c r="E49" i="19" s="1"/>
  <c r="E50" i="19" s="1"/>
  <c r="E51" i="19" s="1"/>
  <c r="E52" i="19" s="1"/>
  <c r="E53" i="19" s="1"/>
  <c r="E54" i="19" s="1"/>
  <c r="E55" i="19" s="1"/>
  <c r="E56" i="19" s="1"/>
  <c r="E57" i="19" s="1"/>
  <c r="E58" i="19" s="1"/>
  <c r="B18" i="20"/>
  <c r="K6" i="8" s="1"/>
  <c r="I15" i="12"/>
  <c r="B15" i="19"/>
  <c r="J6" i="8" s="1"/>
  <c r="G26" i="17"/>
  <c r="H26" i="17" s="1"/>
  <c r="G33" i="17" s="1"/>
  <c r="B20" i="17" s="1"/>
  <c r="H6" i="8" s="1"/>
  <c r="B8" i="12"/>
  <c r="A21" i="14"/>
  <c r="A22" i="14" s="1"/>
  <c r="A23" i="14" s="1"/>
  <c r="A24" i="14" s="1"/>
  <c r="A25" i="14" s="1"/>
  <c r="A26" i="14" s="1"/>
  <c r="A27" i="14" s="1"/>
  <c r="A28" i="14" s="1"/>
  <c r="A29" i="14" s="1"/>
  <c r="A30" i="14" s="1"/>
  <c r="A31" i="14" s="1"/>
  <c r="A32" i="14" s="1"/>
  <c r="A33" i="14" s="1"/>
  <c r="A34" i="14" s="1"/>
  <c r="A35" i="14" s="1"/>
  <c r="A36" i="14" s="1"/>
  <c r="A37" i="14" s="1"/>
  <c r="A38" i="14" s="1"/>
  <c r="A39" i="14" s="1"/>
  <c r="A40" i="14" s="1"/>
  <c r="A41" i="14" s="1"/>
  <c r="A42" i="14" s="1"/>
  <c r="A43" i="14" s="1"/>
  <c r="A44" i="14" s="1"/>
  <c r="A45" i="14" s="1"/>
  <c r="A46" i="14" s="1"/>
  <c r="A47" i="14" s="1"/>
  <c r="A48" i="14" s="1"/>
  <c r="A49" i="14" s="1"/>
  <c r="N37" i="8"/>
  <c r="A12" i="18"/>
  <c r="A13" i="18" s="1"/>
  <c r="A14" i="18" s="1"/>
  <c r="A15" i="18" s="1"/>
  <c r="A16" i="18" s="1"/>
  <c r="A17" i="18" s="1"/>
  <c r="A18" i="18" s="1"/>
  <c r="A19" i="18" s="1"/>
  <c r="A20" i="18" s="1"/>
  <c r="A21" i="18" s="1"/>
  <c r="A22" i="18" s="1"/>
  <c r="A23" i="18" s="1"/>
  <c r="A24" i="18" s="1"/>
  <c r="A25" i="18" s="1"/>
  <c r="A26" i="18" s="1"/>
  <c r="A27" i="18" s="1"/>
  <c r="A28" i="18" s="1"/>
  <c r="A29" i="18" s="1"/>
  <c r="A30" i="18" s="1"/>
  <c r="A31" i="18" s="1"/>
  <c r="A32" i="18" s="1"/>
  <c r="A33" i="18" s="1"/>
  <c r="A34" i="18" s="1"/>
  <c r="A35" i="18" s="1"/>
  <c r="A36" i="18" s="1"/>
  <c r="A37" i="18" s="1"/>
  <c r="A38" i="18" s="1"/>
  <c r="A39" i="18" s="1"/>
  <c r="A40" i="18" s="1"/>
  <c r="G38" i="16"/>
  <c r="G39" i="16" s="1"/>
  <c r="G40" i="16" s="1"/>
  <c r="G41" i="16" s="1"/>
  <c r="G42" i="16" s="1"/>
  <c r="G43" i="16" s="1"/>
  <c r="G44" i="16" s="1"/>
  <c r="G45" i="16" s="1"/>
  <c r="G46" i="16" s="1"/>
  <c r="G47" i="16" s="1"/>
  <c r="G48" i="16" s="1"/>
  <c r="G49" i="16" s="1"/>
  <c r="G50" i="16" s="1"/>
  <c r="G51" i="16" s="1"/>
  <c r="G52" i="16" s="1"/>
  <c r="G53" i="16" s="1"/>
  <c r="G54" i="16" s="1"/>
  <c r="G55" i="16" s="1"/>
  <c r="G56" i="16" s="1"/>
  <c r="G57" i="16" s="1"/>
  <c r="G58" i="16" s="1"/>
  <c r="G59" i="16" s="1"/>
  <c r="G60" i="16" s="1"/>
  <c r="G61" i="16" s="1"/>
  <c r="G62" i="16" s="1"/>
  <c r="G63" i="16" s="1"/>
  <c r="G64" i="16" s="1"/>
  <c r="G65" i="16" s="1"/>
  <c r="G66" i="16" s="1"/>
  <c r="A23" i="13"/>
  <c r="A24" i="13" s="1"/>
  <c r="A25" i="13" s="1"/>
  <c r="A26" i="13" s="1"/>
  <c r="A27" i="13" s="1"/>
  <c r="A28" i="13" s="1"/>
  <c r="A29" i="13" s="1"/>
  <c r="A30" i="13" s="1"/>
  <c r="A31" i="13" s="1"/>
  <c r="A32" i="13" s="1"/>
  <c r="A33" i="13" s="1"/>
  <c r="A34" i="13" s="1"/>
  <c r="A35" i="13" s="1"/>
  <c r="A36" i="13" s="1"/>
  <c r="A37" i="13" s="1"/>
  <c r="A38" i="13" s="1"/>
  <c r="A39" i="13" s="1"/>
  <c r="A40" i="13" s="1"/>
  <c r="A41" i="13" s="1"/>
  <c r="A42" i="13" s="1"/>
  <c r="A43" i="13" s="1"/>
  <c r="A44" i="13" s="1"/>
  <c r="A45" i="13" s="1"/>
  <c r="A46" i="13" s="1"/>
  <c r="A47" i="13" s="1"/>
  <c r="A48" i="13" s="1"/>
  <c r="A49" i="13" s="1"/>
  <c r="A50" i="13" s="1"/>
  <c r="A51" i="13" s="1"/>
  <c r="A11" i="11"/>
  <c r="C10" i="11"/>
  <c r="B42" i="8" s="1"/>
  <c r="A49" i="8"/>
  <c r="F21" i="18"/>
  <c r="F23" i="18" s="1"/>
  <c r="G24" i="19"/>
  <c r="H56" i="13" a="1"/>
  <c r="H56" i="13" s="1"/>
  <c r="I36" i="13"/>
  <c r="I32" i="14"/>
  <c r="P51" i="15" s="1"/>
  <c r="H55" i="13" a="1"/>
  <c r="H55" i="13" s="1"/>
  <c r="F34" i="15" l="1"/>
  <c r="D34" i="15"/>
  <c r="E34" i="15"/>
  <c r="C34" i="15"/>
  <c r="B34" i="15"/>
  <c r="A35" i="15"/>
  <c r="R65" i="15"/>
  <c r="Q65" i="15"/>
  <c r="P65" i="15"/>
  <c r="T68" i="15"/>
  <c r="S68" i="15"/>
  <c r="R68" i="15"/>
  <c r="P68" i="15"/>
  <c r="J15" i="12"/>
  <c r="C8" i="12"/>
  <c r="T65" i="15"/>
  <c r="S65" i="15"/>
  <c r="J69" i="13"/>
  <c r="D8" i="12"/>
  <c r="B6" i="8" s="1"/>
  <c r="O75" i="15"/>
  <c r="P47" i="15"/>
  <c r="P45" i="15"/>
  <c r="T55" i="15" a="1"/>
  <c r="T55" i="15" s="1"/>
  <c r="T57" i="15" s="1"/>
  <c r="S55" i="15" a="1"/>
  <c r="S55" i="15" s="1"/>
  <c r="S57" i="15" s="1"/>
  <c r="R55" i="15" a="1"/>
  <c r="R55" i="15" s="1"/>
  <c r="R57" i="15" s="1"/>
  <c r="Q55" i="15" a="1"/>
  <c r="Q55" i="15" s="1"/>
  <c r="Q57" i="15" s="1"/>
  <c r="P55" i="15" a="1"/>
  <c r="P55" i="15" s="1"/>
  <c r="P57" i="15" s="1"/>
  <c r="B9" i="12"/>
  <c r="A20" i="20"/>
  <c r="B19" i="20"/>
  <c r="K7" i="8" s="1"/>
  <c r="F31" i="19"/>
  <c r="B17" i="19" s="1"/>
  <c r="J8" i="8" s="1"/>
  <c r="G17" i="12"/>
  <c r="I16" i="12"/>
  <c r="J16" i="12" s="1"/>
  <c r="B12" i="12"/>
  <c r="B11" i="12"/>
  <c r="G34" i="17"/>
  <c r="B21" i="17" s="1"/>
  <c r="H7" i="8" s="1"/>
  <c r="F30" i="19"/>
  <c r="B16" i="19" s="1"/>
  <c r="J7" i="8" s="1"/>
  <c r="B10" i="12"/>
  <c r="F34" i="18"/>
  <c r="B12" i="18" s="1"/>
  <c r="I7" i="8" s="1"/>
  <c r="J62" i="13"/>
  <c r="K62" i="13" s="1"/>
  <c r="L62" i="13" s="1"/>
  <c r="I32" i="16"/>
  <c r="H33" i="13"/>
  <c r="J67" i="13"/>
  <c r="H42" i="14"/>
  <c r="P61" i="15" s="1"/>
  <c r="J70" i="13"/>
  <c r="J75" i="13"/>
  <c r="J77" i="13"/>
  <c r="J71" i="13"/>
  <c r="K71" i="13" s="1"/>
  <c r="L71" i="13" s="1"/>
  <c r="H29" i="13"/>
  <c r="J63" i="13"/>
  <c r="K63" i="13" s="1"/>
  <c r="L63" i="13" s="1"/>
  <c r="H32" i="16"/>
  <c r="J64" i="13"/>
  <c r="K64" i="13" s="1"/>
  <c r="L64" i="13" s="1"/>
  <c r="J61" i="13"/>
  <c r="K61" i="13" s="1"/>
  <c r="L61" i="13" s="1"/>
  <c r="J60" i="13"/>
  <c r="H108" i="13" s="1" a="1"/>
  <c r="H108" i="13" s="1"/>
  <c r="J68" i="13"/>
  <c r="I86" i="13" s="1" a="1"/>
  <c r="I86" i="13" s="1"/>
  <c r="F35" i="18"/>
  <c r="B13" i="18" s="1"/>
  <c r="I8" i="8" s="1"/>
  <c r="F36" i="18"/>
  <c r="B14" i="18" s="1"/>
  <c r="I9" i="8" s="1"/>
  <c r="C42" i="8"/>
  <c r="A12" i="11"/>
  <c r="C11" i="11"/>
  <c r="B43" i="8" s="1"/>
  <c r="C43" i="8" s="1"/>
  <c r="A50" i="8"/>
  <c r="F33" i="18"/>
  <c r="J78" i="13"/>
  <c r="J74" i="13"/>
  <c r="J76" i="13"/>
  <c r="F32" i="19"/>
  <c r="F37" i="18"/>
  <c r="B11" i="18"/>
  <c r="I6" i="8" s="1"/>
  <c r="G35" i="17"/>
  <c r="B22" i="17" s="1"/>
  <c r="H8" i="8" s="1"/>
  <c r="K69" i="13"/>
  <c r="L69" i="13" s="1"/>
  <c r="H57" i="13" a="1"/>
  <c r="H57" i="13" s="1"/>
  <c r="K70" i="13"/>
  <c r="L70" i="13" s="1"/>
  <c r="I45" i="14"/>
  <c r="I46" i="14" s="1"/>
  <c r="I47" i="14" s="1"/>
  <c r="H45" i="14"/>
  <c r="H46" i="14" s="1"/>
  <c r="H47" i="14" s="1"/>
  <c r="B13" i="12"/>
  <c r="H103" i="13" l="1" a="1"/>
  <c r="H103" i="13" s="1"/>
  <c r="H100" i="13" a="1"/>
  <c r="H100" i="13" s="1"/>
  <c r="I91" i="13" a="1"/>
  <c r="I91" i="13" s="1"/>
  <c r="A36" i="15"/>
  <c r="F35" i="15"/>
  <c r="B35" i="15"/>
  <c r="E35" i="15"/>
  <c r="D35" i="15"/>
  <c r="C35" i="15"/>
  <c r="H104" i="13" a="1"/>
  <c r="H104" i="13" s="1"/>
  <c r="H86" i="13" a="1"/>
  <c r="H86" i="13" s="1"/>
  <c r="J113" i="13" a="1"/>
  <c r="J113" i="13" s="1"/>
  <c r="H95" i="13" a="1"/>
  <c r="H95" i="13" s="1"/>
  <c r="I90" i="13" a="1"/>
  <c r="I90" i="13" s="1"/>
  <c r="I85" i="13" a="1"/>
  <c r="I85" i="13" s="1"/>
  <c r="H96" i="13" a="1"/>
  <c r="H96" i="13" s="1"/>
  <c r="I107" i="13" a="1"/>
  <c r="I107" i="13" s="1"/>
  <c r="I88" i="13" a="1"/>
  <c r="I88" i="13" s="1"/>
  <c r="K68" i="13"/>
  <c r="L68" i="13" s="1"/>
  <c r="I100" i="13" a="1"/>
  <c r="I100" i="13" s="1"/>
  <c r="I110" i="13" a="1"/>
  <c r="I110" i="13" s="1"/>
  <c r="I111" i="13" a="1"/>
  <c r="I111" i="13" s="1"/>
  <c r="I92" i="13" a="1"/>
  <c r="I92" i="13" s="1"/>
  <c r="I109" i="13" a="1"/>
  <c r="I109" i="13" s="1"/>
  <c r="H87" i="13" a="1"/>
  <c r="H87" i="13" s="1"/>
  <c r="I87" i="13" a="1"/>
  <c r="I87" i="13" s="1"/>
  <c r="I84" i="13" a="1"/>
  <c r="I84" i="13" s="1"/>
  <c r="C9" i="12"/>
  <c r="D9" i="12" s="1"/>
  <c r="B7" i="8" s="1"/>
  <c r="I94" i="13" a="1"/>
  <c r="I94" i="13" s="1"/>
  <c r="I112" i="13" a="1"/>
  <c r="I112" i="13" s="1"/>
  <c r="I103" i="13" a="1"/>
  <c r="I103" i="13" s="1"/>
  <c r="H85" i="13" a="1"/>
  <c r="H85" i="13" s="1"/>
  <c r="I96" i="13" a="1"/>
  <c r="I96" i="13" s="1"/>
  <c r="K60" i="13"/>
  <c r="L60" i="13" s="1"/>
  <c r="L65" i="13" s="1"/>
  <c r="I97" i="13" a="1"/>
  <c r="I97" i="13" s="1"/>
  <c r="I108" i="13" a="1"/>
  <c r="I108" i="13" s="1"/>
  <c r="H106" i="13" a="1"/>
  <c r="H106" i="13" s="1"/>
  <c r="I89" i="13" a="1"/>
  <c r="I89" i="13" s="1"/>
  <c r="I99" i="13" a="1"/>
  <c r="I99" i="13" s="1"/>
  <c r="H102" i="13" a="1"/>
  <c r="H102" i="13" s="1"/>
  <c r="H101" i="13" a="1"/>
  <c r="H101" i="13" s="1"/>
  <c r="I104" i="13" a="1"/>
  <c r="I104" i="13" s="1"/>
  <c r="I105" i="13" a="1"/>
  <c r="I105" i="13" s="1"/>
  <c r="I95" i="13" a="1"/>
  <c r="I95" i="13" s="1"/>
  <c r="H91" i="13" a="1"/>
  <c r="H91" i="13" s="1"/>
  <c r="I113" i="13" a="1"/>
  <c r="I113" i="13" s="1"/>
  <c r="H98" i="13" a="1"/>
  <c r="H98" i="13" s="1"/>
  <c r="O76" i="15"/>
  <c r="J32" i="16"/>
  <c r="K32" i="16" s="1"/>
  <c r="I37" i="16" s="1"/>
  <c r="J37" i="16" s="1"/>
  <c r="Q73" i="15"/>
  <c r="P73" i="15"/>
  <c r="Q66" i="15"/>
  <c r="T66" i="15"/>
  <c r="T69" i="15"/>
  <c r="P66" i="15"/>
  <c r="S66" i="15"/>
  <c r="S69" i="15"/>
  <c r="R66" i="15"/>
  <c r="R69" i="15"/>
  <c r="P69" i="15"/>
  <c r="K75" i="13"/>
  <c r="L75" i="13" s="1"/>
  <c r="J100" i="13" a="1"/>
  <c r="J100" i="13" s="1"/>
  <c r="H105" i="13" a="1"/>
  <c r="H105" i="13" s="1"/>
  <c r="H92" i="13" a="1"/>
  <c r="H92" i="13" s="1"/>
  <c r="H107" i="13" a="1"/>
  <c r="H107" i="13" s="1"/>
  <c r="H93" i="13" a="1"/>
  <c r="H93" i="13" s="1"/>
  <c r="H84" i="13" a="1"/>
  <c r="H84" i="13" s="1"/>
  <c r="H90" i="13" a="1"/>
  <c r="H90" i="13" s="1"/>
  <c r="H113" i="13" a="1"/>
  <c r="H113" i="13" s="1"/>
  <c r="H88" i="13" a="1"/>
  <c r="H88" i="13" s="1"/>
  <c r="I93" i="13" a="1"/>
  <c r="I93" i="13" s="1"/>
  <c r="H94" i="13" a="1"/>
  <c r="H94" i="13" s="1"/>
  <c r="H99" i="13" a="1"/>
  <c r="H99" i="13" s="1"/>
  <c r="H89" i="13" a="1"/>
  <c r="H89" i="13" s="1"/>
  <c r="I98" i="13" a="1"/>
  <c r="I98" i="13" s="1"/>
  <c r="H109" i="13" a="1"/>
  <c r="H109" i="13" s="1"/>
  <c r="K67" i="13"/>
  <c r="L67" i="13" s="1"/>
  <c r="I102" i="13" a="1"/>
  <c r="I102" i="13" s="1"/>
  <c r="I101" i="13" a="1"/>
  <c r="I101" i="13" s="1"/>
  <c r="G18" i="12"/>
  <c r="I17" i="12"/>
  <c r="B20" i="20"/>
  <c r="K8" i="8" s="1"/>
  <c r="A21" i="20"/>
  <c r="H97" i="13" a="1"/>
  <c r="H97" i="13" s="1"/>
  <c r="H110" i="13" a="1"/>
  <c r="H110" i="13" s="1"/>
  <c r="H111" i="13" a="1"/>
  <c r="H111" i="13" s="1"/>
  <c r="H112" i="13" a="1"/>
  <c r="H112" i="13" s="1"/>
  <c r="I106" i="13" a="1"/>
  <c r="I106" i="13" s="1"/>
  <c r="J92" i="13" a="1"/>
  <c r="J92" i="13" s="1"/>
  <c r="J102" i="13" a="1"/>
  <c r="J102" i="13" s="1"/>
  <c r="J98" i="13" a="1"/>
  <c r="J98" i="13" s="1"/>
  <c r="J84" i="13" a="1"/>
  <c r="J84" i="13" s="1"/>
  <c r="J111" i="13" a="1"/>
  <c r="J111" i="13" s="1"/>
  <c r="J91" i="13" a="1"/>
  <c r="J91" i="13" s="1"/>
  <c r="J103" i="13" a="1"/>
  <c r="J103" i="13" s="1"/>
  <c r="J112" i="13" a="1"/>
  <c r="J112" i="13" s="1"/>
  <c r="J96" i="13" a="1"/>
  <c r="J96" i="13" s="1"/>
  <c r="J104" i="13" a="1"/>
  <c r="J104" i="13" s="1"/>
  <c r="K104" i="13" s="1"/>
  <c r="J109" i="13" a="1"/>
  <c r="J109" i="13" s="1"/>
  <c r="J86" i="13" a="1"/>
  <c r="J86" i="13" s="1"/>
  <c r="K86" i="13" s="1"/>
  <c r="C24" i="13" s="1"/>
  <c r="D24" i="13" s="1"/>
  <c r="C8" i="8" s="1"/>
  <c r="J94" i="13" a="1"/>
  <c r="J94" i="13" s="1"/>
  <c r="K94" i="13" s="1"/>
  <c r="J95" i="13" a="1"/>
  <c r="J95" i="13" s="1"/>
  <c r="K95" i="13" s="1"/>
  <c r="J106" i="13" a="1"/>
  <c r="J106" i="13" s="1"/>
  <c r="J101" i="13" a="1"/>
  <c r="J101" i="13" s="1"/>
  <c r="J97" i="13" a="1"/>
  <c r="J97" i="13" s="1"/>
  <c r="J105" i="13" a="1"/>
  <c r="J105" i="13" s="1"/>
  <c r="J108" i="13" a="1"/>
  <c r="J108" i="13" s="1"/>
  <c r="J107" i="13" a="1"/>
  <c r="J107" i="13" s="1"/>
  <c r="J89" i="13" a="1"/>
  <c r="J89" i="13" s="1"/>
  <c r="J93" i="13" a="1"/>
  <c r="J93" i="13" s="1"/>
  <c r="J87" i="13" a="1"/>
  <c r="J87" i="13" s="1"/>
  <c r="J90" i="13" a="1"/>
  <c r="J90" i="13" s="1"/>
  <c r="J88" i="13" a="1"/>
  <c r="J88" i="13" s="1"/>
  <c r="J99" i="13" a="1"/>
  <c r="J99" i="13" s="1"/>
  <c r="J85" i="13" a="1"/>
  <c r="J85" i="13" s="1"/>
  <c r="A13" i="11"/>
  <c r="C12" i="11"/>
  <c r="B44" i="8" s="1"/>
  <c r="C44" i="8" s="1"/>
  <c r="A51" i="8"/>
  <c r="J110" i="13" a="1"/>
  <c r="J110" i="13" s="1"/>
  <c r="F33" i="19"/>
  <c r="B19" i="19" s="1"/>
  <c r="J10" i="8" s="1"/>
  <c r="B18" i="19"/>
  <c r="J9" i="8" s="1"/>
  <c r="F38" i="18"/>
  <c r="B15" i="18"/>
  <c r="I10" i="8" s="1"/>
  <c r="G36" i="17"/>
  <c r="H55" i="14"/>
  <c r="C20" i="14" s="1"/>
  <c r="K78" i="13"/>
  <c r="L78" i="13" s="1"/>
  <c r="K77" i="13"/>
  <c r="L77" i="13" s="1"/>
  <c r="K76" i="13"/>
  <c r="L76" i="13" s="1"/>
  <c r="K74" i="13"/>
  <c r="L74" i="13" s="1"/>
  <c r="B14" i="12"/>
  <c r="K100" i="13" l="1"/>
  <c r="K91" i="13"/>
  <c r="E36" i="15"/>
  <c r="B36" i="15"/>
  <c r="F36" i="15"/>
  <c r="C36" i="15"/>
  <c r="D36" i="15"/>
  <c r="A37" i="15"/>
  <c r="K90" i="13"/>
  <c r="K108" i="13"/>
  <c r="K105" i="13"/>
  <c r="L72" i="13"/>
  <c r="K103" i="13"/>
  <c r="K113" i="13"/>
  <c r="K87" i="13"/>
  <c r="C25" i="13" s="1"/>
  <c r="D25" i="13" s="1"/>
  <c r="C9" i="8" s="1"/>
  <c r="K84" i="13"/>
  <c r="C22" i="13" s="1"/>
  <c r="D22" i="13" s="1"/>
  <c r="C6" i="8" s="1"/>
  <c r="K85" i="13"/>
  <c r="C23" i="13" s="1"/>
  <c r="D23" i="13" s="1"/>
  <c r="C7" i="8" s="1"/>
  <c r="K96" i="13"/>
  <c r="J17" i="12"/>
  <c r="C10" i="12"/>
  <c r="D10" i="12" s="1"/>
  <c r="B8" i="8" s="1"/>
  <c r="O77" i="15"/>
  <c r="S73" i="15"/>
  <c r="P74" i="15"/>
  <c r="T73" i="15"/>
  <c r="Q74" i="15"/>
  <c r="I38" i="16"/>
  <c r="C26" i="16"/>
  <c r="D26" i="16" s="1"/>
  <c r="E6" i="8" s="1"/>
  <c r="K88" i="13"/>
  <c r="C26" i="13" s="1"/>
  <c r="D26" i="13" s="1"/>
  <c r="C10" i="8" s="1"/>
  <c r="K107" i="13"/>
  <c r="K92" i="13"/>
  <c r="K99" i="13"/>
  <c r="K98" i="13"/>
  <c r="K89" i="13"/>
  <c r="K93" i="13"/>
  <c r="K101" i="13"/>
  <c r="K109" i="13"/>
  <c r="K111" i="13"/>
  <c r="K112" i="13"/>
  <c r="K102" i="13"/>
  <c r="A22" i="20"/>
  <c r="B21" i="20"/>
  <c r="K9" i="8" s="1"/>
  <c r="K97" i="13"/>
  <c r="K110" i="13"/>
  <c r="K106" i="13"/>
  <c r="G19" i="12"/>
  <c r="I18" i="12"/>
  <c r="A14" i="11"/>
  <c r="C13" i="11"/>
  <c r="B45" i="8" s="1"/>
  <c r="C45" i="8" s="1"/>
  <c r="A52" i="8"/>
  <c r="F34" i="19"/>
  <c r="B16" i="18"/>
  <c r="I11" i="8" s="1"/>
  <c r="L79" i="13"/>
  <c r="F39" i="18"/>
  <c r="G37" i="17"/>
  <c r="H56" i="14"/>
  <c r="H57" i="14" s="1"/>
  <c r="B23" i="17"/>
  <c r="H9" i="8" s="1"/>
  <c r="D20" i="14"/>
  <c r="D6" i="8" s="1"/>
  <c r="B15" i="12"/>
  <c r="E37" i="15" l="1"/>
  <c r="D37" i="15"/>
  <c r="C37" i="15"/>
  <c r="A38" i="15"/>
  <c r="B37" i="15"/>
  <c r="F37" i="15"/>
  <c r="L80" i="13"/>
  <c r="O78" i="15"/>
  <c r="J18" i="12"/>
  <c r="C11" i="12"/>
  <c r="D11" i="12" s="1"/>
  <c r="B9" i="8" s="1"/>
  <c r="S74" i="15"/>
  <c r="G34" i="15" s="1"/>
  <c r="F7" i="8" s="1"/>
  <c r="P75" i="15"/>
  <c r="T74" i="15"/>
  <c r="H34" i="15" s="1"/>
  <c r="G7" i="8" s="1"/>
  <c r="Q75" i="15"/>
  <c r="G33" i="15"/>
  <c r="J38" i="16"/>
  <c r="I39" i="16"/>
  <c r="C27" i="16"/>
  <c r="D27" i="16" s="1"/>
  <c r="E7" i="8" s="1"/>
  <c r="H33" i="15"/>
  <c r="K115" i="13"/>
  <c r="K114" i="13"/>
  <c r="G20" i="12"/>
  <c r="I19" i="12"/>
  <c r="A23" i="20"/>
  <c r="B22" i="20"/>
  <c r="K10" i="8" s="1"/>
  <c r="A15" i="11"/>
  <c r="C14" i="11"/>
  <c r="B46" i="8" s="1"/>
  <c r="C46" i="8" s="1"/>
  <c r="A53" i="8"/>
  <c r="F35" i="19"/>
  <c r="B20" i="19"/>
  <c r="J11" i="8" s="1"/>
  <c r="F40" i="18"/>
  <c r="B17" i="18"/>
  <c r="I12" i="8" s="1"/>
  <c r="C21" i="14"/>
  <c r="D21" i="14" s="1"/>
  <c r="D7" i="8" s="1"/>
  <c r="G38" i="17"/>
  <c r="B24" i="17"/>
  <c r="H10" i="8" s="1"/>
  <c r="C22" i="14"/>
  <c r="H58" i="14"/>
  <c r="C27" i="13"/>
  <c r="D27" i="13" s="1"/>
  <c r="C11" i="8" s="1"/>
  <c r="B16" i="12"/>
  <c r="B38" i="15" l="1"/>
  <c r="A39" i="15"/>
  <c r="F38" i="15"/>
  <c r="E38" i="15"/>
  <c r="D38" i="15"/>
  <c r="C38" i="15"/>
  <c r="P7" i="8"/>
  <c r="Q7" i="8" s="1"/>
  <c r="F6" i="8"/>
  <c r="P6" i="8" s="1"/>
  <c r="Q6" i="8" s="1"/>
  <c r="G6" i="8"/>
  <c r="T75" i="15"/>
  <c r="Q76" i="15"/>
  <c r="S75" i="15"/>
  <c r="P76" i="15"/>
  <c r="O79" i="15"/>
  <c r="I40" i="16"/>
  <c r="J39" i="16"/>
  <c r="C28" i="16"/>
  <c r="D28" i="16" s="1"/>
  <c r="E8" i="8" s="1"/>
  <c r="J19" i="12"/>
  <c r="C12" i="12"/>
  <c r="D12" i="12" s="1"/>
  <c r="B10" i="8" s="1"/>
  <c r="A24" i="20"/>
  <c r="B23" i="20"/>
  <c r="K11" i="8" s="1"/>
  <c r="G21" i="12"/>
  <c r="I20" i="12"/>
  <c r="C15" i="11"/>
  <c r="B47" i="8" s="1"/>
  <c r="C47" i="8" s="1"/>
  <c r="A16" i="11"/>
  <c r="A54" i="8"/>
  <c r="F36" i="19"/>
  <c r="B22" i="19" s="1"/>
  <c r="J13" i="8" s="1"/>
  <c r="B21" i="19"/>
  <c r="J12" i="8" s="1"/>
  <c r="B18" i="18"/>
  <c r="I13" i="8" s="1"/>
  <c r="F41" i="18"/>
  <c r="G39" i="17"/>
  <c r="B25" i="17"/>
  <c r="H11" i="8" s="1"/>
  <c r="D22" i="14"/>
  <c r="D8" i="8" s="1"/>
  <c r="C23" i="14"/>
  <c r="D23" i="14" s="1"/>
  <c r="D9" i="8" s="1"/>
  <c r="H59" i="14"/>
  <c r="C28" i="13"/>
  <c r="B17" i="12"/>
  <c r="F39" i="15" l="1"/>
  <c r="B39" i="15"/>
  <c r="A40" i="15"/>
  <c r="E39" i="15"/>
  <c r="D39" i="15"/>
  <c r="C39" i="15"/>
  <c r="O80" i="15"/>
  <c r="G35" i="15"/>
  <c r="T76" i="15"/>
  <c r="H36" i="15" s="1"/>
  <c r="G9" i="8" s="1"/>
  <c r="Q77" i="15"/>
  <c r="S76" i="15"/>
  <c r="G36" i="15" s="1"/>
  <c r="F9" i="8" s="1"/>
  <c r="P77" i="15"/>
  <c r="H35" i="15"/>
  <c r="J20" i="12"/>
  <c r="C13" i="12"/>
  <c r="D13" i="12" s="1"/>
  <c r="B11" i="8" s="1"/>
  <c r="I41" i="16"/>
  <c r="J40" i="16"/>
  <c r="C29" i="16"/>
  <c r="D29" i="16" s="1"/>
  <c r="E9" i="8" s="1"/>
  <c r="G22" i="12"/>
  <c r="I21" i="12"/>
  <c r="B24" i="20"/>
  <c r="K12" i="8" s="1"/>
  <c r="A25" i="20"/>
  <c r="A17" i="11"/>
  <c r="C16" i="11"/>
  <c r="B48" i="8" s="1"/>
  <c r="C48" i="8" s="1"/>
  <c r="A55" i="8"/>
  <c r="F37" i="19"/>
  <c r="F42" i="18"/>
  <c r="B19" i="18"/>
  <c r="I14" i="8" s="1"/>
  <c r="G40" i="17"/>
  <c r="B26" i="17"/>
  <c r="H12" i="8" s="1"/>
  <c r="C24" i="14"/>
  <c r="D24" i="14" s="1"/>
  <c r="D10" i="8" s="1"/>
  <c r="H60" i="14"/>
  <c r="D28" i="13"/>
  <c r="C12" i="8" s="1"/>
  <c r="C29" i="13"/>
  <c r="D29" i="13" s="1"/>
  <c r="C13" i="8" s="1"/>
  <c r="B18" i="12"/>
  <c r="P9" i="8" l="1"/>
  <c r="Q9" i="8" s="1"/>
  <c r="B40" i="15"/>
  <c r="F40" i="15"/>
  <c r="A41" i="15"/>
  <c r="E40" i="15"/>
  <c r="C40" i="15"/>
  <c r="D40" i="15"/>
  <c r="S77" i="15"/>
  <c r="G37" i="15" s="1"/>
  <c r="F10" i="8" s="1"/>
  <c r="P78" i="15"/>
  <c r="J21" i="12"/>
  <c r="C14" i="12"/>
  <c r="D14" i="12" s="1"/>
  <c r="B12" i="8" s="1"/>
  <c r="F8" i="8"/>
  <c r="T77" i="15"/>
  <c r="H37" i="15" s="1"/>
  <c r="G10" i="8" s="1"/>
  <c r="Q78" i="15"/>
  <c r="O81" i="15"/>
  <c r="J41" i="16"/>
  <c r="C30" i="16"/>
  <c r="D30" i="16" s="1"/>
  <c r="E10" i="8" s="1"/>
  <c r="P10" i="8" s="1"/>
  <c r="Q10" i="8" s="1"/>
  <c r="I42" i="16"/>
  <c r="G8" i="8"/>
  <c r="A26" i="20"/>
  <c r="B25" i="20"/>
  <c r="K13" i="8" s="1"/>
  <c r="G23" i="12"/>
  <c r="I22" i="12"/>
  <c r="A18" i="11"/>
  <c r="C17" i="11"/>
  <c r="B49" i="8" s="1"/>
  <c r="C49" i="8" s="1"/>
  <c r="B23" i="19"/>
  <c r="J14" i="8" s="1"/>
  <c r="F38" i="19"/>
  <c r="B24" i="19" s="1"/>
  <c r="J15" i="8" s="1"/>
  <c r="B20" i="18"/>
  <c r="I15" i="8" s="1"/>
  <c r="F43" i="18"/>
  <c r="G41" i="17"/>
  <c r="B28" i="17" s="1"/>
  <c r="H14" i="8" s="1"/>
  <c r="B27" i="17"/>
  <c r="H13" i="8" s="1"/>
  <c r="C25" i="14"/>
  <c r="H61" i="14"/>
  <c r="C30" i="13"/>
  <c r="D30" i="13" s="1"/>
  <c r="C14" i="8" s="1"/>
  <c r="B19" i="12"/>
  <c r="E41" i="15" l="1"/>
  <c r="A42" i="15"/>
  <c r="B41" i="15"/>
  <c r="F41" i="15"/>
  <c r="D41" i="15"/>
  <c r="C41" i="15"/>
  <c r="P8" i="8"/>
  <c r="Q8" i="8" s="1"/>
  <c r="J42" i="16"/>
  <c r="I43" i="16"/>
  <c r="C31" i="16"/>
  <c r="D31" i="16" s="1"/>
  <c r="E11" i="8" s="1"/>
  <c r="O82" i="15"/>
  <c r="J22" i="12"/>
  <c r="C15" i="12"/>
  <c r="D15" i="12" s="1"/>
  <c r="B13" i="8" s="1"/>
  <c r="T78" i="15"/>
  <c r="Q79" i="15"/>
  <c r="S78" i="15"/>
  <c r="P79" i="15"/>
  <c r="G24" i="12"/>
  <c r="I23" i="12"/>
  <c r="A27" i="20"/>
  <c r="B26" i="20"/>
  <c r="K14" i="8" s="1"/>
  <c r="A19" i="11"/>
  <c r="C18" i="11"/>
  <c r="B50" i="8" s="1"/>
  <c r="C50" i="8" s="1"/>
  <c r="F39" i="19"/>
  <c r="B25" i="19" s="1"/>
  <c r="J16" i="8" s="1"/>
  <c r="F44" i="18"/>
  <c r="B21" i="18"/>
  <c r="I16" i="8" s="1"/>
  <c r="G42" i="17"/>
  <c r="B29" i="17" s="1"/>
  <c r="H15" i="8" s="1"/>
  <c r="D25" i="14"/>
  <c r="D11" i="8" s="1"/>
  <c r="C26" i="14"/>
  <c r="D26" i="14" s="1"/>
  <c r="D12" i="8" s="1"/>
  <c r="H62" i="14"/>
  <c r="C31" i="13"/>
  <c r="D31" i="13" s="1"/>
  <c r="C15" i="8" s="1"/>
  <c r="B20" i="12"/>
  <c r="E42" i="15" l="1"/>
  <c r="F42" i="15"/>
  <c r="D42" i="15"/>
  <c r="C42" i="15"/>
  <c r="B42" i="15"/>
  <c r="A43" i="15"/>
  <c r="O83" i="15"/>
  <c r="C32" i="16"/>
  <c r="D32" i="16" s="1"/>
  <c r="E12" i="8" s="1"/>
  <c r="I44" i="16"/>
  <c r="J43" i="16"/>
  <c r="S79" i="15"/>
  <c r="G39" i="15" s="1"/>
  <c r="F12" i="8" s="1"/>
  <c r="P80" i="15"/>
  <c r="T79" i="15"/>
  <c r="H39" i="15" s="1"/>
  <c r="G12" i="8" s="1"/>
  <c r="Q80" i="15"/>
  <c r="H38" i="15"/>
  <c r="J23" i="12"/>
  <c r="C16" i="12"/>
  <c r="D16" i="12" s="1"/>
  <c r="B14" i="8" s="1"/>
  <c r="G38" i="15"/>
  <c r="B27" i="20"/>
  <c r="K15" i="8" s="1"/>
  <c r="A28" i="20"/>
  <c r="G25" i="12"/>
  <c r="I24" i="12"/>
  <c r="A20" i="11"/>
  <c r="C19" i="11"/>
  <c r="B51" i="8" s="1"/>
  <c r="C51" i="8" s="1"/>
  <c r="F40" i="19"/>
  <c r="B26" i="19" s="1"/>
  <c r="J17" i="8" s="1"/>
  <c r="B22" i="18"/>
  <c r="I17" i="8" s="1"/>
  <c r="F45" i="18"/>
  <c r="G43" i="17"/>
  <c r="B30" i="17" s="1"/>
  <c r="H16" i="8" s="1"/>
  <c r="C27" i="14"/>
  <c r="D27" i="14" s="1"/>
  <c r="D13" i="8" s="1"/>
  <c r="H63" i="14"/>
  <c r="C32" i="13"/>
  <c r="D32" i="13" s="1"/>
  <c r="C16" i="8" s="1"/>
  <c r="B21" i="12"/>
  <c r="D43" i="15" l="1"/>
  <c r="C43" i="15"/>
  <c r="A44" i="15"/>
  <c r="B43" i="15"/>
  <c r="F43" i="15"/>
  <c r="E43" i="15"/>
  <c r="P12" i="8"/>
  <c r="Q12" i="8" s="1"/>
  <c r="J24" i="12"/>
  <c r="C17" i="12"/>
  <c r="D17" i="12" s="1"/>
  <c r="B15" i="8" s="1"/>
  <c r="I45" i="16"/>
  <c r="J44" i="16"/>
  <c r="C33" i="16"/>
  <c r="D33" i="16" s="1"/>
  <c r="E13" i="8" s="1"/>
  <c r="F11" i="8"/>
  <c r="G11" i="8"/>
  <c r="S80" i="15"/>
  <c r="P81" i="15"/>
  <c r="T80" i="15"/>
  <c r="Q81" i="15"/>
  <c r="O84" i="15"/>
  <c r="G26" i="12"/>
  <c r="I25" i="12"/>
  <c r="A29" i="20"/>
  <c r="B28" i="20"/>
  <c r="K16" i="8" s="1"/>
  <c r="A21" i="11"/>
  <c r="C20" i="11"/>
  <c r="B52" i="8" s="1"/>
  <c r="C52" i="8" s="1"/>
  <c r="F41" i="19"/>
  <c r="B27" i="19" s="1"/>
  <c r="J18" i="8" s="1"/>
  <c r="F46" i="18"/>
  <c r="B23" i="18"/>
  <c r="I18" i="8" s="1"/>
  <c r="G44" i="17"/>
  <c r="B31" i="17" s="1"/>
  <c r="H17" i="8" s="1"/>
  <c r="C28" i="14"/>
  <c r="D28" i="14" s="1"/>
  <c r="D14" i="8" s="1"/>
  <c r="H64" i="14"/>
  <c r="C33" i="13"/>
  <c r="D33" i="13" s="1"/>
  <c r="C17" i="8" s="1"/>
  <c r="B22" i="12"/>
  <c r="E44" i="15" l="1"/>
  <c r="F44" i="15"/>
  <c r="D44" i="15"/>
  <c r="C44" i="15"/>
  <c r="B44" i="15"/>
  <c r="A45" i="15"/>
  <c r="P11" i="8"/>
  <c r="J25" i="12"/>
  <c r="C18" i="12"/>
  <c r="D18" i="12" s="1"/>
  <c r="B16" i="8" s="1"/>
  <c r="C34" i="16"/>
  <c r="D34" i="16" s="1"/>
  <c r="E14" i="8" s="1"/>
  <c r="I46" i="16"/>
  <c r="J45" i="16"/>
  <c r="O85" i="15"/>
  <c r="S81" i="15"/>
  <c r="G41" i="15" s="1"/>
  <c r="F14" i="8" s="1"/>
  <c r="P82" i="15"/>
  <c r="H40" i="15"/>
  <c r="T81" i="15"/>
  <c r="H41" i="15" s="1"/>
  <c r="G14" i="8" s="1"/>
  <c r="Q82" i="15"/>
  <c r="G40" i="15"/>
  <c r="B29" i="20"/>
  <c r="K17" i="8" s="1"/>
  <c r="A30" i="20"/>
  <c r="G27" i="12"/>
  <c r="I26" i="12"/>
  <c r="A22" i="11"/>
  <c r="C21" i="11"/>
  <c r="B53" i="8" s="1"/>
  <c r="C53" i="8" s="1"/>
  <c r="F42" i="19"/>
  <c r="B28" i="19" s="1"/>
  <c r="J19" i="8" s="1"/>
  <c r="B24" i="18"/>
  <c r="I19" i="8" s="1"/>
  <c r="F47" i="18"/>
  <c r="G45" i="17"/>
  <c r="B32" i="17" s="1"/>
  <c r="H18" i="8" s="1"/>
  <c r="C29" i="14"/>
  <c r="D29" i="14" s="1"/>
  <c r="D15" i="8" s="1"/>
  <c r="H65" i="14"/>
  <c r="C34" i="13"/>
  <c r="D34" i="13" s="1"/>
  <c r="C18" i="8" s="1"/>
  <c r="B23" i="12"/>
  <c r="D45" i="15" l="1"/>
  <c r="A46" i="15"/>
  <c r="B45" i="15"/>
  <c r="E45" i="15"/>
  <c r="F45" i="15"/>
  <c r="C45" i="15"/>
  <c r="P14" i="8"/>
  <c r="Q14" i="8" s="1"/>
  <c r="Q11" i="8"/>
  <c r="G13" i="8"/>
  <c r="J46" i="16"/>
  <c r="C35" i="16"/>
  <c r="D35" i="16" s="1"/>
  <c r="E15" i="8" s="1"/>
  <c r="I47" i="16"/>
  <c r="T82" i="15"/>
  <c r="Q83" i="15"/>
  <c r="O86" i="15"/>
  <c r="J26" i="12"/>
  <c r="C19" i="12"/>
  <c r="D19" i="12" s="1"/>
  <c r="B17" i="8" s="1"/>
  <c r="F13" i="8"/>
  <c r="S82" i="15"/>
  <c r="P83" i="15"/>
  <c r="G28" i="12"/>
  <c r="I27" i="12"/>
  <c r="A31" i="20"/>
  <c r="B30" i="20"/>
  <c r="K18" i="8" s="1"/>
  <c r="A23" i="11"/>
  <c r="C23" i="11" s="1"/>
  <c r="B55" i="8" s="1"/>
  <c r="C22" i="11"/>
  <c r="B54" i="8" s="1"/>
  <c r="C54" i="8" s="1"/>
  <c r="F43" i="19"/>
  <c r="B29" i="19" s="1"/>
  <c r="J20" i="8" s="1"/>
  <c r="F48" i="18"/>
  <c r="B25" i="18"/>
  <c r="I20" i="8" s="1"/>
  <c r="G46" i="17"/>
  <c r="B33" i="17" s="1"/>
  <c r="H19" i="8" s="1"/>
  <c r="C30" i="14"/>
  <c r="D30" i="14" s="1"/>
  <c r="D16" i="8" s="1"/>
  <c r="H66" i="14"/>
  <c r="C35" i="13"/>
  <c r="D35" i="13" s="1"/>
  <c r="C19" i="8" s="1"/>
  <c r="B24" i="12"/>
  <c r="P13" i="8" l="1"/>
  <c r="Q13" i="8" s="1"/>
  <c r="E46" i="15"/>
  <c r="F46" i="15"/>
  <c r="D46" i="15"/>
  <c r="B46" i="15"/>
  <c r="A47" i="15"/>
  <c r="C46" i="15"/>
  <c r="J47" i="16"/>
  <c r="C36" i="16"/>
  <c r="D36" i="16" s="1"/>
  <c r="E16" i="8" s="1"/>
  <c r="I48" i="16"/>
  <c r="H42" i="15"/>
  <c r="G42" i="15"/>
  <c r="S83" i="15"/>
  <c r="G43" i="15" s="1"/>
  <c r="F16" i="8" s="1"/>
  <c r="P84" i="15"/>
  <c r="J27" i="12"/>
  <c r="C20" i="12"/>
  <c r="D20" i="12" s="1"/>
  <c r="B18" i="8" s="1"/>
  <c r="T83" i="15"/>
  <c r="H43" i="15" s="1"/>
  <c r="G16" i="8" s="1"/>
  <c r="Q84" i="15"/>
  <c r="O87" i="15"/>
  <c r="B31" i="20"/>
  <c r="K19" i="8" s="1"/>
  <c r="A32" i="20"/>
  <c r="G29" i="12"/>
  <c r="I28" i="12"/>
  <c r="B56" i="8"/>
  <c r="C55" i="8"/>
  <c r="C56" i="8" s="1"/>
  <c r="B6" i="9" s="1"/>
  <c r="F44" i="19"/>
  <c r="B30" i="19" s="1"/>
  <c r="J21" i="8" s="1"/>
  <c r="F49" i="18"/>
  <c r="B26" i="18"/>
  <c r="I21" i="8" s="1"/>
  <c r="G47" i="17"/>
  <c r="B34" i="17" s="1"/>
  <c r="H20" i="8" s="1"/>
  <c r="C31" i="14"/>
  <c r="D31" i="14" s="1"/>
  <c r="D17" i="8" s="1"/>
  <c r="H67" i="14"/>
  <c r="C36" i="13"/>
  <c r="D36" i="13" s="1"/>
  <c r="C20" i="8" s="1"/>
  <c r="B25" i="12"/>
  <c r="B47" i="15" l="1"/>
  <c r="C47" i="15"/>
  <c r="E47" i="15"/>
  <c r="F47" i="15"/>
  <c r="A48" i="15"/>
  <c r="D47" i="15"/>
  <c r="P16" i="8"/>
  <c r="Q16" i="8" s="1"/>
  <c r="S84" i="15"/>
  <c r="G44" i="15" s="1"/>
  <c r="F17" i="8" s="1"/>
  <c r="P85" i="15"/>
  <c r="J28" i="12"/>
  <c r="C21" i="12"/>
  <c r="D21" i="12" s="1"/>
  <c r="B19" i="8" s="1"/>
  <c r="T84" i="15"/>
  <c r="H44" i="15" s="1"/>
  <c r="G17" i="8" s="1"/>
  <c r="Q85" i="15"/>
  <c r="F15" i="8"/>
  <c r="G15" i="8"/>
  <c r="J48" i="16"/>
  <c r="C37" i="16"/>
  <c r="D37" i="16" s="1"/>
  <c r="E17" i="8" s="1"/>
  <c r="I49" i="16"/>
  <c r="O88" i="15"/>
  <c r="G30" i="12"/>
  <c r="I29" i="12"/>
  <c r="A33" i="20"/>
  <c r="B32" i="20"/>
  <c r="K20" i="8" s="1"/>
  <c r="F45" i="19"/>
  <c r="B31" i="19" s="1"/>
  <c r="J22" i="8" s="1"/>
  <c r="B27" i="18"/>
  <c r="I22" i="8" s="1"/>
  <c r="F50" i="18"/>
  <c r="G48" i="17"/>
  <c r="B35" i="17" s="1"/>
  <c r="H21" i="8" s="1"/>
  <c r="C32" i="14"/>
  <c r="D32" i="14" s="1"/>
  <c r="D18" i="8" s="1"/>
  <c r="H68" i="14"/>
  <c r="C37" i="13"/>
  <c r="D37" i="13" s="1"/>
  <c r="C21" i="8" s="1"/>
  <c r="B26" i="12"/>
  <c r="A49" i="15" l="1"/>
  <c r="E48" i="15"/>
  <c r="D48" i="15"/>
  <c r="C48" i="15"/>
  <c r="B48" i="15"/>
  <c r="F48" i="15"/>
  <c r="P17" i="8"/>
  <c r="Q17" i="8" s="1"/>
  <c r="J29" i="12"/>
  <c r="C22" i="12"/>
  <c r="D22" i="12" s="1"/>
  <c r="B20" i="8" s="1"/>
  <c r="P15" i="8"/>
  <c r="T85" i="15"/>
  <c r="H45" i="15" s="1"/>
  <c r="Q86" i="15"/>
  <c r="O89" i="15"/>
  <c r="S85" i="15"/>
  <c r="G45" i="15" s="1"/>
  <c r="P86" i="15"/>
  <c r="I50" i="16"/>
  <c r="J49" i="16"/>
  <c r="C38" i="16"/>
  <c r="D38" i="16" s="1"/>
  <c r="E18" i="8" s="1"/>
  <c r="A34" i="20"/>
  <c r="B33" i="20"/>
  <c r="K21" i="8" s="1"/>
  <c r="G31" i="12"/>
  <c r="I30" i="12"/>
  <c r="F46" i="19"/>
  <c r="B32" i="19" s="1"/>
  <c r="J23" i="8" s="1"/>
  <c r="F51" i="18"/>
  <c r="B28" i="18"/>
  <c r="I23" i="8" s="1"/>
  <c r="G49" i="17"/>
  <c r="B36" i="17" s="1"/>
  <c r="H22" i="8" s="1"/>
  <c r="C33" i="14"/>
  <c r="D33" i="14" s="1"/>
  <c r="D19" i="8" s="1"/>
  <c r="H69" i="14"/>
  <c r="C38" i="13"/>
  <c r="D38" i="13" s="1"/>
  <c r="C22" i="8" s="1"/>
  <c r="B27" i="12"/>
  <c r="B49" i="15" l="1"/>
  <c r="C49" i="15"/>
  <c r="A50" i="15"/>
  <c r="F49" i="15"/>
  <c r="D49" i="15"/>
  <c r="E49" i="15"/>
  <c r="Q15" i="8"/>
  <c r="J30" i="12"/>
  <c r="C23" i="12"/>
  <c r="D23" i="12" s="1"/>
  <c r="B21" i="8" s="1"/>
  <c r="I51" i="16"/>
  <c r="J50" i="16"/>
  <c r="C39" i="16"/>
  <c r="D39" i="16" s="1"/>
  <c r="E19" i="8" s="1"/>
  <c r="T86" i="15"/>
  <c r="H46" i="15" s="1"/>
  <c r="G19" i="8" s="1"/>
  <c r="Q87" i="15"/>
  <c r="O90" i="15"/>
  <c r="G18" i="8"/>
  <c r="F18" i="8"/>
  <c r="S86" i="15"/>
  <c r="G46" i="15" s="1"/>
  <c r="F19" i="8" s="1"/>
  <c r="P19" i="8" s="1"/>
  <c r="Q19" i="8" s="1"/>
  <c r="P87" i="15"/>
  <c r="G32" i="12"/>
  <c r="I31" i="12"/>
  <c r="B34" i="20"/>
  <c r="K22" i="8" s="1"/>
  <c r="A35" i="20"/>
  <c r="F47" i="19"/>
  <c r="B33" i="19" s="1"/>
  <c r="J24" i="8" s="1"/>
  <c r="B29" i="18"/>
  <c r="I24" i="8" s="1"/>
  <c r="F52" i="18"/>
  <c r="G50" i="17"/>
  <c r="B37" i="17" s="1"/>
  <c r="H23" i="8" s="1"/>
  <c r="C34" i="14"/>
  <c r="D34" i="14" s="1"/>
  <c r="D20" i="8" s="1"/>
  <c r="H70" i="14"/>
  <c r="C39" i="13"/>
  <c r="D39" i="13" s="1"/>
  <c r="C23" i="8" s="1"/>
  <c r="B28" i="12"/>
  <c r="P18" i="8" l="1"/>
  <c r="Q18" i="8" s="1"/>
  <c r="A51" i="15"/>
  <c r="D50" i="15"/>
  <c r="B50" i="15"/>
  <c r="F50" i="15"/>
  <c r="C50" i="15"/>
  <c r="E50" i="15"/>
  <c r="T87" i="15"/>
  <c r="H47" i="15" s="1"/>
  <c r="G20" i="8" s="1"/>
  <c r="Q88" i="15"/>
  <c r="J31" i="12"/>
  <c r="C24" i="12"/>
  <c r="D24" i="12" s="1"/>
  <c r="B22" i="8" s="1"/>
  <c r="C40" i="16"/>
  <c r="D40" i="16" s="1"/>
  <c r="E20" i="8" s="1"/>
  <c r="I52" i="16"/>
  <c r="J51" i="16"/>
  <c r="S87" i="15"/>
  <c r="G47" i="15" s="1"/>
  <c r="F20" i="8" s="1"/>
  <c r="P88" i="15"/>
  <c r="O91" i="15"/>
  <c r="B35" i="20"/>
  <c r="K23" i="8" s="1"/>
  <c r="A36" i="20"/>
  <c r="G33" i="12"/>
  <c r="I32" i="12"/>
  <c r="F48" i="19"/>
  <c r="B34" i="19" s="1"/>
  <c r="J25" i="8" s="1"/>
  <c r="F53" i="18"/>
  <c r="B30" i="18"/>
  <c r="I25" i="8" s="1"/>
  <c r="G51" i="17"/>
  <c r="B38" i="17" s="1"/>
  <c r="H24" i="8" s="1"/>
  <c r="C35" i="14"/>
  <c r="D35" i="14" s="1"/>
  <c r="D21" i="8" s="1"/>
  <c r="H71" i="14"/>
  <c r="C40" i="13"/>
  <c r="D40" i="13" s="1"/>
  <c r="C24" i="8" s="1"/>
  <c r="B29" i="12"/>
  <c r="B51" i="15" l="1"/>
  <c r="C51" i="15"/>
  <c r="D51" i="15"/>
  <c r="F51" i="15"/>
  <c r="E51" i="15"/>
  <c r="A52" i="15"/>
  <c r="P20" i="8"/>
  <c r="C41" i="16"/>
  <c r="D41" i="16" s="1"/>
  <c r="E21" i="8" s="1"/>
  <c r="J52" i="16"/>
  <c r="I53" i="16"/>
  <c r="J32" i="12"/>
  <c r="C25" i="12"/>
  <c r="D25" i="12" s="1"/>
  <c r="B23" i="8" s="1"/>
  <c r="T88" i="15"/>
  <c r="H48" i="15" s="1"/>
  <c r="G21" i="8" s="1"/>
  <c r="Q89" i="15"/>
  <c r="O92" i="15"/>
  <c r="S88" i="15"/>
  <c r="G48" i="15" s="1"/>
  <c r="F21" i="8" s="1"/>
  <c r="P89" i="15"/>
  <c r="G34" i="12"/>
  <c r="I33" i="12"/>
  <c r="B36" i="20"/>
  <c r="K24" i="8" s="1"/>
  <c r="A37" i="20"/>
  <c r="F49" i="19"/>
  <c r="B35" i="19" s="1"/>
  <c r="J26" i="8" s="1"/>
  <c r="B31" i="18"/>
  <c r="I26" i="8" s="1"/>
  <c r="F54" i="18"/>
  <c r="G52" i="17"/>
  <c r="B39" i="17" s="1"/>
  <c r="H25" i="8" s="1"/>
  <c r="C36" i="14"/>
  <c r="D36" i="14" s="1"/>
  <c r="D22" i="8" s="1"/>
  <c r="H72" i="14"/>
  <c r="C41" i="13"/>
  <c r="D41" i="13" s="1"/>
  <c r="C25" i="8" s="1"/>
  <c r="B30" i="12"/>
  <c r="A53" i="15" l="1"/>
  <c r="E52" i="15"/>
  <c r="D52" i="15"/>
  <c r="C52" i="15"/>
  <c r="B52" i="15"/>
  <c r="F52" i="15"/>
  <c r="P21" i="8"/>
  <c r="Q21" i="8" s="1"/>
  <c r="Q20" i="8"/>
  <c r="O93" i="15"/>
  <c r="S89" i="15"/>
  <c r="G49" i="15" s="1"/>
  <c r="F22" i="8" s="1"/>
  <c r="P90" i="15"/>
  <c r="T89" i="15"/>
  <c r="H49" i="15" s="1"/>
  <c r="G22" i="8" s="1"/>
  <c r="Q90" i="15"/>
  <c r="J53" i="16"/>
  <c r="C42" i="16"/>
  <c r="D42" i="16" s="1"/>
  <c r="E22" i="8" s="1"/>
  <c r="I54" i="16"/>
  <c r="J33" i="12"/>
  <c r="C26" i="12"/>
  <c r="D26" i="12" s="1"/>
  <c r="B24" i="8" s="1"/>
  <c r="A38" i="20"/>
  <c r="B37" i="20"/>
  <c r="K25" i="8" s="1"/>
  <c r="G35" i="12"/>
  <c r="I34" i="12"/>
  <c r="F50" i="19"/>
  <c r="B36" i="19" s="1"/>
  <c r="J27" i="8" s="1"/>
  <c r="F55" i="18"/>
  <c r="B32" i="18"/>
  <c r="I27" i="8" s="1"/>
  <c r="G53" i="17"/>
  <c r="B40" i="17" s="1"/>
  <c r="H26" i="8" s="1"/>
  <c r="C37" i="14"/>
  <c r="D37" i="14" s="1"/>
  <c r="D23" i="8" s="1"/>
  <c r="H73" i="14"/>
  <c r="C42" i="13"/>
  <c r="D42" i="13" s="1"/>
  <c r="C26" i="8" s="1"/>
  <c r="B31" i="12"/>
  <c r="P22" i="8" l="1"/>
  <c r="Q22" i="8" s="1"/>
  <c r="C53" i="15"/>
  <c r="A54" i="15"/>
  <c r="B53" i="15"/>
  <c r="D53" i="15"/>
  <c r="F53" i="15"/>
  <c r="E53" i="15"/>
  <c r="J34" i="12"/>
  <c r="C27" i="12"/>
  <c r="D27" i="12" s="1"/>
  <c r="B25" i="8" s="1"/>
  <c r="T90" i="15"/>
  <c r="H50" i="15" s="1"/>
  <c r="G23" i="8" s="1"/>
  <c r="Q91" i="15"/>
  <c r="J54" i="16"/>
  <c r="C43" i="16"/>
  <c r="D43" i="16" s="1"/>
  <c r="E23" i="8" s="1"/>
  <c r="I55" i="16"/>
  <c r="S90" i="15"/>
  <c r="G50" i="15" s="1"/>
  <c r="F23" i="8" s="1"/>
  <c r="P91" i="15"/>
  <c r="O94" i="15"/>
  <c r="G36" i="12"/>
  <c r="I35" i="12"/>
  <c r="A39" i="20"/>
  <c r="B38" i="20"/>
  <c r="K26" i="8" s="1"/>
  <c r="F51" i="19"/>
  <c r="B37" i="19" s="1"/>
  <c r="J28" i="8" s="1"/>
  <c r="F56" i="18"/>
  <c r="B33" i="18"/>
  <c r="I28" i="8" s="1"/>
  <c r="G54" i="17"/>
  <c r="B41" i="17" s="1"/>
  <c r="H27" i="8" s="1"/>
  <c r="C38" i="14"/>
  <c r="D38" i="14" s="1"/>
  <c r="D24" i="8" s="1"/>
  <c r="H74" i="14"/>
  <c r="C43" i="13"/>
  <c r="D43" i="13" s="1"/>
  <c r="C27" i="8" s="1"/>
  <c r="B32" i="12"/>
  <c r="E54" i="15" l="1"/>
  <c r="F54" i="15"/>
  <c r="D54" i="15"/>
  <c r="A55" i="15"/>
  <c r="C54" i="15"/>
  <c r="B54" i="15"/>
  <c r="P23" i="8"/>
  <c r="Q23" i="8" s="1"/>
  <c r="T91" i="15"/>
  <c r="H51" i="15" s="1"/>
  <c r="G24" i="8" s="1"/>
  <c r="Q92" i="15"/>
  <c r="I56" i="16"/>
  <c r="J55" i="16"/>
  <c r="C44" i="16"/>
  <c r="D44" i="16" s="1"/>
  <c r="E24" i="8" s="1"/>
  <c r="J35" i="12"/>
  <c r="C28" i="12"/>
  <c r="D28" i="12" s="1"/>
  <c r="B26" i="8" s="1"/>
  <c r="O95" i="15"/>
  <c r="S91" i="15"/>
  <c r="G51" i="15" s="1"/>
  <c r="F24" i="8" s="1"/>
  <c r="P92" i="15"/>
  <c r="A40" i="20"/>
  <c r="B39" i="20"/>
  <c r="K27" i="8" s="1"/>
  <c r="G37" i="12"/>
  <c r="I36" i="12"/>
  <c r="F52" i="19"/>
  <c r="B38" i="19" s="1"/>
  <c r="J29" i="8" s="1"/>
  <c r="B34" i="18"/>
  <c r="I29" i="8" s="1"/>
  <c r="F57" i="18"/>
  <c r="G55" i="17"/>
  <c r="B42" i="17" s="1"/>
  <c r="H28" i="8" s="1"/>
  <c r="C39" i="14"/>
  <c r="D39" i="14" s="1"/>
  <c r="D25" i="8" s="1"/>
  <c r="H75" i="14"/>
  <c r="C44" i="13"/>
  <c r="D44" i="13" s="1"/>
  <c r="C28" i="8" s="1"/>
  <c r="C33" i="12"/>
  <c r="B33" i="12"/>
  <c r="A56" i="15" l="1"/>
  <c r="F55" i="15"/>
  <c r="E55" i="15"/>
  <c r="D55" i="15"/>
  <c r="C55" i="15"/>
  <c r="B55" i="15"/>
  <c r="P24" i="8"/>
  <c r="Q24" i="8" s="1"/>
  <c r="T92" i="15"/>
  <c r="H52" i="15" s="1"/>
  <c r="G25" i="8" s="1"/>
  <c r="Q93" i="15"/>
  <c r="J56" i="16"/>
  <c r="I57" i="16"/>
  <c r="C45" i="16"/>
  <c r="D45" i="16" s="1"/>
  <c r="E25" i="8" s="1"/>
  <c r="J36" i="12"/>
  <c r="C29" i="12"/>
  <c r="D29" i="12" s="1"/>
  <c r="B27" i="8" s="1"/>
  <c r="S92" i="15"/>
  <c r="G52" i="15" s="1"/>
  <c r="F25" i="8" s="1"/>
  <c r="P93" i="15"/>
  <c r="O96" i="15"/>
  <c r="G38" i="12"/>
  <c r="I37" i="12"/>
  <c r="B40" i="20"/>
  <c r="K28" i="8" s="1"/>
  <c r="A41" i="20"/>
  <c r="F53" i="19"/>
  <c r="B39" i="19" s="1"/>
  <c r="J30" i="8" s="1"/>
  <c r="F58" i="18"/>
  <c r="B35" i="18"/>
  <c r="I30" i="8" s="1"/>
  <c r="B45" i="17"/>
  <c r="H31" i="8" s="1"/>
  <c r="G56" i="17"/>
  <c r="B43" i="17" s="1"/>
  <c r="H29" i="8" s="1"/>
  <c r="C51" i="16"/>
  <c r="D51" i="16" s="1"/>
  <c r="E31" i="8" s="1"/>
  <c r="C45" i="14"/>
  <c r="D45" i="14" s="1"/>
  <c r="D31" i="8" s="1"/>
  <c r="H80" i="14"/>
  <c r="C40" i="14"/>
  <c r="D40" i="14" s="1"/>
  <c r="D26" i="8" s="1"/>
  <c r="H76" i="14"/>
  <c r="C45" i="13"/>
  <c r="D45" i="13" s="1"/>
  <c r="C29" i="8" s="1"/>
  <c r="C34" i="12"/>
  <c r="B34" i="12"/>
  <c r="D33" i="12"/>
  <c r="B31" i="8" s="1"/>
  <c r="F56" i="15" l="1"/>
  <c r="E56" i="15"/>
  <c r="D56" i="15"/>
  <c r="C56" i="15"/>
  <c r="B56" i="15"/>
  <c r="A57" i="15"/>
  <c r="P25" i="8"/>
  <c r="Q25" i="8" s="1"/>
  <c r="J37" i="12"/>
  <c r="C30" i="12"/>
  <c r="D30" i="12" s="1"/>
  <c r="B28" i="8" s="1"/>
  <c r="C46" i="16"/>
  <c r="D46" i="16" s="1"/>
  <c r="E26" i="8" s="1"/>
  <c r="J57" i="16"/>
  <c r="I58" i="16"/>
  <c r="O97" i="15"/>
  <c r="S93" i="15"/>
  <c r="G53" i="15" s="1"/>
  <c r="F26" i="8" s="1"/>
  <c r="P94" i="15"/>
  <c r="T93" i="15"/>
  <c r="H53" i="15" s="1"/>
  <c r="G26" i="8" s="1"/>
  <c r="P26" i="8" s="1"/>
  <c r="Q26" i="8" s="1"/>
  <c r="Q94" i="15"/>
  <c r="A42" i="20"/>
  <c r="B41" i="20"/>
  <c r="K29" i="8" s="1"/>
  <c r="G39" i="12"/>
  <c r="I38" i="12"/>
  <c r="F54" i="19"/>
  <c r="B40" i="19"/>
  <c r="J31" i="8" s="1"/>
  <c r="B36" i="18"/>
  <c r="I31" i="8" s="1"/>
  <c r="F59" i="18"/>
  <c r="G57" i="17"/>
  <c r="B44" i="17" s="1"/>
  <c r="H30" i="8" s="1"/>
  <c r="B46" i="17"/>
  <c r="H32" i="8" s="1"/>
  <c r="C52" i="16"/>
  <c r="D52" i="16" s="1"/>
  <c r="E32" i="8" s="1"/>
  <c r="I62" i="16"/>
  <c r="J62" i="16" s="1"/>
  <c r="C41" i="14"/>
  <c r="D41" i="14" s="1"/>
  <c r="D27" i="8" s="1"/>
  <c r="H77" i="14"/>
  <c r="H81" i="14"/>
  <c r="C46" i="14"/>
  <c r="D46" i="14" s="1"/>
  <c r="D32" i="8" s="1"/>
  <c r="C46" i="13"/>
  <c r="D46" i="13" s="1"/>
  <c r="C30" i="8" s="1"/>
  <c r="D34" i="12"/>
  <c r="B32" i="8" s="1"/>
  <c r="C35" i="12"/>
  <c r="B35" i="12"/>
  <c r="A58" i="15" l="1"/>
  <c r="F57" i="15"/>
  <c r="E57" i="15"/>
  <c r="D57" i="15"/>
  <c r="C57" i="15"/>
  <c r="B57" i="15"/>
  <c r="O98" i="15"/>
  <c r="I59" i="16"/>
  <c r="J58" i="16"/>
  <c r="C47" i="16"/>
  <c r="D47" i="16" s="1"/>
  <c r="E27" i="8" s="1"/>
  <c r="J38" i="12"/>
  <c r="C31" i="12"/>
  <c r="D31" i="12" s="1"/>
  <c r="B29" i="8" s="1"/>
  <c r="T94" i="15"/>
  <c r="H54" i="15" s="1"/>
  <c r="G27" i="8" s="1"/>
  <c r="Q95" i="15"/>
  <c r="S94" i="15"/>
  <c r="G54" i="15" s="1"/>
  <c r="F27" i="8" s="1"/>
  <c r="P27" i="8" s="1"/>
  <c r="Q27" i="8" s="1"/>
  <c r="P95" i="15"/>
  <c r="G40" i="12"/>
  <c r="I39" i="12"/>
  <c r="E11" i="20"/>
  <c r="E12" i="20" s="1"/>
  <c r="A43" i="20"/>
  <c r="B42" i="20"/>
  <c r="K30" i="8" s="1"/>
  <c r="B41" i="19"/>
  <c r="J32" i="8" s="1"/>
  <c r="F55" i="19"/>
  <c r="F60" i="18"/>
  <c r="B37" i="18"/>
  <c r="I32" i="8" s="1"/>
  <c r="B47" i="17"/>
  <c r="H33" i="8" s="1"/>
  <c r="G58" i="17"/>
  <c r="C53" i="16"/>
  <c r="D53" i="16" s="1"/>
  <c r="E33" i="8" s="1"/>
  <c r="I63" i="16"/>
  <c r="J63" i="16" s="1"/>
  <c r="H82" i="14"/>
  <c r="C47" i="14"/>
  <c r="D47" i="14" s="1"/>
  <c r="D33" i="8" s="1"/>
  <c r="C42" i="14"/>
  <c r="D42" i="14" s="1"/>
  <c r="D28" i="8" s="1"/>
  <c r="H78" i="14"/>
  <c r="C47" i="13"/>
  <c r="D47" i="13" s="1"/>
  <c r="C31" i="8" s="1"/>
  <c r="C36" i="12"/>
  <c r="B36" i="12"/>
  <c r="D35" i="12"/>
  <c r="B33" i="8" s="1"/>
  <c r="B58" i="15" l="1"/>
  <c r="A59" i="15"/>
  <c r="G58" i="15"/>
  <c r="F58" i="15"/>
  <c r="E58" i="15"/>
  <c r="D58" i="15"/>
  <c r="H58" i="15"/>
  <c r="C58" i="15"/>
  <c r="I60" i="16"/>
  <c r="J59" i="16"/>
  <c r="C48" i="16"/>
  <c r="D48" i="16" s="1"/>
  <c r="E28" i="8" s="1"/>
  <c r="T95" i="15"/>
  <c r="H55" i="15" s="1"/>
  <c r="G28" i="8" s="1"/>
  <c r="Q96" i="15"/>
  <c r="J39" i="12"/>
  <c r="C32" i="12"/>
  <c r="D32" i="12" s="1"/>
  <c r="B30" i="8" s="1"/>
  <c r="S95" i="15"/>
  <c r="G55" i="15" s="1"/>
  <c r="F28" i="8" s="1"/>
  <c r="P96" i="15"/>
  <c r="O99" i="15"/>
  <c r="T98" i="15"/>
  <c r="S98" i="15"/>
  <c r="Q98" i="15"/>
  <c r="P98" i="15"/>
  <c r="B43" i="20"/>
  <c r="K31" i="8" s="1"/>
  <c r="A44" i="20"/>
  <c r="G41" i="12"/>
  <c r="I40" i="12"/>
  <c r="J40" i="12" s="1"/>
  <c r="F31" i="8"/>
  <c r="G31" i="8"/>
  <c r="F56" i="19"/>
  <c r="B42" i="19"/>
  <c r="J33" i="8" s="1"/>
  <c r="B38" i="18"/>
  <c r="I33" i="8" s="1"/>
  <c r="F62" i="18"/>
  <c r="F61" i="18"/>
  <c r="G59" i="17"/>
  <c r="B49" i="17"/>
  <c r="H35" i="8" s="1"/>
  <c r="B48" i="17"/>
  <c r="H34" i="8" s="1"/>
  <c r="I64" i="16"/>
  <c r="J64" i="16" s="1"/>
  <c r="C54" i="16"/>
  <c r="D54" i="16" s="1"/>
  <c r="E34" i="8" s="1"/>
  <c r="C55" i="16"/>
  <c r="D36" i="12"/>
  <c r="B34" i="8" s="1"/>
  <c r="C43" i="14"/>
  <c r="D43" i="14" s="1"/>
  <c r="D29" i="8" s="1"/>
  <c r="H79" i="14"/>
  <c r="C44" i="14" s="1"/>
  <c r="D44" i="14" s="1"/>
  <c r="D30" i="8" s="1"/>
  <c r="C49" i="14"/>
  <c r="C48" i="14"/>
  <c r="D48" i="14" s="1"/>
  <c r="D34" i="8" s="1"/>
  <c r="H84" i="14"/>
  <c r="H83" i="14"/>
  <c r="C48" i="13"/>
  <c r="D48" i="13" s="1"/>
  <c r="C32" i="8" s="1"/>
  <c r="C37" i="12"/>
  <c r="B37" i="12"/>
  <c r="P31" i="8" l="1"/>
  <c r="E59" i="15"/>
  <c r="F59" i="15"/>
  <c r="B59" i="15"/>
  <c r="D59" i="15"/>
  <c r="C59" i="15"/>
  <c r="A60" i="15"/>
  <c r="H59" i="15"/>
  <c r="G59" i="15"/>
  <c r="P28" i="8"/>
  <c r="Q28" i="8" s="1"/>
  <c r="Q31" i="8"/>
  <c r="O100" i="15"/>
  <c r="T99" i="15"/>
  <c r="S99" i="15"/>
  <c r="Q99" i="15"/>
  <c r="P99" i="15"/>
  <c r="T96" i="15"/>
  <c r="H56" i="15" s="1"/>
  <c r="G29" i="8" s="1"/>
  <c r="Q97" i="15"/>
  <c r="T97" i="15" s="1"/>
  <c r="H57" i="15" s="1"/>
  <c r="G30" i="8" s="1"/>
  <c r="S96" i="15"/>
  <c r="G56" i="15" s="1"/>
  <c r="F29" i="8" s="1"/>
  <c r="P97" i="15"/>
  <c r="S97" i="15" s="1"/>
  <c r="G57" i="15" s="1"/>
  <c r="F30" i="8" s="1"/>
  <c r="I61" i="16"/>
  <c r="J60" i="16"/>
  <c r="C49" i="16"/>
  <c r="D49" i="16" s="1"/>
  <c r="E29" i="8" s="1"/>
  <c r="G42" i="12"/>
  <c r="I41" i="12"/>
  <c r="J41" i="12" s="1"/>
  <c r="A45" i="20"/>
  <c r="B44" i="20"/>
  <c r="K32" i="8" s="1"/>
  <c r="G32" i="8"/>
  <c r="F32" i="8"/>
  <c r="H36" i="8"/>
  <c r="H37" i="8"/>
  <c r="B44" i="19"/>
  <c r="J35" i="8" s="1"/>
  <c r="B43" i="19"/>
  <c r="J34" i="8" s="1"/>
  <c r="F58" i="19"/>
  <c r="F57" i="19"/>
  <c r="F63" i="18"/>
  <c r="F64" i="18"/>
  <c r="B40" i="18"/>
  <c r="I35" i="8" s="1"/>
  <c r="B39" i="18"/>
  <c r="I34" i="8" s="1"/>
  <c r="B51" i="17"/>
  <c r="B50" i="17"/>
  <c r="G60" i="17"/>
  <c r="D55" i="16"/>
  <c r="E35" i="8" s="1"/>
  <c r="I66" i="16"/>
  <c r="I65" i="16"/>
  <c r="J65" i="16" s="1"/>
  <c r="D49" i="14"/>
  <c r="D35" i="8" s="1"/>
  <c r="C51" i="14"/>
  <c r="C50" i="14"/>
  <c r="H85" i="14"/>
  <c r="H86" i="14"/>
  <c r="C49" i="13"/>
  <c r="D49" i="13" s="1"/>
  <c r="C33" i="8" s="1"/>
  <c r="D37" i="12"/>
  <c r="B35" i="8" s="1"/>
  <c r="D60" i="15" l="1"/>
  <c r="A61" i="15"/>
  <c r="F60" i="15"/>
  <c r="C60" i="15"/>
  <c r="B60" i="15"/>
  <c r="H60" i="15"/>
  <c r="G60" i="15"/>
  <c r="E60" i="15"/>
  <c r="P29" i="8"/>
  <c r="Q29" i="8" s="1"/>
  <c r="P32" i="8"/>
  <c r="Q32" i="8"/>
  <c r="B36" i="8"/>
  <c r="B37" i="8"/>
  <c r="O101" i="15"/>
  <c r="T100" i="15"/>
  <c r="S100" i="15"/>
  <c r="Q100" i="15"/>
  <c r="P100" i="15"/>
  <c r="J61" i="16"/>
  <c r="C50" i="16"/>
  <c r="A46" i="20"/>
  <c r="B45" i="20"/>
  <c r="K33" i="8" s="1"/>
  <c r="G43" i="12"/>
  <c r="I42" i="12"/>
  <c r="J42" i="12" s="1"/>
  <c r="G33" i="8"/>
  <c r="F33" i="8"/>
  <c r="J37" i="8"/>
  <c r="J36" i="8"/>
  <c r="I36" i="8"/>
  <c r="I37" i="8"/>
  <c r="D37" i="8"/>
  <c r="D36" i="8"/>
  <c r="F59" i="19"/>
  <c r="F60" i="19"/>
  <c r="B45" i="19"/>
  <c r="B46" i="19"/>
  <c r="B42" i="18"/>
  <c r="B41" i="18"/>
  <c r="G62" i="17"/>
  <c r="G61" i="17"/>
  <c r="J66" i="16"/>
  <c r="I67" i="16"/>
  <c r="I68" i="16"/>
  <c r="D51" i="14"/>
  <c r="D50" i="14"/>
  <c r="C51" i="13"/>
  <c r="C50" i="13"/>
  <c r="D50" i="13" s="1"/>
  <c r="C34" i="8" s="1"/>
  <c r="D39" i="12"/>
  <c r="D38" i="12"/>
  <c r="P33" i="8" l="1"/>
  <c r="C61" i="15"/>
  <c r="B61" i="15"/>
  <c r="A62" i="15"/>
  <c r="G61" i="15"/>
  <c r="E61" i="15"/>
  <c r="F61" i="15"/>
  <c r="D61" i="15"/>
  <c r="H61" i="15"/>
  <c r="D50" i="16"/>
  <c r="C56" i="16"/>
  <c r="C57" i="16"/>
  <c r="Q33" i="8"/>
  <c r="O102" i="15"/>
  <c r="T101" i="15"/>
  <c r="S101" i="15"/>
  <c r="Q101" i="15"/>
  <c r="P101" i="15"/>
  <c r="G44" i="12"/>
  <c r="I44" i="12" s="1"/>
  <c r="J44" i="12" s="1"/>
  <c r="I43" i="12"/>
  <c r="J43" i="12" s="1"/>
  <c r="J45" i="12" s="1"/>
  <c r="B46" i="20"/>
  <c r="K34" i="8" s="1"/>
  <c r="P34" i="8" s="1"/>
  <c r="A47" i="20"/>
  <c r="B47" i="20" s="1"/>
  <c r="K35" i="8" s="1"/>
  <c r="F34" i="8"/>
  <c r="G34" i="8"/>
  <c r="G64" i="17"/>
  <c r="G63" i="17"/>
  <c r="J68" i="16"/>
  <c r="J67" i="16"/>
  <c r="D51" i="13"/>
  <c r="C35" i="8" s="1"/>
  <c r="C52" i="13"/>
  <c r="C53" i="13"/>
  <c r="J46" i="12" l="1"/>
  <c r="C62" i="15"/>
  <c r="E62" i="15"/>
  <c r="F62" i="15"/>
  <c r="G62" i="15"/>
  <c r="D62" i="15"/>
  <c r="H62" i="15"/>
  <c r="G35" i="8" s="1"/>
  <c r="B62" i="15"/>
  <c r="Q34" i="8"/>
  <c r="K37" i="8"/>
  <c r="K36" i="8"/>
  <c r="E30" i="8"/>
  <c r="D56" i="16"/>
  <c r="D57" i="16"/>
  <c r="T102" i="15"/>
  <c r="S102" i="15"/>
  <c r="Q102" i="15"/>
  <c r="P102" i="15"/>
  <c r="F35" i="8"/>
  <c r="C36" i="8"/>
  <c r="C37" i="8"/>
  <c r="D52" i="13"/>
  <c r="D53" i="13"/>
  <c r="P35" i="8" l="1"/>
  <c r="G63" i="15"/>
  <c r="G64" i="15"/>
  <c r="H63" i="15"/>
  <c r="H64" i="15"/>
  <c r="S103" i="15"/>
  <c r="S104" i="15"/>
  <c r="P30" i="8"/>
  <c r="Q30" i="8" s="1"/>
  <c r="E36" i="8"/>
  <c r="E37" i="8"/>
  <c r="G37" i="8"/>
  <c r="G36" i="8"/>
  <c r="F37" i="8"/>
  <c r="F36" i="8"/>
  <c r="T104" i="15"/>
  <c r="T103" i="15"/>
  <c r="Q35" i="8"/>
  <c r="Q37" i="8" s="1"/>
  <c r="B5" i="9" s="1"/>
  <c r="B8" i="9" s="1"/>
  <c r="P36" i="8" l="1"/>
  <c r="P37" i="8"/>
  <c r="B7"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tc={A6ADB9EC-C326-4C02-801B-FBD4D0B365B9}</author>
  </authors>
  <commentList>
    <comment ref="A1" authorId="0" shapeId="0" xr:uid="{A6ADB9EC-C326-4C02-801B-FBD4D0B365B9}">
      <text>
        <t xml:space="preserve">[Threaded comment]
Your version of Excel allows you to read this threaded comment; however, any edits to it will get removed if the file is opened in a newer version of Excel. Learn more: https://go.microsoft.com/fwlink/?linkid=870924
Comment:
    Operations &amp; Maintenance Cost data is not yet provided. Adjustments will be made to template and calculations upon availability of this information. Currently scores do not include this category. </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tc={D4AE46EF-163E-4DFD-A547-86296F23E0D8}</author>
  </authors>
  <commentList>
    <comment ref="A1" authorId="0" shapeId="0" xr:uid="{D4AE46EF-163E-4DFD-A547-86296F23E0D8}">
      <text>
        <t>[Threaded comment]
Your version of Excel allows you to read this threaded comment; however, any edits to it will get removed if the file is opened in a newer version of Excel. Learn more: https://go.microsoft.com/fwlink/?linkid=870924
Comment:
    I do not think we have data to calculate this benefit. Leaving blank for now.</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<sst xmlns="http://schemas.openxmlformats.org/spreadsheetml/2006/main" count="3344" uniqueCount="859">
  <si>
    <t>Instruction</t>
  </si>
  <si>
    <r>
      <t xml:space="preserve">The "Project Information Data", "Raw Crash Data", "Raw Bike_Ped Data" and sheets are where users need to input the data of the projects. 
•  </t>
    </r>
    <r>
      <rPr>
        <b/>
        <sz val="11"/>
        <color theme="1"/>
        <rFont val="Aptos Narrow"/>
        <family val="2"/>
        <scheme val="minor"/>
      </rPr>
      <t>Project Information Data</t>
    </r>
    <r>
      <rPr>
        <sz val="11"/>
        <color theme="1"/>
        <rFont val="Aptos Narrow"/>
        <family val="2"/>
        <scheme val="minor"/>
      </rPr>
      <t xml:space="preserve">. In this sheet users need to input the data related to basic information of the projects, including unique project id, cost, length, traffic data, types of improvement, etc.
•  </t>
    </r>
    <r>
      <rPr>
        <b/>
        <sz val="11"/>
        <color theme="1"/>
        <rFont val="Aptos Narrow"/>
        <family val="2"/>
        <scheme val="minor"/>
      </rPr>
      <t>Raw Crash Data</t>
    </r>
    <r>
      <rPr>
        <sz val="11"/>
        <color theme="1"/>
        <rFont val="Aptos Narrow"/>
        <family val="2"/>
        <scheme val="minor"/>
      </rPr>
      <t xml:space="preserve">. Input all the raw crash data related to the projects to be scored, distincted by their project Id. The raw crash data should be retrieved from the HGAC crash dashboard. The data need to be organized to algin with the order of the first 8 columns of the sheet - project id, no injured count, possible injured count, non-serious injured count, serious injured count, fatality count, intersection related and first harmful event.
•  </t>
    </r>
    <r>
      <rPr>
        <b/>
        <sz val="11"/>
        <color theme="1"/>
        <rFont val="Aptos Narrow"/>
        <family val="2"/>
        <scheme val="minor"/>
      </rPr>
      <t xml:space="preserve">Raw Bike_Ped Data. </t>
    </r>
    <r>
      <rPr>
        <sz val="11"/>
        <color theme="1"/>
        <rFont val="Aptos Narrow"/>
        <family val="2"/>
        <scheme val="minor"/>
      </rPr>
      <t xml:space="preserve">Users need to retreive all the bike/ped data related to the projects from the H-GAC ACE website, distinguished by project ID. Add project ID to the original dataset and set them as the first two columns, and the keep the order of columns from the original dataset, then copy the prepared data into the sheet.
Once all the prepared data are Skip cells where data are not available or applicable for the project. After entering all the data needed, use the "Calculate" or "Calculate All" button to get the BCA results. The results will be appended at the end of the corresponding row. Users do not need to input anything into other sheets.
•  </t>
    </r>
    <r>
      <rPr>
        <b/>
        <sz val="11"/>
        <color theme="1"/>
        <rFont val="Aptos Narrow"/>
        <family val="2"/>
        <scheme val="minor"/>
      </rPr>
      <t xml:space="preserve">Output. </t>
    </r>
    <r>
      <rPr>
        <sz val="11"/>
        <color theme="1"/>
        <rFont val="Aptos Narrow"/>
        <family val="2"/>
        <scheme val="minor"/>
      </rPr>
      <t xml:space="preserve">After users filled the data in Project Information Data, Raw Crash Data and Raw Bike_Ped Data sheets, go to the Output sheet and use the button on top to load the data and calculate the BCA results. </t>
    </r>
  </si>
  <si>
    <t xml:space="preserve">      o Green represent user input columns. Users should enter data in these cells in the Project Information Data, Raw Crash Data and Raw Bike_Ped Data sheet. </t>
  </si>
  <si>
    <t xml:space="preserve">      o Blue cells are reference cells showing the data inputted in the "Project Information Data" sheet and used for the BCA calculation. After user select a project and done the calculation for the project, the blue cells display the data of the corresponding project for references.</t>
  </si>
  <si>
    <t xml:space="preserve">      o Gray and plain text cells represent cells that are results of calculations based on the data provided.</t>
  </si>
  <si>
    <r>
      <t xml:space="preserve">• </t>
    </r>
    <r>
      <rPr>
        <b/>
        <sz val="11"/>
        <rFont val="Aptos Narrow"/>
        <family val="2"/>
        <scheme val="minor"/>
      </rPr>
      <t xml:space="preserve"> Calculate Button</t>
    </r>
    <r>
      <rPr>
        <sz val="11"/>
        <rFont val="Aptos Narrow"/>
        <family val="2"/>
        <scheme val="minor"/>
      </rPr>
      <t>. Select a project ID from the drop-down list (B1) to the left of the button and click it, the template will calculate the BCA result for the selected project ID.</t>
    </r>
  </si>
  <si>
    <r>
      <t xml:space="preserve">• </t>
    </r>
    <r>
      <rPr>
        <b/>
        <sz val="11"/>
        <rFont val="Aptos Narrow"/>
        <family val="2"/>
        <scheme val="minor"/>
      </rPr>
      <t xml:space="preserve"> Calculate All Button</t>
    </r>
    <r>
      <rPr>
        <sz val="11"/>
        <rFont val="Aptos Narrow"/>
        <family val="2"/>
        <scheme val="minor"/>
      </rPr>
      <t>. By clicking this button, the template will calculate the BCA results for all the projects entered in the sheet.</t>
    </r>
  </si>
  <si>
    <r>
      <t xml:space="preserve">• </t>
    </r>
    <r>
      <rPr>
        <b/>
        <sz val="11"/>
        <color theme="1"/>
        <rFont val="Aptos Narrow"/>
        <family val="2"/>
        <scheme val="minor"/>
      </rPr>
      <t>Get Project Information &amp; Traffic Data</t>
    </r>
    <r>
      <rPr>
        <sz val="11"/>
        <color theme="1"/>
        <rFont val="Aptos Narrow"/>
        <family val="2"/>
        <scheme val="minor"/>
      </rPr>
      <t xml:space="preserve"> </t>
    </r>
    <r>
      <rPr>
        <b/>
        <sz val="11"/>
        <color theme="1"/>
        <rFont val="Aptos Narrow"/>
        <family val="2"/>
        <scheme val="minor"/>
      </rPr>
      <t>Button</t>
    </r>
    <r>
      <rPr>
        <sz val="11"/>
        <color theme="1"/>
        <rFont val="Aptos Narrow"/>
        <family val="2"/>
        <scheme val="minor"/>
      </rPr>
      <t>. After all the project  information data are inputted in Project Information Data sheet, click the button to load the data into Output sheet.</t>
    </r>
  </si>
  <si>
    <r>
      <t xml:space="preserve">• </t>
    </r>
    <r>
      <rPr>
        <b/>
        <sz val="11"/>
        <rFont val="Aptos Narrow"/>
        <family val="2"/>
        <scheme val="minor"/>
      </rPr>
      <t>Get &amp; Calculate Crash Data Button</t>
    </r>
    <r>
      <rPr>
        <sz val="11"/>
        <rFont val="Aptos Narrow"/>
        <family val="2"/>
        <scheme val="minor"/>
      </rPr>
      <t>. After all the projects' crash data are inputted in Raw Crash Data sheet, click the button to load the crash data into Output sheet.</t>
    </r>
  </si>
  <si>
    <r>
      <t xml:space="preserve">• </t>
    </r>
    <r>
      <rPr>
        <b/>
        <sz val="11"/>
        <rFont val="Aptos Narrow"/>
        <family val="2"/>
        <scheme val="minor"/>
      </rPr>
      <t>Get &amp; Calculate Bike/Ped Data Button</t>
    </r>
    <r>
      <rPr>
        <sz val="11"/>
        <rFont val="Aptos Narrow"/>
        <family val="2"/>
        <scheme val="minor"/>
      </rPr>
      <t>. After all the projects' bike/ped data are inputted in Raw Bike_Ped Data sheet, click the button to load the bike/ped data into Output sheet.</t>
    </r>
  </si>
  <si>
    <r>
      <t xml:space="preserve">• </t>
    </r>
    <r>
      <rPr>
        <b/>
        <sz val="11"/>
        <rFont val="Aptos Narrow"/>
        <family val="2"/>
        <scheme val="minor"/>
      </rPr>
      <t>Export Button</t>
    </r>
    <r>
      <rPr>
        <sz val="11"/>
        <rFont val="Aptos Narrow"/>
        <family val="2"/>
        <scheme val="minor"/>
      </rPr>
      <t>.After all the calculations are done, select a project ID using the drop-down list on the top left of Output  sheet and click the button. A new template will be created in the same folder named "Project [Project ID] BCA Result.xlsm" where [Project ID] is the project ID users selected to export (Users may need to unlock the file first and check Trust access to the VBA project object model to use this function, see figures on the right).</t>
    </r>
  </si>
  <si>
    <r>
      <t xml:space="preserve">•  	</t>
    </r>
    <r>
      <rPr>
        <b/>
        <sz val="11"/>
        <rFont val="Aptos Narrow"/>
        <family val="2"/>
        <scheme val="minor"/>
      </rPr>
      <t xml:space="preserve">Build vs No Build. </t>
    </r>
    <r>
      <rPr>
        <sz val="11"/>
        <rFont val="Aptos Narrow"/>
        <family val="2"/>
        <scheme val="minor"/>
      </rPr>
      <t>If data are showing the difference between the Build and No Build scenarios, enter this data into the "Build" column and leave the "No Build" values at $0. This will still appropriately estimate the benefit</t>
    </r>
  </si>
  <si>
    <r>
      <t xml:space="preserve">•  	</t>
    </r>
    <r>
      <rPr>
        <b/>
        <sz val="11"/>
        <rFont val="Aptos Narrow"/>
        <family val="2"/>
        <scheme val="minor"/>
      </rPr>
      <t xml:space="preserve">Deleting a Tab. </t>
    </r>
    <r>
      <rPr>
        <sz val="11"/>
        <rFont val="Aptos Narrow"/>
        <family val="2"/>
        <scheme val="minor"/>
      </rPr>
      <t xml:space="preserve">Do not delete tabs. </t>
    </r>
  </si>
  <si>
    <r>
      <rPr>
        <b/>
        <sz val="11"/>
        <rFont val="Aptos Narrow"/>
        <family val="2"/>
        <scheme val="minor"/>
      </rPr>
      <t>•  Parameter Values.</t>
    </r>
    <r>
      <rPr>
        <sz val="11"/>
        <rFont val="Aptos Narrow"/>
        <family val="2"/>
        <scheme val="minor"/>
      </rPr>
      <t xml:space="preserve"> This template provides a copy of the Appendix A tables from the USDOT BCA guidance document in a spreadsheet format, located on the "Parameter Values" sheet. </t>
    </r>
  </si>
  <si>
    <t>Model Base Year</t>
  </si>
  <si>
    <t>Model Date</t>
  </si>
  <si>
    <t>Project ID</t>
  </si>
  <si>
    <t>County</t>
  </si>
  <si>
    <t>Facility Type</t>
  </si>
  <si>
    <t>Estimated Total Capital Cost (2023 $)</t>
  </si>
  <si>
    <t>Project Useful Life</t>
  </si>
  <si>
    <t>Year Open to Traffic</t>
  </si>
  <si>
    <t>No Build Project Length (mile)</t>
  </si>
  <si>
    <t>Build Project Length (mile)</t>
  </si>
  <si>
    <t>2022 AADT</t>
  </si>
  <si>
    <t>2022 Truck AADT</t>
  </si>
  <si>
    <t>Growth Rate</t>
  </si>
  <si>
    <t>No Build Annual Maintenance Cost (year open to traffic)</t>
  </si>
  <si>
    <t>Build Annual Maintenance Cost (year open to traffic)</t>
  </si>
  <si>
    <t>Safety Improvement Work Codes</t>
  </si>
  <si>
    <t>Free Flow Speed</t>
  </si>
  <si>
    <t>No Build Peak Hour Speed</t>
  </si>
  <si>
    <t>No Build Peak Hour Periods (6am - 9am, 3 pm -7pm) Volume</t>
  </si>
  <si>
    <t>Travel Time Reduction Strategies/Type Codes</t>
  </si>
  <si>
    <t>Travel Time Strategies/Type of Improvement</t>
  </si>
  <si>
    <t>Additional Detour Prevention</t>
  </si>
  <si>
    <t>Time Saved per Detour Trip (min)</t>
  </si>
  <si>
    <t>Bike/Ped Growth Rate</t>
  </si>
  <si>
    <t>Added Sidewalk Width (ft)</t>
  </si>
  <si>
    <t>Add Bike Facilities</t>
  </si>
  <si>
    <t>ID</t>
  </si>
  <si>
    <t>Project Folder</t>
  </si>
  <si>
    <t>CSJ</t>
  </si>
  <si>
    <t>2023AADT</t>
  </si>
  <si>
    <t>YN</t>
  </si>
  <si>
    <t>score</t>
  </si>
  <si>
    <t>YOT</t>
  </si>
  <si>
    <t>Rural Restricted Access</t>
  </si>
  <si>
    <t>No</t>
  </si>
  <si>
    <t>Urban Unrestricted Access</t>
  </si>
  <si>
    <t>No CSJ Yet</t>
  </si>
  <si>
    <t>Rural Unrestricted Access</t>
  </si>
  <si>
    <t>Urban Restricted Access</t>
  </si>
  <si>
    <t>201, 304, 401, 536, 505, 506, 507, 517, 402, 113, 101, 119, 534</t>
  </si>
  <si>
    <t>2, 6, 7, 9,4, 31</t>
  </si>
  <si>
    <t>2023CFP-182</t>
  </si>
  <si>
    <t>ProjectID</t>
  </si>
  <si>
    <t>Crash Not Injured Count</t>
  </si>
  <si>
    <t>Crash Possible Injury Count</t>
  </si>
  <si>
    <t>Crash Non-Suspected Serious Injury Count</t>
  </si>
  <si>
    <t>Crash Suspected Serious Injury Count</t>
  </si>
  <si>
    <t>Crash Death Count</t>
  </si>
  <si>
    <t>Intersection Related</t>
  </si>
  <si>
    <t>First Harmful Event</t>
  </si>
  <si>
    <t>NON INTERSECTION</t>
  </si>
  <si>
    <t>MOTOR VEHICLE IN TRANSPORT</t>
  </si>
  <si>
    <t>INTERSECTION RELATED</t>
  </si>
  <si>
    <t>DRIVEWAY ACCESS</t>
  </si>
  <si>
    <t>INTERSECTION</t>
  </si>
  <si>
    <t>OVERTURNED</t>
  </si>
  <si>
    <t>FIXED OBJECT</t>
  </si>
  <si>
    <t>OTHER OBJECT</t>
  </si>
  <si>
    <t>ANIMAL</t>
  </si>
  <si>
    <t>OTHER NON COLLISION</t>
  </si>
  <si>
    <t>PARKED CAR</t>
  </si>
  <si>
    <t>PEDESTRIAN</t>
  </si>
  <si>
    <t>P_auto</t>
  </si>
  <si>
    <t>P_Bicycle</t>
  </si>
  <si>
    <t>P_Walk</t>
  </si>
  <si>
    <t>Walk_VMT_Reduction</t>
  </si>
  <si>
    <t>Bike_VMT_Reduction</t>
  </si>
  <si>
    <t>Total_VMT_Reduction</t>
  </si>
  <si>
    <t>Total</t>
  </si>
  <si>
    <t>Total_auto</t>
  </si>
  <si>
    <t>Total_Bicycle</t>
  </si>
  <si>
    <t>Total_Walk</t>
  </si>
  <si>
    <t>Total_4mile</t>
  </si>
  <si>
    <t>Total_3mile</t>
  </si>
  <si>
    <t>Total_2mile</t>
  </si>
  <si>
    <t>Total_1mile</t>
  </si>
  <si>
    <t>Total_05mile</t>
  </si>
  <si>
    <t>Walk_Potential_Person</t>
  </si>
  <si>
    <t>bike_Potential_Person</t>
  </si>
  <si>
    <t>Walk_Mode_Shift_Person</t>
  </si>
  <si>
    <t>Bike_Mode_Shift_Person</t>
  </si>
  <si>
    <t>Walk_Potential_Trip</t>
  </si>
  <si>
    <t>bike_Potential_Trip</t>
  </si>
  <si>
    <t>Walk_Mode_Shift_Trip</t>
  </si>
  <si>
    <t>Bike_Mode_Shift_Trip</t>
  </si>
  <si>
    <t>&lt;Null&gt;</t>
  </si>
  <si>
    <t>Benefit-Cost Analysis Spreadsheet Template</t>
  </si>
  <si>
    <t>---------------------------------------------------------------------------------------------------------------------------------------------------------------------------------------------------------------</t>
  </si>
  <si>
    <t>What is the USDOT Benefit-Cost Analysis Spreadsheet Template?</t>
  </si>
  <si>
    <t xml:space="preserve">The USDOT Benefit-Cost Analysis Spreadsheet Template is being offered as a resource to applicants to help them get started on their BCA. Applicants are NOT required to use this template, it is simply offered as a convenience. </t>
  </si>
  <si>
    <t>-------------------------------------------------------------------------------------------------------------------------------------------------------------------------------------------------------------</t>
  </si>
  <si>
    <t>What You Need</t>
  </si>
  <si>
    <t>•	  Understanding of the project and the problem it is intended to solve.</t>
  </si>
  <si>
    <t>•	  The estimated costs of the project.</t>
  </si>
  <si>
    <t>•	  Information needed to estimate the benefits of the project (e.g., number users, baseline conditions, measures of effectiveness, expected service life).</t>
  </si>
  <si>
    <t>Notes</t>
  </si>
  <si>
    <r>
      <t xml:space="preserve">• </t>
    </r>
    <r>
      <rPr>
        <b/>
        <sz val="11"/>
        <rFont val="Aptos Narrow"/>
        <family val="2"/>
        <scheme val="minor"/>
      </rPr>
      <t>Input, Optional, and No-Input cells.</t>
    </r>
  </si>
  <si>
    <r>
      <t xml:space="preserve">      o Green, </t>
    </r>
    <r>
      <rPr>
        <b/>
        <sz val="11"/>
        <rFont val="Aptos Narrow"/>
        <family val="2"/>
        <scheme val="minor"/>
      </rPr>
      <t>bold</t>
    </r>
    <r>
      <rPr>
        <sz val="11"/>
        <rFont val="Aptos Narrow"/>
        <family val="2"/>
        <scheme val="minor"/>
      </rPr>
      <t xml:space="preserve">, and </t>
    </r>
    <r>
      <rPr>
        <u/>
        <sz val="11"/>
        <rFont val="Aptos Narrow"/>
        <family val="2"/>
        <scheme val="minor"/>
      </rPr>
      <t>underlined</t>
    </r>
    <r>
      <rPr>
        <sz val="11"/>
        <rFont val="Aptos Narrow"/>
        <family val="2"/>
        <scheme val="minor"/>
      </rPr>
      <t xml:space="preserve"> cells represent user input cells. These cells are available for input from the user.</t>
    </r>
  </si>
  <si>
    <r>
      <t xml:space="preserve">      o Blue and </t>
    </r>
    <r>
      <rPr>
        <i/>
        <sz val="11"/>
        <rFont val="Aptos Narrow"/>
        <family val="2"/>
        <scheme val="minor"/>
      </rPr>
      <t xml:space="preserve">italic </t>
    </r>
    <r>
      <rPr>
        <sz val="11"/>
        <rFont val="Aptos Narrow"/>
        <family val="2"/>
        <scheme val="minor"/>
      </rPr>
      <t>cells represent cells where the user may want to edit the formula depending on their project details</t>
    </r>
  </si>
  <si>
    <t xml:space="preserve">      o Gray and plain text cells represent a cell that does not require user input, and should not be edited.</t>
  </si>
  <si>
    <r>
      <t xml:space="preserve">•  	</t>
    </r>
    <r>
      <rPr>
        <b/>
        <sz val="11"/>
        <rFont val="Aptos Narrow"/>
        <family val="2"/>
        <scheme val="minor"/>
      </rPr>
      <t xml:space="preserve">Build vs No Build. </t>
    </r>
    <r>
      <rPr>
        <sz val="11"/>
        <rFont val="Aptos Narrow"/>
        <family val="2"/>
        <scheme val="minor"/>
      </rPr>
      <t>If you only have data for the difference between the Build and No Build scenarios, enter this data into the "Build" column and leave the "No Build" values at $0. This will still appropriately estimate the benefit</t>
    </r>
  </si>
  <si>
    <r>
      <t xml:space="preserve">•  	</t>
    </r>
    <r>
      <rPr>
        <b/>
        <sz val="11"/>
        <rFont val="Aptos Narrow"/>
        <family val="2"/>
        <scheme val="minor"/>
      </rPr>
      <t xml:space="preserve">Deleting a Tab. </t>
    </r>
    <r>
      <rPr>
        <sz val="11"/>
        <rFont val="Aptos Narrow"/>
        <family val="2"/>
        <scheme val="minor"/>
      </rPr>
      <t>Do not delete tabs. If a tab is not needed, simply skip it.</t>
    </r>
  </si>
  <si>
    <t>Select Project:</t>
  </si>
  <si>
    <t xml:space="preserve"> </t>
  </si>
  <si>
    <t>Capital Cost</t>
  </si>
  <si>
    <t>Project Information/Traffic Data</t>
  </si>
  <si>
    <t>Maintenance Costs</t>
  </si>
  <si>
    <t>Safety</t>
  </si>
  <si>
    <t>Travel Time Savings</t>
  </si>
  <si>
    <t>Health and Bike/Ped Amenity</t>
  </si>
  <si>
    <t>Benefits</t>
  </si>
  <si>
    <t>Results</t>
  </si>
  <si>
    <t xml:space="preserve">No Build Project Length </t>
  </si>
  <si>
    <t>Build Project Length</t>
  </si>
  <si>
    <t>Base Year AADT</t>
  </si>
  <si>
    <t>Base Year Truck AADT</t>
  </si>
  <si>
    <t>Non-Intersection Related Motorist No Injuries</t>
  </si>
  <si>
    <t>Non-Intersection Related Motorist Possible Injuries</t>
  </si>
  <si>
    <t>Non-Intersection Related Motorist  Non-Serious Injuries</t>
  </si>
  <si>
    <t>Non-Intersection Related Motorist Serious Injuries</t>
  </si>
  <si>
    <t>Non-Intersection Related Motorist Fatalities</t>
  </si>
  <si>
    <t>Intersection Related Motorist No Injuries</t>
  </si>
  <si>
    <t xml:space="preserve">Intersection Related Motorist Possible Injuries </t>
  </si>
  <si>
    <t xml:space="preserve">Intersection Related Motorist  Non-Serious Injuries </t>
  </si>
  <si>
    <t xml:space="preserve">Intersection Related Motorist Serious Injuries </t>
  </si>
  <si>
    <t xml:space="preserve">Intersection Related Motorist Fatalities </t>
  </si>
  <si>
    <t>Bike/Ped No Injuries</t>
  </si>
  <si>
    <t>Bike/Ped Possible Injuries</t>
  </si>
  <si>
    <t>Bike/Ped Non-Serious Injuries</t>
  </si>
  <si>
    <t>Bike/Ped Serious Injuries</t>
  </si>
  <si>
    <t>Bike/Ped Fatalities</t>
  </si>
  <si>
    <t>Daily Bike/Ped Trips</t>
  </si>
  <si>
    <t>No Build Peak Period (6AM-9AM + 3PM-7PM) Average Speed</t>
  </si>
  <si>
    <t>No Build Peak Period (6AM-9AM + 3PM-7PM) Volume</t>
  </si>
  <si>
    <t>Improvement Types</t>
  </si>
  <si>
    <t>Is New Roadway</t>
  </si>
  <si>
    <t>Estimated Time Saved Per Trip After New Roadway Construction (min)</t>
  </si>
  <si>
    <t>Base Year Daily Walking Trips</t>
  </si>
  <si>
    <t>Base Year Daily Cycling Trips</t>
  </si>
  <si>
    <t>Operation and Maintenance Cost (discounted)</t>
  </si>
  <si>
    <t>Safety Benefit (discounted)</t>
  </si>
  <si>
    <t>Travel Time Savings (discounted)</t>
  </si>
  <si>
    <t>Emission Reduction Benefit (discounted)</t>
  </si>
  <si>
    <t>Vehicle Operating Cost Savings (discounted)</t>
  </si>
  <si>
    <t>Other Highway Use Externalities (discounted)</t>
  </si>
  <si>
    <t>Bike/Ped Amenity (discounted)</t>
  </si>
  <si>
    <t>Health (discounted)</t>
  </si>
  <si>
    <t>Residual Value (discounted)</t>
  </si>
  <si>
    <t>Total Discounted Benefits</t>
  </si>
  <si>
    <t>Total Discounted Costs</t>
  </si>
  <si>
    <t>Net Present Value</t>
  </si>
  <si>
    <t>Benefit Cost Ratio</t>
  </si>
  <si>
    <t>Score</t>
  </si>
  <si>
    <t>Drainage Benefits</t>
  </si>
  <si>
    <t>Final BCR</t>
  </si>
  <si>
    <t>Summary by Benefit Area</t>
  </si>
  <si>
    <t>Note that not all projects will have all benefit categories. Conversely, if more categories are needed, applicants may need to add additional columns, but be sure to edit the formula under "Total Benefits" to ensure all benefits are being correctly summed.</t>
  </si>
  <si>
    <t>-</t>
  </si>
  <si>
    <t>Summary of Benefits</t>
  </si>
  <si>
    <t>Year</t>
  </si>
  <si>
    <t>Operations and Maintenance</t>
  </si>
  <si>
    <t>Vehicle Operating Cost Savings</t>
  </si>
  <si>
    <t>Non-CO2 Emission Reduction</t>
  </si>
  <si>
    <t>CO2 Emission Reduction</t>
  </si>
  <si>
    <t>Avoided Highway Externality</t>
  </si>
  <si>
    <t>Amenity Benefits</t>
  </si>
  <si>
    <t>Health Benefits</t>
  </si>
  <si>
    <t>Residual Value</t>
  </si>
  <si>
    <t>Total Benefits</t>
  </si>
  <si>
    <t>Undiscounted Total</t>
  </si>
  <si>
    <t>Discounted Total</t>
  </si>
  <si>
    <t>Summary of Costs</t>
  </si>
  <si>
    <t>Discounted Capital Cost</t>
  </si>
  <si>
    <t>Benefit Cost Analysis Results</t>
  </si>
  <si>
    <t>BCA Results</t>
  </si>
  <si>
    <t>Category</t>
  </si>
  <si>
    <t>Value</t>
  </si>
  <si>
    <t>User Volumes</t>
  </si>
  <si>
    <t>This is an optional sheet to aid in displaying user volumes, note that it does not automatically link to any other sheet and is provided for convenience and organizational purposes.</t>
  </si>
  <si>
    <t>Users can use whichever units are of interest to their application (for example: number of users, average annual daily traffic, person miles traveled, vehicle miles traveled).</t>
  </si>
  <si>
    <t xml:space="preserve">Users are free to use only the necessary columns for their application and/or to add additional columns as necessary. </t>
  </si>
  <si>
    <t>If you do not wish to use this sheet, simply leave the values blank and move on to the next sheet.</t>
  </si>
  <si>
    <t>Table 1. Volumes by Mode</t>
  </si>
  <si>
    <t>Vehicles</t>
  </si>
  <si>
    <t>Trucks</t>
  </si>
  <si>
    <t>Pedestrians</t>
  </si>
  <si>
    <t>Cyclists</t>
  </si>
  <si>
    <t>Trains</t>
  </si>
  <si>
    <t>[Other Modes]</t>
  </si>
  <si>
    <t>Workspace - Applicants may create new sheets for more space</t>
  </si>
  <si>
    <t>No Build</t>
  </si>
  <si>
    <t>Build</t>
  </si>
  <si>
    <t>Capital Costs</t>
  </si>
  <si>
    <t>Annual Inflation Rate Used to Convert Constant Dollars to Year-of-Expenditure Dollars</t>
  </si>
  <si>
    <t>Estimated Total Costs (in 2022 $)</t>
  </si>
  <si>
    <t>Capital Cost in Year-of-Expenditure Dollars</t>
  </si>
  <si>
    <t>Cost in Constant Dollars (2022 $)</t>
  </si>
  <si>
    <t>Workspace</t>
  </si>
  <si>
    <t>Project ID:</t>
  </si>
  <si>
    <t>&lt;-Total capital cost in 2022 dollar</t>
  </si>
  <si>
    <t>Operations and Maintenance Costs</t>
  </si>
  <si>
    <t>Operations and Maintenance Savings</t>
  </si>
  <si>
    <t>No Build Operations and Maintenance Costs</t>
  </si>
  <si>
    <t>Build Operations and Maintenance Costs</t>
  </si>
  <si>
    <t>Net Change in Operations and Maintenance Costs</t>
  </si>
  <si>
    <t>Annual Maintenance Cost (no build):</t>
  </si>
  <si>
    <t>Annual Maintenance cost (build):</t>
  </si>
  <si>
    <t>Total:</t>
  </si>
  <si>
    <t>Discounted Total:</t>
  </si>
  <si>
    <t>Recommended Monetization Values</t>
  </si>
  <si>
    <t>KABCO Level</t>
  </si>
  <si>
    <t>O - No Injury</t>
  </si>
  <si>
    <t>C - Possible Injury</t>
  </si>
  <si>
    <t>B - Non-incapacitating</t>
  </si>
  <si>
    <t>A - Incapacitating</t>
  </si>
  <si>
    <t>K - Killed</t>
  </si>
  <si>
    <t>U - Injured (Severity Unknown)</t>
  </si>
  <si>
    <t>Crash Type</t>
  </si>
  <si>
    <t>PDO Crash</t>
  </si>
  <si>
    <t>Injury Crash</t>
  </si>
  <si>
    <t>Fatal Crash</t>
  </si>
  <si>
    <t>Safety Benefits</t>
  </si>
  <si>
    <t>No Build Safety Costs</t>
  </si>
  <si>
    <t>Build Safety Costs</t>
  </si>
  <si>
    <t>Project Length (no build):</t>
  </si>
  <si>
    <t xml:space="preserve">Base Year AADT: </t>
  </si>
  <si>
    <t>Growth Rate:</t>
  </si>
  <si>
    <t>Opening Year AADT (no build):</t>
  </si>
  <si>
    <t>Opening Year Annual VMT (no build):</t>
  </si>
  <si>
    <t>Base Year Daily Bike/Ped Trips:</t>
  </si>
  <si>
    <t>Bike/Ped Growth Rate:</t>
  </si>
  <si>
    <t>No Build Daily Bike/Ped Trips (year open to traffic):</t>
  </si>
  <si>
    <t>Build Daily Bike/Ped Trips (year open to traffic):</t>
  </si>
  <si>
    <t>CRF</t>
  </si>
  <si>
    <t>% After Reduction</t>
  </si>
  <si>
    <t>Service Year</t>
  </si>
  <si>
    <t>Preventable Crash types</t>
  </si>
  <si>
    <t>Improvement Type</t>
  </si>
  <si>
    <t xml:space="preserve">Total </t>
  </si>
  <si>
    <t>Combined CRF (Year Open to Traffic)</t>
  </si>
  <si>
    <t>Non-Intersection related (Roadway Related)</t>
  </si>
  <si>
    <r>
      <t>&lt;-Combined CRF is calculated as 1 minus the product of (1 - CRF</t>
    </r>
    <r>
      <rPr>
        <vertAlign val="subscript"/>
        <sz val="11"/>
        <color theme="1"/>
        <rFont val="Aptos Narrow"/>
        <family val="2"/>
        <scheme val="minor"/>
      </rPr>
      <t>i</t>
    </r>
    <r>
      <rPr>
        <sz val="11"/>
        <color theme="1"/>
        <rFont val="Aptos Narrow"/>
        <family val="2"/>
        <scheme val="minor"/>
      </rPr>
      <t>) for all CRF</t>
    </r>
    <r>
      <rPr>
        <vertAlign val="subscript"/>
        <sz val="11"/>
        <color theme="1"/>
        <rFont val="Aptos Narrow"/>
        <family val="2"/>
        <scheme val="minor"/>
      </rPr>
      <t>i</t>
    </r>
    <r>
      <rPr>
        <sz val="11"/>
        <color theme="1"/>
        <rFont val="Aptos Narrow"/>
        <family val="2"/>
        <scheme val="minor"/>
      </rPr>
      <t xml:space="preserve"> that matchs the preventable crashes</t>
    </r>
  </si>
  <si>
    <t>Pedestrian, Cyclist</t>
  </si>
  <si>
    <t>Non-intersection Related Motorist</t>
  </si>
  <si>
    <t>Crash Count 2019-2023</t>
  </si>
  <si>
    <t>Avg Crash Rate</t>
  </si>
  <si>
    <t>Estimated No Build Annual Crashes (year open to traffic)</t>
  </si>
  <si>
    <t>Reduced Number of Crashes (Year Open to Traffic)</t>
  </si>
  <si>
    <t>Safety Savings  (Year Open to Traffic)</t>
  </si>
  <si>
    <t>Sub Total</t>
  </si>
  <si>
    <t>Intersection Related Motorist</t>
  </si>
  <si>
    <t>Safety Savings (Year Open to Traffic)</t>
  </si>
  <si>
    <t>Bike/ Ped Related</t>
  </si>
  <si>
    <t>Avg Crash Rate *</t>
  </si>
  <si>
    <t>* For crashes related to bike/ped, the crash rate is calculated as crashes per 1 million bike/ped trips instead of crashes per 100 million VMT</t>
  </si>
  <si>
    <t>Non-Intersection Related Motorist Crash Savings</t>
  </si>
  <si>
    <t>Intersection Related Motorist Crash Savings</t>
  </si>
  <si>
    <t>Bike/Ped Crash Savings</t>
  </si>
  <si>
    <t>The safety savings in each year is the sum of product of preventable crashes and the corresponding combined CRF in that year and corresponding monetization factors.</t>
  </si>
  <si>
    <t>In a given year, if an improvement's service life is expired, it is excluded from the calculation of combined CRF</t>
  </si>
  <si>
    <t>For the bike and pedestrian crash savings, the reduced number of crashes are calculated as the no build preventable crashes minus estimated build number of crashes which incorporates induced bike and pedestrain trips</t>
  </si>
  <si>
    <t>Hourly Value (2022 $)</t>
  </si>
  <si>
    <t>Personal</t>
  </si>
  <si>
    <t>Business</t>
  </si>
  <si>
    <t>All Purpose</t>
  </si>
  <si>
    <t>Walking, Cycling, Waiting, Standing, and Transfer Time</t>
  </si>
  <si>
    <t>Commercial Vehicle Operators</t>
  </si>
  <si>
    <t>Truck Drivers</t>
  </si>
  <si>
    <t>Bus Drivers</t>
  </si>
  <si>
    <t>Transit Rail Operators</t>
  </si>
  <si>
    <t>Locomotive Engineers</t>
  </si>
  <si>
    <t>No Build Travel Time Costs</t>
  </si>
  <si>
    <t>Build Travel Time Costs</t>
  </si>
  <si>
    <t>Travel Time Benefits</t>
  </si>
  <si>
    <t>No Build Project Length:</t>
  </si>
  <si>
    <t>Free Flow Speed (mph):</t>
  </si>
  <si>
    <t>Peak Period Avg. Speed (No Build) (mph):</t>
  </si>
  <si>
    <t>No Build Peak Period Volume (year open to traffic):</t>
  </si>
  <si>
    <t>Is New Roadway:</t>
  </si>
  <si>
    <t>Time Saved per Trip After New Roadway Construction (min):</t>
  </si>
  <si>
    <t>Estimated Delay Reductions (in %)</t>
  </si>
  <si>
    <t>Combined Reduction Rate:</t>
  </si>
  <si>
    <r>
      <t>&lt;-Combined reduction rate is calculated as 1 minus the product of (1 - R</t>
    </r>
    <r>
      <rPr>
        <vertAlign val="subscript"/>
        <sz val="11"/>
        <color theme="1"/>
        <rFont val="Aptos Narrow"/>
        <family val="2"/>
        <scheme val="minor"/>
      </rPr>
      <t>i</t>
    </r>
    <r>
      <rPr>
        <sz val="11"/>
        <color theme="1"/>
        <rFont val="Aptos Narrow"/>
        <family val="2"/>
        <scheme val="minor"/>
      </rPr>
      <t>) for R</t>
    </r>
    <r>
      <rPr>
        <vertAlign val="subscript"/>
        <sz val="11"/>
        <color theme="1"/>
        <rFont val="Aptos Narrow"/>
        <family val="2"/>
        <scheme val="minor"/>
      </rPr>
      <t xml:space="preserve">i </t>
    </r>
    <r>
      <rPr>
        <sz val="11"/>
        <color theme="1"/>
        <rFont val="Aptos Narrow"/>
        <family val="2"/>
        <scheme val="minor"/>
      </rPr>
      <t xml:space="preserve">of all improvement types  </t>
    </r>
  </si>
  <si>
    <t>Vehicle Type</t>
  </si>
  <si>
    <t>Peak Period Delay Reduced  (Year Open to Traffic):</t>
  </si>
  <si>
    <t>Person Hours Reduced  (Year Open to Traffic):</t>
  </si>
  <si>
    <t>Travel Time Savings (Year Open to Traffic):</t>
  </si>
  <si>
    <t>If is new roadway</t>
  </si>
  <si>
    <t>Emissions Reduction</t>
  </si>
  <si>
    <t>Emission Costs per VMT and Train-Hour</t>
  </si>
  <si>
    <t>Vehicle Type and Location</t>
  </si>
  <si>
    <t>Recommended Value per Mile (2022 $)</t>
  </si>
  <si>
    <r>
      <t>Non-CO</t>
    </r>
    <r>
      <rPr>
        <vertAlign val="subscript"/>
        <sz val="11"/>
        <color theme="1"/>
        <rFont val="Aptos Narrow"/>
        <family val="2"/>
        <scheme val="minor"/>
      </rPr>
      <t>2</t>
    </r>
    <r>
      <rPr>
        <sz val="11"/>
        <color theme="1"/>
        <rFont val="Aptos Narrow"/>
        <family val="2"/>
        <scheme val="minor"/>
      </rPr>
      <t xml:space="preserve"> Emissions</t>
    </r>
  </si>
  <si>
    <r>
      <t>CO</t>
    </r>
    <r>
      <rPr>
        <vertAlign val="subscript"/>
        <sz val="11"/>
        <color theme="1"/>
        <rFont val="Aptos Narrow"/>
        <family val="2"/>
        <scheme val="minor"/>
      </rPr>
      <t>2</t>
    </r>
    <r>
      <rPr>
        <sz val="11"/>
        <color theme="1"/>
        <rFont val="Aptos Narrow"/>
        <family val="2"/>
        <scheme val="minor"/>
      </rPr>
      <t xml:space="preserve"> Emissions</t>
    </r>
  </si>
  <si>
    <t>Light-Duty Vehicles - Urban</t>
  </si>
  <si>
    <t>*</t>
  </si>
  <si>
    <t>Light-Duty Vehicles - Rural</t>
  </si>
  <si>
    <t>Light-Duty Vehicles – All Locations</t>
  </si>
  <si>
    <t>Buses and Trucks - Urban</t>
  </si>
  <si>
    <t>Buses and Trucks - Rural</t>
  </si>
  <si>
    <t>Buses and Trucks – All Locations</t>
  </si>
  <si>
    <t>All Vehicles - Urban</t>
  </si>
  <si>
    <t>All Vehicles - Rural</t>
  </si>
  <si>
    <t>All Vehicles – All Locations</t>
  </si>
  <si>
    <t>Train and Movement Type</t>
  </si>
  <si>
    <t>Recommended Value per Hour (2022 $)</t>
  </si>
  <si>
    <t>Idling</t>
  </si>
  <si>
    <t>Freight Train</t>
  </si>
  <si>
    <t>Commuter Train</t>
  </si>
  <si>
    <t>Amtrak Long-Distance</t>
  </si>
  <si>
    <t>Amtrak State-Supported</t>
  </si>
  <si>
    <t>Hauling</t>
  </si>
  <si>
    <t>Emissions</t>
  </si>
  <si>
    <r>
      <t>NO</t>
    </r>
    <r>
      <rPr>
        <vertAlign val="subscript"/>
        <sz val="11"/>
        <color theme="0"/>
        <rFont val="Aptos Narrow"/>
        <family val="2"/>
        <scheme val="minor"/>
      </rPr>
      <t>x</t>
    </r>
  </si>
  <si>
    <t>VOC</t>
  </si>
  <si>
    <r>
      <t>SO</t>
    </r>
    <r>
      <rPr>
        <vertAlign val="subscript"/>
        <sz val="11"/>
        <color theme="0"/>
        <rFont val="Aptos Narrow"/>
        <family val="2"/>
        <scheme val="minor"/>
      </rPr>
      <t>x</t>
    </r>
  </si>
  <si>
    <r>
      <t>PM</t>
    </r>
    <r>
      <rPr>
        <vertAlign val="subscript"/>
        <sz val="11"/>
        <color theme="0"/>
        <rFont val="Aptos Narrow"/>
        <family val="2"/>
        <scheme val="minor"/>
      </rPr>
      <t>2.5</t>
    </r>
  </si>
  <si>
    <r>
      <t>CO</t>
    </r>
    <r>
      <rPr>
        <vertAlign val="subscript"/>
        <sz val="11"/>
        <color theme="0"/>
        <rFont val="Aptos Narrow"/>
        <family val="2"/>
        <scheme val="minor"/>
      </rPr>
      <t>2</t>
    </r>
  </si>
  <si>
    <r>
      <t>Total Non-CO</t>
    </r>
    <r>
      <rPr>
        <vertAlign val="subscript"/>
        <sz val="11"/>
        <color theme="0"/>
        <rFont val="Aptos Narrow"/>
        <family val="2"/>
        <scheme val="minor"/>
      </rPr>
      <t>2</t>
    </r>
    <r>
      <rPr>
        <sz val="11"/>
        <color theme="0"/>
        <rFont val="Aptos Narrow"/>
        <family val="2"/>
        <scheme val="minor"/>
      </rPr>
      <t xml:space="preserve"> Emission Reduction Savings ($)</t>
    </r>
  </si>
  <si>
    <r>
      <t>Total CO</t>
    </r>
    <r>
      <rPr>
        <vertAlign val="subscript"/>
        <sz val="11"/>
        <color theme="0"/>
        <rFont val="Aptos Narrow"/>
        <family val="2"/>
        <scheme val="minor"/>
      </rPr>
      <t>2</t>
    </r>
    <r>
      <rPr>
        <sz val="11"/>
        <color theme="0"/>
        <rFont val="Aptos Narrow"/>
        <family val="2"/>
        <scheme val="minor"/>
      </rPr>
      <t xml:space="preserve"> Emission Reduction Savings ($)</t>
    </r>
  </si>
  <si>
    <t xml:space="preserve">Workspace </t>
  </si>
  <si>
    <t>County:</t>
  </si>
  <si>
    <t>Facility Type:</t>
  </si>
  <si>
    <t>Build Porject Length:</t>
  </si>
  <si>
    <t>Base Year AADT:</t>
  </si>
  <si>
    <t>No Build AADT (year open to traffic):</t>
  </si>
  <si>
    <t>No Build Truck Percentage:</t>
  </si>
  <si>
    <t>No Build Annual VMT (year open to traffic):</t>
  </si>
  <si>
    <t>Build Annual VMT (year open to traffic):</t>
  </si>
  <si>
    <t>Induced Annual Bike/Ped Trips (year open to traffic):</t>
  </si>
  <si>
    <t>Annual VMT Reduced (year open to traffic):</t>
  </si>
  <si>
    <t>&lt;-If there is a significant reduce in VMT, the reduced VMT can generate emission savings.</t>
  </si>
  <si>
    <t>Improvements may lead to reduced highway VMT, either through reduced travel distances or shifting passenger or freight to more efficient modes of transportation.</t>
  </si>
  <si>
    <t>Peak Period Avg. Running Speed Before Improvement  (mph):</t>
  </si>
  <si>
    <t>&lt;- Operational improvement</t>
  </si>
  <si>
    <t>Peak Period Avg. Running Speed After Improvement  (mph):</t>
  </si>
  <si>
    <t>Emission Type</t>
  </si>
  <si>
    <r>
      <t>NO</t>
    </r>
    <r>
      <rPr>
        <vertAlign val="subscript"/>
        <sz val="11"/>
        <color theme="0"/>
        <rFont val="Aptos Narrow"/>
        <family val="2"/>
        <scheme val="minor"/>
      </rPr>
      <t>X</t>
    </r>
  </si>
  <si>
    <r>
      <t>SO</t>
    </r>
    <r>
      <rPr>
        <vertAlign val="subscript"/>
        <sz val="11"/>
        <color theme="0"/>
        <rFont val="Aptos Narrow"/>
        <family val="2"/>
        <scheme val="minor"/>
      </rPr>
      <t>X</t>
    </r>
  </si>
  <si>
    <t>No Build Emission Factors (gms/mile)</t>
  </si>
  <si>
    <t>&lt;-No build emission factors for each type</t>
  </si>
  <si>
    <t>Build Emission Factors (gms/mile)</t>
  </si>
  <si>
    <t>&lt;- Emission factors in build scenario</t>
  </si>
  <si>
    <t>No Build Peak Period Emissions (Metric tons/year)</t>
  </si>
  <si>
    <t>&lt;-No build total emissions in metric tons per year, calculated as: 365 * No Build Emission Factor * Annual VMT</t>
  </si>
  <si>
    <t>Build Peak Period Emission (Metric tons/year)</t>
  </si>
  <si>
    <t>&lt;-Build total emissions in metric tons per year, calculated as: 365 * Build Emission Factor * Annual VMT</t>
  </si>
  <si>
    <t>The reductions in emissions may stem from operational improvements or investments in technologies (such as electrification) that reduce fuel usage.</t>
  </si>
  <si>
    <t>No Build Annual Idling Time (hours)</t>
  </si>
  <si>
    <t>&lt;- Estimated no build idling time</t>
  </si>
  <si>
    <t>Build Annual Idling Time (hours)</t>
  </si>
  <si>
    <t>&lt;- Estimated build idling time</t>
  </si>
  <si>
    <t>Idling Emission Factors (gms/hour)</t>
  </si>
  <si>
    <t>&lt;- Emission factors for idling time</t>
  </si>
  <si>
    <t>No Build Peak Annual Idling Emissions (metric tons/year)</t>
  </si>
  <si>
    <t>&lt;- No build idling time</t>
  </si>
  <si>
    <t>Build Peak Annual Idling Emission (metric tons/year)</t>
  </si>
  <si>
    <t>&lt;- Build idling time</t>
  </si>
  <si>
    <t>Heavy Diesel Truck Idling Emission Factors (gms/hour)</t>
  </si>
  <si>
    <t>No Build Peak Annual Truck Idling Emissions (metric tons/year)</t>
  </si>
  <si>
    <t>Build Peak Annual Truck Idling Emission (metric tons/year)</t>
  </si>
  <si>
    <t>Reduced Start Emission (metric ton/year)</t>
  </si>
  <si>
    <r>
      <t>Build Non-CO</t>
    </r>
    <r>
      <rPr>
        <vertAlign val="subscript"/>
        <sz val="11"/>
        <color theme="0"/>
        <rFont val="Aptos Narrow"/>
        <family val="2"/>
        <scheme val="minor"/>
      </rPr>
      <t>2</t>
    </r>
    <r>
      <rPr>
        <sz val="11"/>
        <color theme="0"/>
        <rFont val="Aptos Narrow"/>
        <family val="2"/>
        <scheme val="minor"/>
      </rPr>
      <t xml:space="preserve"> Emission Savings From Reduced VMT ($)</t>
    </r>
  </si>
  <si>
    <r>
      <t>Build CO</t>
    </r>
    <r>
      <rPr>
        <vertAlign val="subscript"/>
        <sz val="11"/>
        <color theme="0"/>
        <rFont val="Aptos Narrow"/>
        <family val="2"/>
        <scheme val="minor"/>
      </rPr>
      <t>2</t>
    </r>
    <r>
      <rPr>
        <sz val="11"/>
        <color theme="0"/>
        <rFont val="Aptos Narrow"/>
        <family val="2"/>
        <scheme val="minor"/>
      </rPr>
      <t xml:space="preserve"> Emission Savings From Reduced VMT ($)</t>
    </r>
  </si>
  <si>
    <t>Vehicle Operating Costs</t>
  </si>
  <si>
    <t>Light Duty Vehicles</t>
  </si>
  <si>
    <t>Commercial Trucks</t>
  </si>
  <si>
    <t>Operating Costs</t>
  </si>
  <si>
    <t>All Movements</t>
  </si>
  <si>
    <t>Freight Railcar</t>
  </si>
  <si>
    <t>No Build Vehicle Operating Costs</t>
  </si>
  <si>
    <t>Build Vehicle Operating Costs</t>
  </si>
  <si>
    <t>No Build VMT (year open to traffic)</t>
  </si>
  <si>
    <t>Build VMT (year open to traffic)</t>
  </si>
  <si>
    <t>Reduced VMT (year open to traffic)</t>
  </si>
  <si>
    <t>Total Cost Saving (year open to traffic)</t>
  </si>
  <si>
    <t>The template will calculate the vehicle operating cost savings based on the reduced VMTs.</t>
  </si>
  <si>
    <t>Other Highway Use Externalities</t>
  </si>
  <si>
    <t>Congestion Cost per VMT</t>
  </si>
  <si>
    <t>Noise Cost per VMT</t>
  </si>
  <si>
    <t>Safety Cost per VMT</t>
  </si>
  <si>
    <t>Avoided Externality Benefits</t>
  </si>
  <si>
    <t>Avoided Externalities</t>
  </si>
  <si>
    <t xml:space="preserve">Project ID: </t>
  </si>
  <si>
    <t>Annual VMT Reduction (year open to traffic)</t>
  </si>
  <si>
    <t>Avoided Externalities (year open to traffic)</t>
  </si>
  <si>
    <t>Fill the above table based on the data available. Fill only one section to avoid double counting.</t>
  </si>
  <si>
    <t>It calculates the total annual VMT reduced for all types of vehicles and locations by default.</t>
  </si>
  <si>
    <t>If any detailed value presents in the other sections, the total VMT will be 0 to avoid double counting.</t>
  </si>
  <si>
    <t xml:space="preserve">For recommended monetization values, please refer to the Parameter Values tab directly. </t>
  </si>
  <si>
    <t>There are numerous potential values for pedestrian facilities, bicycle facilities, transit vehicles, and transit stations.</t>
  </si>
  <si>
    <t>Build Project Length (mile):</t>
  </si>
  <si>
    <t>Pedestrian Facility Benefit</t>
  </si>
  <si>
    <t>Service Life (years)</t>
  </si>
  <si>
    <t>Benefit Per Mile Walked</t>
  </si>
  <si>
    <t>Build Annual Miles Walked in Opening Year (existing users)</t>
  </si>
  <si>
    <t>Build Annual Miles Walked in Opening Year(new users)</t>
  </si>
  <si>
    <t>Opening Year Benefit</t>
  </si>
  <si>
    <t>Cycling Facility Benefit - Dedicated Bike Lane</t>
  </si>
  <si>
    <t>Add Bike Facility:</t>
  </si>
  <si>
    <t>Build Annual Cycling Miles in Opening Year (existing users)</t>
  </si>
  <si>
    <t>Build Annual Cycling Miles in Opening Year (new users)</t>
  </si>
  <si>
    <t>Mode</t>
  </si>
  <si>
    <t>Applicable Age Range</t>
  </si>
  <si>
    <t>Recommended Value per Induced Trip (2022 $)</t>
  </si>
  <si>
    <t>Walking</t>
  </si>
  <si>
    <t>Cycling</t>
  </si>
  <si>
    <t>Project  ID:</t>
  </si>
  <si>
    <t xml:space="preserve">Bike/Ped Growth Rate: </t>
  </si>
  <si>
    <t>Trips Meeting Criteria (year open to traffic)</t>
  </si>
  <si>
    <t>Mortality Reduction Benefit (Year Open to Traffic)</t>
  </si>
  <si>
    <t>Total Savings</t>
  </si>
  <si>
    <t>The induced trips in active transportation modes will first be converted to number of trips meeting criteria based on the instructions above.</t>
  </si>
  <si>
    <t>Then the trips meeting criteria will be converted to mortality reduction savings.</t>
  </si>
  <si>
    <t xml:space="preserve">All values entered into input cells in this sheet should be entered as undiscounted 2022 dollar values. The template will automatically apply discounting to all costs and benefits for you. </t>
  </si>
  <si>
    <t xml:space="preserve">To calculate overall residual value for the entire project automatically, simply enter a useful life in the first row of Table 1 below. </t>
  </si>
  <si>
    <t>If there are multiple distinct components with unique useful lives, use multiple rows as needed and override the formula and names in the input cells of Table 1 below.</t>
  </si>
  <si>
    <t>For projects that involve capacity expansion or represent purely operational improvements, no residual value should be assumed.</t>
  </si>
  <si>
    <t>Table 1. Useful Life</t>
  </si>
  <si>
    <t>Project Component</t>
  </si>
  <si>
    <t>Capital Cost (2022 $)</t>
  </si>
  <si>
    <t>Useful Life (Years)</t>
  </si>
  <si>
    <t>Discounted Residual Value</t>
  </si>
  <si>
    <t>Overall Project if One Component</t>
  </si>
  <si>
    <t>Total Residual Value</t>
  </si>
  <si>
    <t>To manually calculate the residual value, please enter your estimated value in the blue italicized cell below in lieu of the automatic calculation</t>
  </si>
  <si>
    <t>To remove the residual value, please enter "0" in the blue cell below in lieu of the automatic calculation</t>
  </si>
  <si>
    <t>Table 2. Residual Value</t>
  </si>
  <si>
    <t>Project Information</t>
  </si>
  <si>
    <t>Table 1. Project Information</t>
  </si>
  <si>
    <t>Variable</t>
  </si>
  <si>
    <t>First Year of Project Development/Construction</t>
  </si>
  <si>
    <t>&lt;-Assume all projects will be started in 2025</t>
  </si>
  <si>
    <t>Length of Construction/Project Development Period (in Years)</t>
  </si>
  <si>
    <t>Operational Period Length</t>
  </si>
  <si>
    <t>&lt;-Assume a 25-year analysis period. See USDOT BCA Guidance for discussion of how to determine the appropriate operational period length</t>
  </si>
  <si>
    <t>Final Analysis Year</t>
  </si>
  <si>
    <t>&lt;-Project ID for the project to be evaluated</t>
  </si>
  <si>
    <t>Project Length (no build)</t>
  </si>
  <si>
    <t>&lt;-The length of the segment of the project for no build</t>
  </si>
  <si>
    <t>Project Length (build)</t>
  </si>
  <si>
    <t>&lt;-The length of the segment of the project after build. Same as no build if no new roads or bypass constructed</t>
  </si>
  <si>
    <t xml:space="preserve">&lt;- Maximum volume of the links in H-GAC TDM along the project corridor </t>
  </si>
  <si>
    <t>&lt;-Calculated growth rate based on the 2022 volume and 2045 volume from H-GAC TDM , or AADT count from previous 10 years TCDS data. Manually adjusted to 2% if less than 2%.</t>
  </si>
  <si>
    <t>No Build AADT (year open to traffic)</t>
  </si>
  <si>
    <t>&lt;-Calculated AADT in the year open to traffic</t>
  </si>
  <si>
    <t>No Build Annual VMT (year open to traffic)</t>
  </si>
  <si>
    <t>&lt;-Calculated VMT based on the AADT and project length</t>
  </si>
  <si>
    <t>Build AADT (year open to traffic)</t>
  </si>
  <si>
    <t>&lt;-Calculated based on no build AADT and growth rates minus potential mode shift to bike/ped</t>
  </si>
  <si>
    <t>Build Annual VMT (year open to traffic)</t>
  </si>
  <si>
    <t>&lt;-Calculated based on build AADT and project length. Same as no build VMT if build AADT and project length are the same with no build.</t>
  </si>
  <si>
    <t>&lt;- Same as the vehicle volume growth rate if not specified</t>
  </si>
  <si>
    <t>&lt;- Base year daily walking trips from H-GAC ACE website (https://datalab.h-gac.com/ace/)</t>
  </si>
  <si>
    <t>&lt;- Installed or expanded sidewalk width (total width should not excced 30ft)</t>
  </si>
  <si>
    <t>No Build Daily Walking Trips (year open to traffic)</t>
  </si>
  <si>
    <t>&lt;-Calculated based on base year daily walking trips and growth rate</t>
  </si>
  <si>
    <t>Assumed Percentage Increase in Daily Walking Trips</t>
  </si>
  <si>
    <t>&lt;- https://ww2.arb.ca.gov/sites/default/files/2020-06/Impacts_of_Pedestrian_Strategies_on_Passenger_Vehicle_Use_and_Greenhouse_Gas_Emissions_Policy_Brief.pdf</t>
  </si>
  <si>
    <t>Induced Daily Walking Trips (year open to traffic)</t>
  </si>
  <si>
    <t>&lt;-Calculated based on base year daily trips and rowth rate</t>
  </si>
  <si>
    <t>Build Daily Walking Trips (year open to traffic)</t>
  </si>
  <si>
    <t>&lt;-The sum of existing walking trips and induced walking trips</t>
  </si>
  <si>
    <t>&lt;-Daily cycling trips with in 0.25 miles buffer from H-GAC ACE website (https://datalab.h-gac.com/ace/)</t>
  </si>
  <si>
    <t>No Build Daily Cycling Trips (year open to traffic)</t>
  </si>
  <si>
    <t>&lt;-Calculated based on base year daily cycling trips and growth rate</t>
  </si>
  <si>
    <t>Assumed Percentage Increase in Daily Biking Trips</t>
  </si>
  <si>
    <t>&lt;-Usually from 21% to 171% (https://nacto.org/2016/07/20/high-quality-bike-facilities-increase-ridership-make-biking-safer/)</t>
  </si>
  <si>
    <t>Induced Daily Cycling Trips (year open to traffic)</t>
  </si>
  <si>
    <t>&lt;-Calculated based on assumed induced  rate and estimated exsiting cycling trips in year open to traffic based on base year cycling trips and growth rate</t>
  </si>
  <si>
    <t>Build Daily Cycling Trips (year open to traffic)</t>
  </si>
  <si>
    <t>&lt;-The sum of existing cycling trips and induced cycling trips</t>
  </si>
  <si>
    <t>No Build Daily Bike/Ped Trips (year open to traffic)</t>
  </si>
  <si>
    <t>&lt;-The sum of no build walking and cycling trips</t>
  </si>
  <si>
    <t>Build Daily Bike/Ped Trips (year open to traffic)</t>
  </si>
  <si>
    <t>&lt;-The sum of build walking and cycling trips</t>
  </si>
  <si>
    <t>Reduced Annual VMT (year open to traffic)</t>
  </si>
  <si>
    <t>Parameter Values</t>
  </si>
  <si>
    <t>This sheet provides a copy of parameter and monetization values from Appendix A of the USDOT BCA Guidance, and is provided for convenience.</t>
  </si>
  <si>
    <t>Source: USDOT BCA Guidance (Appendix A)</t>
  </si>
  <si>
    <t>Table A-1a: Value of Reduced Fatalities, Injuries, and Crashes</t>
  </si>
  <si>
    <t>Monetized Value (2022 $)</t>
  </si>
  <si>
    <t>Table A-1b: Value of Reduced Fatal, Injury, and PDO Crashes</t>
  </si>
  <si>
    <t>Table A-2: Value of Travel Time Savings</t>
  </si>
  <si>
    <t>Recommended Hourly Values of Travel Time Savings</t>
  </si>
  <si>
    <t>(2022 $ per person-hour)</t>
  </si>
  <si>
    <t>Hourly Value</t>
  </si>
  <si>
    <t>General Travel Time</t>
  </si>
  <si>
    <r>
      <t>Personal</t>
    </r>
    <r>
      <rPr>
        <vertAlign val="superscript"/>
        <sz val="11"/>
        <color rgb="FF1F497D"/>
        <rFont val="Times New Roman"/>
        <family val="1"/>
      </rPr>
      <t>1</t>
    </r>
  </si>
  <si>
    <r>
      <t>Business</t>
    </r>
    <r>
      <rPr>
        <vertAlign val="superscript"/>
        <sz val="11"/>
        <color rgb="FF1F497D"/>
        <rFont val="Times New Roman"/>
        <family val="1"/>
      </rPr>
      <t>2</t>
    </r>
  </si>
  <si>
    <r>
      <t>All Purpose</t>
    </r>
    <r>
      <rPr>
        <vertAlign val="superscript"/>
        <sz val="11"/>
        <color rgb="FF1F497D"/>
        <rFont val="Times New Roman"/>
        <family val="1"/>
      </rPr>
      <t>3</t>
    </r>
  </si>
  <si>
    <r>
      <t>Walking, Cycling, Waiting, Standing, and Transfer Time</t>
    </r>
    <r>
      <rPr>
        <vertAlign val="superscript"/>
        <sz val="11"/>
        <color rgb="FF1F497D"/>
        <rFont val="Times New Roman"/>
        <family val="1"/>
      </rPr>
      <t>4</t>
    </r>
  </si>
  <si>
    <r>
      <t>Commercial Vehicle Operators</t>
    </r>
    <r>
      <rPr>
        <vertAlign val="superscript"/>
        <sz val="11"/>
        <color rgb="FF1F497D"/>
        <rFont val="Times New Roman"/>
        <family val="1"/>
      </rPr>
      <t>5</t>
    </r>
  </si>
  <si>
    <t>1)  Values for personal travel based on local travel values as described in USDOT’s Value of Travel Time guidance. Where applicants also have specific information on the mix of local versus long-distance travel (i.e., trips over 50 miles in length) on a facility, then the local travel values of time may be blended with the long-distance personal travel value of $25.10 per hour.</t>
  </si>
  <si>
    <t>2)  Weighted average based on a typical distribution of local travel by surface modes (88.2% personal, 11.8% business). Applicants should apply their own distribution of business versus personal travel where such information is available.</t>
  </si>
  <si>
    <t>3)  Note that business travel does not include commuting travel, which should be valued at the personal travel rate. Travel on high-speed rail service that would be competitive with air travel should be valued at $47.70 per hour for personal travel and $80.20 for business travel.</t>
  </si>
  <si>
    <t>4)  Should be applied only when actions affect those elements of travel time.</t>
  </si>
  <si>
    <t>5)  Includes only the value of time for the operator, not passengers or freight.</t>
  </si>
  <si>
    <t>Table A-3: Average Vehicle Occupancy Rates for Highway Passenger Vehicles</t>
  </si>
  <si>
    <t>Average Occupancy</t>
  </si>
  <si>
    <r>
      <t>Passenger Vehicles (Weekday Peak)</t>
    </r>
    <r>
      <rPr>
        <vertAlign val="superscript"/>
        <sz val="11"/>
        <color rgb="FF1F497D"/>
        <rFont val="Times New Roman"/>
        <family val="1"/>
      </rPr>
      <t>1</t>
    </r>
  </si>
  <si>
    <t>Passenger Vehicles (Weekday Off-Peak)</t>
  </si>
  <si>
    <t>Passenger Vehicles (Weekend)</t>
  </si>
  <si>
    <t>Passenger Vehicles (All Travel)</t>
  </si>
  <si>
    <t>1) Weekday peak period values calculated for trips starting between 6:00 AM-8:59 AM and 4:00 PM-6:59 PM.</t>
  </si>
  <si>
    <t>Table A-4: Vehicle Operating Costs</t>
  </si>
  <si>
    <r>
      <t>Light Duty Vehicles</t>
    </r>
    <r>
      <rPr>
        <vertAlign val="superscript"/>
        <sz val="11"/>
        <color theme="1"/>
        <rFont val="Times New Roman"/>
        <family val="1"/>
      </rPr>
      <t>1</t>
    </r>
  </si>
  <si>
    <r>
      <t>Commercial Trucks</t>
    </r>
    <r>
      <rPr>
        <vertAlign val="superscript"/>
        <sz val="11"/>
        <color theme="1"/>
        <rFont val="Times New Roman"/>
        <family val="1"/>
      </rPr>
      <t>2</t>
    </r>
  </si>
  <si>
    <t>1)  Based on an average light duty vehicle and includes operating costs such as gasoline, maintenance, tires, and depreciation (assuming an average of 15,000 miles driven per year). The value omits other ownership costs that are mostly fixed or transfers (insurance, license, registration, taxes, and financing charges).</t>
  </si>
  <si>
    <t>2)  Value includes fuel costs, truck/trailer lease or purchase payments, repair and maintenance, truck insurance premiums, permits and licenses, and tires. The value omits tolls (which are transfers), and driver wages and benefits (which are already included in the value of travel time savings).</t>
  </si>
  <si>
    <t>Table A-5: Train Operating and Social Costs</t>
  </si>
  <si>
    <r>
      <t>Operating Costs</t>
    </r>
    <r>
      <rPr>
        <vertAlign val="superscript"/>
        <sz val="11"/>
        <color theme="0"/>
        <rFont val="Times New Roman"/>
        <family val="1"/>
      </rPr>
      <t>1</t>
    </r>
  </si>
  <si>
    <r>
      <t>Non-CO</t>
    </r>
    <r>
      <rPr>
        <vertAlign val="subscript"/>
        <sz val="11"/>
        <color theme="0"/>
        <rFont val="Times New Roman"/>
        <family val="1"/>
      </rPr>
      <t>2</t>
    </r>
    <r>
      <rPr>
        <sz val="11"/>
        <color theme="0"/>
        <rFont val="Times New Roman"/>
        <family val="1"/>
      </rPr>
      <t xml:space="preserve"> Emission Costs</t>
    </r>
    <r>
      <rPr>
        <vertAlign val="superscript"/>
        <sz val="11"/>
        <color theme="0"/>
        <rFont val="Times New Roman"/>
        <family val="1"/>
      </rPr>
      <t>2</t>
    </r>
  </si>
  <si>
    <r>
      <t>CO</t>
    </r>
    <r>
      <rPr>
        <vertAlign val="subscript"/>
        <sz val="11"/>
        <color theme="0"/>
        <rFont val="Times New Roman"/>
        <family val="1"/>
      </rPr>
      <t>2</t>
    </r>
    <r>
      <rPr>
        <sz val="11"/>
        <color theme="0"/>
        <rFont val="Times New Roman"/>
        <family val="1"/>
      </rPr>
      <t xml:space="preserve"> Costs</t>
    </r>
    <r>
      <rPr>
        <vertAlign val="superscript"/>
        <sz val="11"/>
        <color theme="0"/>
        <rFont val="Times New Roman"/>
        <family val="1"/>
      </rPr>
      <t>2</t>
    </r>
  </si>
  <si>
    <t>1)  Includes fuel cost, depreciation, and labor cost which should be discounted at 3.1 percent.</t>
  </si>
  <si>
    <t>2)  Emissions are based on the current diesel-electric locomotive fleet average, and thus the emission values above should not be applied in cases where new locomotives are being acquired or in cases of electrified rail. The monetization applies the 2035-year emission value to approximate increasing emission damage costs over time. Non-CO2 emission costs should be discounted at 3.1 percent and CO2 emission costs should be discounted at 2.0 percent.</t>
  </si>
  <si>
    <t>Table A-6: Damage Costs for Emissions per Metric Ton*</t>
  </si>
  <si>
    <r>
      <t>NO</t>
    </r>
    <r>
      <rPr>
        <vertAlign val="subscript"/>
        <sz val="11"/>
        <color theme="0"/>
        <rFont val="Times New Roman"/>
        <family val="1"/>
      </rPr>
      <t>X</t>
    </r>
  </si>
  <si>
    <r>
      <t>SO</t>
    </r>
    <r>
      <rPr>
        <vertAlign val="subscript"/>
        <sz val="11"/>
        <color theme="0"/>
        <rFont val="Times New Roman"/>
        <family val="1"/>
      </rPr>
      <t>X</t>
    </r>
  </si>
  <si>
    <r>
      <t>PM</t>
    </r>
    <r>
      <rPr>
        <vertAlign val="subscript"/>
        <sz val="11"/>
        <color theme="0"/>
        <rFont val="Times New Roman"/>
        <family val="1"/>
      </rPr>
      <t>2.5</t>
    </r>
    <r>
      <rPr>
        <sz val="11"/>
        <color theme="0"/>
        <rFont val="Times New Roman"/>
        <family val="1"/>
      </rPr>
      <t>**</t>
    </r>
  </si>
  <si>
    <r>
      <t>CO</t>
    </r>
    <r>
      <rPr>
        <vertAlign val="subscript"/>
        <sz val="11"/>
        <color theme="0"/>
        <rFont val="Times New Roman"/>
        <family val="1"/>
      </rPr>
      <t>2</t>
    </r>
  </si>
  <si>
    <t>VOC/PM2.5 (2021 $)</t>
  </si>
  <si>
    <t>VOC/PM2.5 (2022 $) ***</t>
  </si>
  <si>
    <t>*Applicants should carefully note whether their emissions data is reported in short tons or metric tons. A metric ton is equal to 1.1023 short tons.</t>
  </si>
  <si>
    <r>
      <t>**Applicants should be careful to not apply the PM</t>
    </r>
    <r>
      <rPr>
        <vertAlign val="subscript"/>
        <sz val="11"/>
        <color rgb="FF1F497D"/>
        <rFont val="Times New Roman"/>
        <family val="1"/>
      </rPr>
      <t>2.5</t>
    </r>
    <r>
      <rPr>
        <sz val="11"/>
        <color rgb="FF1F497D"/>
        <rFont val="Times New Roman"/>
        <family val="1"/>
      </rPr>
      <t xml:space="preserve"> value to estimates of total emissions of PM</t>
    </r>
    <r>
      <rPr>
        <vertAlign val="subscript"/>
        <sz val="11"/>
        <color rgb="FF1F497D"/>
        <rFont val="Times New Roman"/>
        <family val="1"/>
      </rPr>
      <t>10</t>
    </r>
    <r>
      <rPr>
        <sz val="11"/>
        <color rgb="FF1F497D"/>
        <rFont val="Times New Roman"/>
        <family val="1"/>
      </rPr>
      <t>.</t>
    </r>
  </si>
  <si>
    <t>***Monetization values for VOC are not included in the 2024 USDOT BCA guidelines. The values here are adopted from H-GAC templates (https://www.h-gac.com/transportation-project-selection-process)and converted to 2022 dollar.</t>
  </si>
  <si>
    <t>Table A-7: Inflation Adjustment Values</t>
  </si>
  <si>
    <t>Base Year of Nominal Dollar</t>
  </si>
  <si>
    <t>Multiplier to Adjust to Real 2022 $</t>
  </si>
  <si>
    <t>BEA Interactive Data Application</t>
  </si>
  <si>
    <t>Table A-8: Pedestrian Facility Improvements Revealed Preference Values</t>
  </si>
  <si>
    <r>
      <t>Recommended Value per Person-Mile Walked (2022 $)</t>
    </r>
    <r>
      <rPr>
        <vertAlign val="superscript"/>
        <sz val="11"/>
        <color theme="0"/>
        <rFont val="Times New Roman"/>
        <family val="1"/>
      </rPr>
      <t>1</t>
    </r>
  </si>
  <si>
    <r>
      <t>Expand Sidewalk (per foot of added width)</t>
    </r>
    <r>
      <rPr>
        <vertAlign val="superscript"/>
        <sz val="11"/>
        <color rgb="FF1F497D"/>
        <rFont val="Times New Roman"/>
        <family val="1"/>
      </rPr>
      <t>2</t>
    </r>
  </si>
  <si>
    <t>Reducing Upslope by 1%</t>
  </si>
  <si>
    <t>Reducing Traffic Speed by 1 mph (for speeds ≤45 mph)</t>
  </si>
  <si>
    <t>Reducing Traffic Volume by 1 Vehicle per Hour (for ADT &lt;55,000)</t>
  </si>
  <si>
    <r>
      <t>Recommended Value per Use (2022 $)</t>
    </r>
    <r>
      <rPr>
        <vertAlign val="superscript"/>
        <sz val="11"/>
        <color theme="0"/>
        <rFont val="Times New Roman"/>
        <family val="1"/>
      </rPr>
      <t>1</t>
    </r>
  </si>
  <si>
    <t>Install Marked-Crosswalk on Roadway with Volumes ≥10,000 Vehicle per Day</t>
  </si>
  <si>
    <t>Install Signal for Pedestrian Crossing on Roadway with Volumes ≥13,000 Vehicles per Day</t>
  </si>
  <si>
    <t>1)   These values assume an average walking trip speed of 3.2 miles per hour. For the mile-based benefits, the estimated value per user should be capped at 0.86 miles, the average length of a walking trip in the 2017 National Household Travel Survey, unless the applicant has specific documentation suggesting longer trips or that a trip shorter than 0.86 miles is not feasible on the facility in question. In other words, applicants should not assume all pedestrians travel the full distance of a proposed facility if the facility is longer than 0.86 miles without a clear justification for doing so.</t>
  </si>
  <si>
    <t>2)   Value for sidewalk width expansion applicable for sidewalks up to approximately 31 feet, benefits for expansions beyond this width should be described qualitatively.</t>
  </si>
  <si>
    <t>Table A-9: Cycling Facility Improvement Revealed Preference Values</t>
  </si>
  <si>
    <r>
      <t>Recommended Value per Cycling Mile (2022 $)</t>
    </r>
    <r>
      <rPr>
        <vertAlign val="superscript"/>
        <sz val="11"/>
        <color theme="0"/>
        <rFont val="Times New Roman"/>
        <family val="1"/>
      </rPr>
      <t>1</t>
    </r>
  </si>
  <si>
    <t>Cycling Path with At-Grade Crossings</t>
  </si>
  <si>
    <r>
      <t>Cycling Path with no At-Grade Crossings</t>
    </r>
    <r>
      <rPr>
        <vertAlign val="superscript"/>
        <sz val="11"/>
        <color rgb="FF1F497D"/>
        <rFont val="Times New Roman"/>
        <family val="1"/>
      </rPr>
      <t>2</t>
    </r>
  </si>
  <si>
    <t>Dedicated Cycling Lane</t>
  </si>
  <si>
    <t>Cycling Boulevard/“Sharrow”</t>
  </si>
  <si>
    <t>Separated Cycle Track</t>
  </si>
  <si>
    <t>1) Values should only be applied over sections for which a comparable parallel facility is not available, and only applies to miles cycled on the project facility. These values assume an average cycling trip speed of 9.8 miles per hour or, in the case of off-street paths with no at-grade crossings, a free-flow cycling speed of 12.1 miles per hour. The estimated value per cyclist should be capped at 2.38 miles, the average length of a cycling trip in the 2017 National Household Travel Survey, unless the applicant has specific documentation suggesting longer trips or that a trip shorter than 2.38 miles is not feasible on the facility in question. In other words, applicants should not assume all cyclists travel the full distance of a proposed facility if the facility is longer than 2.38 miles without a clear justification for doing so.</t>
  </si>
  <si>
    <t>2) The value for a cycling path with no at-grade intersections is higher due to an assumption of higher average speed of 12.1 miles per hour, resulting in less time on the facility, which lowers journey quality benefits but increases travel time savings.</t>
  </si>
  <si>
    <t>Table A-10: Transit Facility Amenity Revealed and Stated Preference Values</t>
  </si>
  <si>
    <t>Attribute Type</t>
  </si>
  <si>
    <t>Recommended Value per User Trip (2022 $)</t>
  </si>
  <si>
    <t>Bus Stop</t>
  </si>
  <si>
    <t>Light Rail /Streetcar Stop</t>
  </si>
  <si>
    <t>Rail Station</t>
  </si>
  <si>
    <t>Clocks</t>
  </si>
  <si>
    <t>Electronic Real-Time Information Displays</t>
  </si>
  <si>
    <t>Information /Emergency Button</t>
  </si>
  <si>
    <t>PA System</t>
  </si>
  <si>
    <r>
      <t>Platform/Stop Seating Availability</t>
    </r>
    <r>
      <rPr>
        <vertAlign val="superscript"/>
        <sz val="11"/>
        <color rgb="FF1F497D"/>
        <rFont val="Times New Roman"/>
        <family val="1"/>
      </rPr>
      <t>1</t>
    </r>
  </si>
  <si>
    <r>
      <t>Platform/Stop Weather Protection</t>
    </r>
    <r>
      <rPr>
        <vertAlign val="superscript"/>
        <sz val="11"/>
        <color rgb="FF1F497D"/>
        <rFont val="Times New Roman"/>
        <family val="1"/>
      </rPr>
      <t>1</t>
    </r>
  </si>
  <si>
    <t>Restroom Availability</t>
  </si>
  <si>
    <t>Retail/Food Outlet Availability</t>
  </si>
  <si>
    <t>Staff Availability</t>
  </si>
  <si>
    <t>Step-Free Access to Station/Stop</t>
  </si>
  <si>
    <t>Step-Free Access to Vehicle</t>
  </si>
  <si>
    <t>Surveillance Cameras</t>
  </si>
  <si>
    <r>
      <t>Temperature Controlled Environment</t>
    </r>
    <r>
      <rPr>
        <vertAlign val="superscript"/>
        <sz val="11"/>
        <color rgb="FF1F497D"/>
        <rFont val="Times New Roman"/>
        <family val="1"/>
      </rPr>
      <t>1</t>
    </r>
  </si>
  <si>
    <t>Ticket Machines</t>
  </si>
  <si>
    <t>Timetables</t>
  </si>
  <si>
    <t>Bike Facilities</t>
  </si>
  <si>
    <t>Car Access Facilities</t>
  </si>
  <si>
    <t>Elevator</t>
  </si>
  <si>
    <t>Escalators</t>
  </si>
  <si>
    <t>On-Site Ticket Office</t>
  </si>
  <si>
    <t>Taxi Pickup/Dropoff</t>
  </si>
  <si>
    <r>
      <t>Waiting Room</t>
    </r>
    <r>
      <rPr>
        <vertAlign val="superscript"/>
        <sz val="11"/>
        <color rgb="FF1F497D"/>
        <rFont val="Times New Roman"/>
        <family val="1"/>
      </rPr>
      <t>1</t>
    </r>
  </si>
  <si>
    <t>1)  Note that seating availability and weather protection refer to seats, canopies, or wind shelters on the platforms themselves, whereas temperature-controlled environment refers to an indoor facility with heating and air conditioning availability. A waiting room refers to a designated indoor environment with seating availability, separate from platform seating, which may or may not be temperature controlled.</t>
  </si>
  <si>
    <t>Table A-11: Transit Vehicle Amenity Values</t>
  </si>
  <si>
    <t>Bus</t>
  </si>
  <si>
    <t>Light Rail /Streetcar</t>
  </si>
  <si>
    <t>Rail</t>
  </si>
  <si>
    <t>Handrails</t>
  </si>
  <si>
    <t>Luggage Storage</t>
  </si>
  <si>
    <t>Temperature Control</t>
  </si>
  <si>
    <t>Wheelchair Space</t>
  </si>
  <si>
    <t>Food Service Availability</t>
  </si>
  <si>
    <t>Table A-12: Transit Mode Ride and Boarding Quality Revealed Preference Values</t>
  </si>
  <si>
    <t>Transit Mode</t>
  </si>
  <si>
    <r>
      <t>Boarding Quality Benefit (Per Boarding) (2022 $)</t>
    </r>
    <r>
      <rPr>
        <vertAlign val="superscript"/>
        <sz val="11"/>
        <color theme="0"/>
        <rFont val="Aptos Narrow"/>
        <family val="2"/>
        <scheme val="minor"/>
      </rPr>
      <t>1</t>
    </r>
  </si>
  <si>
    <r>
      <t>Vehicle Ride Quality Benefit (Per Passenger Hour) (2022 $)</t>
    </r>
    <r>
      <rPr>
        <vertAlign val="superscript"/>
        <sz val="11"/>
        <color theme="0"/>
        <rFont val="Aptos Narrow"/>
        <family val="2"/>
        <scheme val="minor"/>
      </rPr>
      <t>1</t>
    </r>
  </si>
  <si>
    <r>
      <t>Low-Intensive BRT</t>
    </r>
    <r>
      <rPr>
        <vertAlign val="superscript"/>
        <sz val="11"/>
        <color theme="1"/>
        <rFont val="Aptos Narrow"/>
        <family val="2"/>
        <scheme val="minor"/>
      </rPr>
      <t>2</t>
    </r>
  </si>
  <si>
    <r>
      <t>Medium-Intensive BRT</t>
    </r>
    <r>
      <rPr>
        <vertAlign val="superscript"/>
        <sz val="11"/>
        <color theme="1"/>
        <rFont val="Aptos Narrow"/>
        <family val="2"/>
        <scheme val="minor"/>
      </rPr>
      <t>2</t>
    </r>
  </si>
  <si>
    <r>
      <t>High-Intensive BRT</t>
    </r>
    <r>
      <rPr>
        <vertAlign val="superscript"/>
        <sz val="11"/>
        <color theme="1"/>
        <rFont val="Aptos Narrow"/>
        <family val="2"/>
        <scheme val="minor"/>
      </rPr>
      <t>2,3</t>
    </r>
  </si>
  <si>
    <t>Streetcar or On-Street Light Rail Transit</t>
  </si>
  <si>
    <t>Off-Street Light Rail Transit</t>
  </si>
  <si>
    <t>Heavy Rail</t>
  </si>
  <si>
    <t>Commuter Rail</t>
  </si>
  <si>
    <r>
      <t>Ferry</t>
    </r>
    <r>
      <rPr>
        <vertAlign val="superscript"/>
        <sz val="11"/>
        <color theme="1"/>
        <rFont val="Aptos Narrow"/>
        <family val="2"/>
        <scheme val="minor"/>
      </rPr>
      <t>3</t>
    </r>
  </si>
  <si>
    <t>1) Values applicable when base case is transit use of standard on-street bus, the reference case used to create these values. When comparing other types of modal shift, the differences between the relevant modal values above should be used.</t>
  </si>
  <si>
    <t>2) Low-intensive BRT would include special service branding, low floor vehicles, at least 50 percent of route in dedicated lanes and potentially shared turns and the remainder in mixed-traffic, some signal priority, level boarding, off-board fare collection, and visually distinct stations. Medium-intensive BRT would include features of Low-intensive BRT but have 100 percent of the route in dedicated lanes, traffic signal priority throughout the corridor, and median-running service or right-turn prohibitions. High-intensive BRT would have a completely sealed right-of-way with no traffic interference and traffic signal preemption, akin to a “rubber-tired railroad.”</t>
  </si>
  <si>
    <t>3) The Capital Investment Grant program has to date not completed a before-and-after study of ridership on a ferry project or a high-intensive BRT as described above, and thus does not have a calibrated estimate for the fixedguideway setting for those modes. Thus, these values represent the current best estimates, considering average station and ride quality relative to other transit modes.</t>
  </si>
  <si>
    <t>Table A-13: Mortality Reduction Benefits of Induced Active Transportation Values</t>
  </si>
  <si>
    <r>
      <t>Applicable Age Range</t>
    </r>
    <r>
      <rPr>
        <vertAlign val="superscript"/>
        <sz val="11"/>
        <color theme="0"/>
        <rFont val="Aptos Narrow"/>
        <family val="2"/>
        <scheme val="minor"/>
      </rPr>
      <t>3</t>
    </r>
  </si>
  <si>
    <r>
      <t>Recommended Value per Induced Trip (2022 $)</t>
    </r>
    <r>
      <rPr>
        <vertAlign val="superscript"/>
        <sz val="11"/>
        <color theme="0"/>
        <rFont val="Aptos Narrow"/>
        <family val="2"/>
        <scheme val="minor"/>
      </rPr>
      <t>4</t>
    </r>
  </si>
  <si>
    <r>
      <t>Walking</t>
    </r>
    <r>
      <rPr>
        <vertAlign val="superscript"/>
        <sz val="11"/>
        <color theme="1"/>
        <rFont val="Aptos Narrow"/>
        <family val="2"/>
        <scheme val="minor"/>
      </rPr>
      <t>1</t>
    </r>
  </si>
  <si>
    <t>Ages 20-74</t>
  </si>
  <si>
    <r>
      <t>Cycling</t>
    </r>
    <r>
      <rPr>
        <vertAlign val="superscript"/>
        <sz val="11"/>
        <color theme="1"/>
        <rFont val="Aptos Narrow"/>
        <family val="2"/>
        <scheme val="minor"/>
      </rPr>
      <t>2</t>
    </r>
  </si>
  <si>
    <t>Ages 20-64</t>
  </si>
  <si>
    <t xml:space="preserve">1)   Based on an assumed average walking speed of 3.2 miles per hour, an assumed average age of the relevant age range (20-74 years) of 45, a corresponding baseline mortality risk of 267.1 per 100,000, an annual risk reduction of 8.6 percent per daily mile walked, and an average walking trip distance of 0.86 miles. </t>
  </si>
  <si>
    <t>2)   Based on an assumed average cycling speed of 9.8 miles per hour, an assumed average age of the relevant age range (20-64 years) of 42, a corresponding baseline mortality risk of 217.9 per 100,000, an annual risk reduction of 4.3 percent per daily mile cycled, and an average cycling trip distance of 2.38 miles.</t>
  </si>
  <si>
    <t>3)   Absent more localized data on the proportion of the expected users falling into the age ranges above, applicants may apply a general assumption of 68% and 59% of overall induced trips falling into the walking and cycling age ranges, respectively, assuming a distribution matching the national average.</t>
  </si>
  <si>
    <t xml:space="preserve">4)   Applicants should ensure these monetization values are only applied to trips induced from non-active transportation modes within the relevant age ranges for each mode. Absent more localized data on the proportion of induced trips coming from non-active transportation modes, applicants may apply a general assumption of 89% of induced trips falling into that category, assuming a distribution matching the national average travel pattern. </t>
  </si>
  <si>
    <t>Table A-14: External Highway Use Costs</t>
  </si>
  <si>
    <r>
      <t>Recommended Value of Cost per Vehicle Mile Traveled (2022 $)</t>
    </r>
    <r>
      <rPr>
        <vertAlign val="superscript"/>
        <sz val="11"/>
        <color theme="0"/>
        <rFont val="Times New Roman"/>
        <family val="1"/>
      </rPr>
      <t>1</t>
    </r>
  </si>
  <si>
    <t>Congestion</t>
  </si>
  <si>
    <t>Noise</t>
  </si>
  <si>
    <t>Safety Cost</t>
  </si>
  <si>
    <r>
      <t>Non-CO</t>
    </r>
    <r>
      <rPr>
        <vertAlign val="subscript"/>
        <sz val="11"/>
        <color theme="0"/>
        <rFont val="Times New Roman"/>
        <family val="1"/>
      </rPr>
      <t>2</t>
    </r>
    <r>
      <rPr>
        <sz val="11"/>
        <color theme="0"/>
        <rFont val="Times New Roman"/>
        <family val="1"/>
      </rPr>
      <t xml:space="preserve"> Emission Cost</t>
    </r>
    <r>
      <rPr>
        <vertAlign val="superscript"/>
        <sz val="11"/>
        <color theme="0"/>
        <rFont val="Times New Roman"/>
        <family val="1"/>
      </rPr>
      <t>2</t>
    </r>
  </si>
  <si>
    <r>
      <t>CO</t>
    </r>
    <r>
      <rPr>
        <vertAlign val="subscript"/>
        <sz val="11"/>
        <color theme="0"/>
        <rFont val="Times New Roman"/>
        <family val="1"/>
      </rPr>
      <t>2</t>
    </r>
    <r>
      <rPr>
        <sz val="11"/>
        <color theme="0"/>
        <rFont val="Times New Roman"/>
        <family val="1"/>
      </rPr>
      <t xml:space="preserve"> Emission Cost</t>
    </r>
    <r>
      <rPr>
        <vertAlign val="superscript"/>
        <sz val="11"/>
        <color theme="0"/>
        <rFont val="Times New Roman"/>
        <family val="1"/>
      </rPr>
      <t>2</t>
    </r>
  </si>
  <si>
    <t>1)   Congestion costs updated from the 1997 Highway Cost Allocation Study to reflect increased traffic volumes, changes in vehicle occupancy, and increases in the value of time per person-hour since that time. Both congestion and noise costs are also adjusted from 1994 dollars to 2022 dollars using the GDP deflator.</t>
  </si>
  <si>
    <t>2)   Emission rates are based on estimates from EPA’s MOVES Model. The monetization applies the 2035-year emission value to approximate increasing emission damage costs over time. Non-CO2 emission damages should be discounted at 3.1 percent, while CO2 emission damages should be discounted at 2.0 percent.</t>
  </si>
  <si>
    <t>Source: https://ftp.txdot.gov/pub/txdot-info/trf/hsip/hsip-guidance-june-2020.pdf</t>
  </si>
  <si>
    <t>Table A-15: TxDOT HSIP Safety Improvement Codes</t>
  </si>
  <si>
    <t>Work Type (TxDOT HSIP)</t>
  </si>
  <si>
    <t>Work Code</t>
  </si>
  <si>
    <t>Crash Reduction Factor</t>
  </si>
  <si>
    <t>Service life</t>
  </si>
  <si>
    <t>Preventable Crash types (HSIP guidelines)</t>
  </si>
  <si>
    <t>Blank</t>
  </si>
  <si>
    <t>Install Warning/Guide Signs</t>
  </si>
  <si>
    <t>Vehicle Movements/Manner of Collision, Roadway
Related</t>
  </si>
  <si>
    <t>Install Intersection Flashing Beacon</t>
  </si>
  <si>
    <t xml:space="preserve">Intersection Related </t>
  </si>
  <si>
    <t>Install Traffic Signal</t>
  </si>
  <si>
    <t>Intersection Related, Vehicle Movements/Manner of
Collision</t>
  </si>
  <si>
    <t>Improve Traffic Signals</t>
  </si>
  <si>
    <t>Install Pedestrian Signal</t>
  </si>
  <si>
    <t>Interconnect Signals</t>
  </si>
  <si>
    <t>All</t>
  </si>
  <si>
    <t>Install Delineators</t>
  </si>
  <si>
    <t>Roadway Related, Dark light condition</t>
  </si>
  <si>
    <t>Install School Zones</t>
  </si>
  <si>
    <t>Replace Flashing Beacon with a Traffic Signal</t>
  </si>
  <si>
    <t>Intersection Related, Vehicle Movements/Manner of
Collision, Pedestrian, Cyclist</t>
  </si>
  <si>
    <t>Install Overhead Signs</t>
  </si>
  <si>
    <t>Vehicle Movements/Manner of Collision</t>
  </si>
  <si>
    <t>Install Advance Warning Signals (Intersection — Existing Signal, Flashing Beacon or STOP Signs)</t>
  </si>
  <si>
    <t>Install Advance Warning Signals (Curve)</t>
  </si>
  <si>
    <t>Roadway Related, Vehicle Movements/Manner of Collision</t>
  </si>
  <si>
    <t>Install Advance Warning Signals and Signs (Intersection — Existing Signal, Flashing Beacon or STOP Signs)</t>
  </si>
  <si>
    <t>Install Advance Warning Signals and Signs (Curve)</t>
  </si>
  <si>
    <t>Roadway Related,  Vehicle Movements/Manner of Collision</t>
  </si>
  <si>
    <t>Install Advance Warning Signs (Intersection — Existing Warning Signals</t>
  </si>
  <si>
    <t>Install Advance Warning Signs (Curve — Existing Warning Signals)</t>
  </si>
  <si>
    <t>Improve Pedestrian Signals</t>
  </si>
  <si>
    <t>Install Advance Warning Signals and Signs</t>
  </si>
  <si>
    <t>Improve School Zone</t>
  </si>
  <si>
    <t xml:space="preserve">Install LED Flashing Chevrons (Curve) </t>
  </si>
  <si>
    <t>Install Chevrons</t>
  </si>
  <si>
    <t>Install Flashing Yellow Arrow</t>
  </si>
  <si>
    <t xml:space="preserve">Intersection Related, Vehicle Movements/Manner of
Collision, </t>
  </si>
  <si>
    <t xml:space="preserve">Install Surface Mounted Delineators on Centerline </t>
  </si>
  <si>
    <t>Install Median Barrier</t>
  </si>
  <si>
    <t>Install Raised Median</t>
  </si>
  <si>
    <t>Part of Roadway No. 1 Involved, (Vehicle Movements/Manner
of Collision</t>
  </si>
  <si>
    <t>Flatten Side Slope</t>
  </si>
  <si>
    <t>Roadway Related</t>
  </si>
  <si>
    <t>Safety Treat Fixed Objects</t>
  </si>
  <si>
    <t>Install Impact Attenuation System</t>
  </si>
  <si>
    <t>Object Struck</t>
  </si>
  <si>
    <t>Widen Bridge</t>
  </si>
  <si>
    <t>Resurfacing</t>
  </si>
  <si>
    <t>Surface Condition</t>
  </si>
  <si>
    <t>Safety Lighting</t>
  </si>
  <si>
    <t>Light Condition - Dark</t>
  </si>
  <si>
    <t>Safety Lighting at Intersection</t>
  </si>
  <si>
    <t>Light Condition - Dark, Intersection Related</t>
  </si>
  <si>
    <t>High Friction Surface Treatment (Curve)</t>
  </si>
  <si>
    <t xml:space="preserve">Roadway Related or Surface Condition </t>
  </si>
  <si>
    <t>High Friction Surface Treatment (Intersection)</t>
  </si>
  <si>
    <t>Install Pavement Markings</t>
  </si>
  <si>
    <t>Install Edge Marking</t>
  </si>
  <si>
    <t>Roadway Related/Off road</t>
  </si>
  <si>
    <t>Install Pedestrian Crosswalk</t>
  </si>
  <si>
    <t>Install Centerline Striping</t>
  </si>
  <si>
    <t>Install Sidewalks</t>
  </si>
  <si>
    <t>Widen Lane(s)</t>
  </si>
  <si>
    <t xml:space="preserve">Roadway Related, Vehicle Movements/Manner of Collision </t>
  </si>
  <si>
    <t>Widen Paved Shoulder (to 5 ft. or less)</t>
  </si>
  <si>
    <t>Construct Paved Shoulders (1 – 4 ft.)</t>
  </si>
  <si>
    <t>Improve Vertical Alignment</t>
  </si>
  <si>
    <t>Improve Horizontal Alignment</t>
  </si>
  <si>
    <t>Increase Superelevation</t>
  </si>
  <si>
    <t>Construct Turn Arounds</t>
  </si>
  <si>
    <t>Intersection Related, Vehicle Movements/Manner of Collision</t>
  </si>
  <si>
    <t>Grade Separation</t>
  </si>
  <si>
    <t>Construct Interchange</t>
  </si>
  <si>
    <t>Close Crossover</t>
  </si>
  <si>
    <t>Part of Roadway Involved, Vehicle Movements/Manner of Collision</t>
  </si>
  <si>
    <t>Add Through Lane</t>
  </si>
  <si>
    <t>Install Continuous Turn Lane</t>
  </si>
  <si>
    <t>Vehicle Movements/Manner of Collision (Roadway related)</t>
  </si>
  <si>
    <t>Add Left Turn Lane</t>
  </si>
  <si>
    <t>Vehicle Movements/Manner of Collision, Intersection Related</t>
  </si>
  <si>
    <t>Lengthen Left Turn Lane</t>
  </si>
  <si>
    <t>Add Right Turn Lane</t>
  </si>
  <si>
    <t>Lengthen Right Turn Lane</t>
  </si>
  <si>
    <t>Construct Pedestrian Over/Under Pass</t>
  </si>
  <si>
    <t>Convert to One-Way Frontage Roads</t>
  </si>
  <si>
    <t>Part of Roadway Involved</t>
  </si>
  <si>
    <t>Milled Edge line Rumble Strips</t>
  </si>
  <si>
    <t>Profile Edge line Markings</t>
  </si>
  <si>
    <t>Roadway Related, Vehicle Movements/Manner of Collision, Surface condition - wet, slush, ice, snow</t>
  </si>
  <si>
    <t xml:space="preserve">Raised Edge line Rumble Strips </t>
  </si>
  <si>
    <t>Widen Paved Shoulders (to &gt; 5 ft.)</t>
  </si>
  <si>
    <r>
      <t>Construct Paved Shoulders (</t>
    </r>
    <r>
      <rPr>
        <u/>
        <sz val="11"/>
        <color theme="1"/>
        <rFont val="Aptos Narrow"/>
        <family val="2"/>
        <scheme val="minor"/>
      </rPr>
      <t>&gt;</t>
    </r>
    <r>
      <rPr>
        <sz val="11"/>
        <color theme="1"/>
        <rFont val="Aptos Narrow"/>
        <family val="2"/>
        <scheme val="minor"/>
      </rPr>
      <t xml:space="preserve"> 5ft)</t>
    </r>
  </si>
  <si>
    <t>Convert 2-Lane Facility to 4-Lane Divided</t>
  </si>
  <si>
    <t>Install Passing Lanes on 2-Lane Road</t>
  </si>
  <si>
    <t>Provide Additional Paved Surface Width</t>
  </si>
  <si>
    <t>Milled Centerline Rumble Strips</t>
  </si>
  <si>
    <t>Profile Centerline Markings</t>
  </si>
  <si>
    <t>Raised Centerline Rumble Strips</t>
  </si>
  <si>
    <t>Transverse Rumble Strips</t>
  </si>
  <si>
    <t>Construct a Roundabout</t>
  </si>
  <si>
    <t>Table A-16: Estimated Delay Reductions Table</t>
  </si>
  <si>
    <t>Strategies/Type of Improvement</t>
  </si>
  <si>
    <t>Estimated Delay Reduction</t>
  </si>
  <si>
    <r>
      <t xml:space="preserve">Acceleration/Deceleration Lanes (Speed Change Lane) </t>
    </r>
    <r>
      <rPr>
        <i/>
        <sz val="11"/>
        <color rgb="FF231F20"/>
        <rFont val="Aptos Narrow"/>
        <family val="2"/>
        <scheme val="minor"/>
      </rPr>
      <t/>
    </r>
  </si>
  <si>
    <t>Access Management</t>
  </si>
  <si>
    <t>Bottleneck Removal</t>
  </si>
  <si>
    <t xml:space="preserve">Freight Shuttle System </t>
  </si>
  <si>
    <t xml:space="preserve">Grade Separation </t>
  </si>
  <si>
    <t xml:space="preserve">Managed HOT/HOV Lanes </t>
  </si>
  <si>
    <t xml:space="preserve">Adding New Lanes or Roads </t>
  </si>
  <si>
    <t>Adding New Toll Roads</t>
  </si>
  <si>
    <t>Ramp Configuration</t>
  </si>
  <si>
    <t>Temporary Shoulder Use</t>
  </si>
  <si>
    <t>Bicycle Lanes</t>
  </si>
  <si>
    <t>Bicycle-Pedestrian Education and Encouragement</t>
  </si>
  <si>
    <t>Bike Sharing</t>
  </si>
  <si>
    <t>Cycle Tracks</t>
  </si>
  <si>
    <t>Multimodal Transportation Center (Corridors)</t>
  </si>
  <si>
    <t>Pedestrian Connections</t>
  </si>
  <si>
    <t>Active Traffic Management</t>
  </si>
  <si>
    <t>Diverging Diamond Intersection</t>
  </si>
  <si>
    <t>Dynamic Rerouting</t>
  </si>
  <si>
    <t>Dynamic Truck Restrictions</t>
  </si>
  <si>
    <t>Queue Warning</t>
  </si>
  <si>
    <t>Ramp Flow Control</t>
  </si>
  <si>
    <t>Variable Speed Limits</t>
  </si>
  <si>
    <t>Pay to Drive Off-Peak</t>
  </si>
  <si>
    <t>Pay-As You-Drive Auto Insurance</t>
  </si>
  <si>
    <t>Variable Pricing</t>
  </si>
  <si>
    <t>Parking Management</t>
  </si>
  <si>
    <t>Construction Contracting Options</t>
  </si>
  <si>
    <t xml:space="preserve">Pavement Recycling </t>
  </si>
  <si>
    <t>Reducing Construction/Maintenance Disruption</t>
  </si>
  <si>
    <t>Shoulder Pavement Upgrades</t>
  </si>
  <si>
    <t>Sustainable Pavements</t>
  </si>
  <si>
    <t>Continuous Flow Intersections</t>
  </si>
  <si>
    <t>Median U-Turns</t>
  </si>
  <si>
    <t>Quadrant Intersections</t>
  </si>
  <si>
    <t>Roundabouts</t>
  </si>
  <si>
    <t>Intersection Turn Lanes</t>
  </si>
  <si>
    <t>Loop Ramps Reducing Left Turns</t>
  </si>
  <si>
    <t>One-Way Streets</t>
  </si>
  <si>
    <t>Superstreets</t>
  </si>
  <si>
    <t>Freight Rail Improvements</t>
  </si>
  <si>
    <t>Commercial Vehicle Accommodations</t>
  </si>
  <si>
    <t>Truck Incentives &amp; Use Restrictions</t>
  </si>
  <si>
    <t>Truck Lane Restrictions</t>
  </si>
  <si>
    <t>Signal Operations &amp; Management</t>
  </si>
  <si>
    <t>Aggressive Incident Clearance</t>
  </si>
  <si>
    <r>
      <rPr>
        <sz val="11"/>
        <color rgb="FF231F20"/>
        <rFont val="Aptos Narrow"/>
        <family val="2"/>
        <scheme val="minor"/>
      </rPr>
      <t>Special Event Management</t>
    </r>
  </si>
  <si>
    <t>Road Weather Management</t>
  </si>
  <si>
    <t>Electronic Toll Collection Systems</t>
  </si>
  <si>
    <t>Reversible Traffic Lanes (Changeable Lane Assignments)</t>
  </si>
  <si>
    <t>Traffic Management Centers</t>
  </si>
  <si>
    <t xml:space="preserve">Traveler Information Systems </t>
  </si>
  <si>
    <t>Integrated Corridor Management</t>
  </si>
  <si>
    <t>Express Bus Service</t>
  </si>
  <si>
    <t>Park-and-Ride Lots</t>
  </si>
  <si>
    <t>Light Rail</t>
  </si>
  <si>
    <t>Bus Rapid Transit</t>
  </si>
  <si>
    <t>Local Bus Service</t>
  </si>
  <si>
    <t>Circulator Bus Transit</t>
  </si>
  <si>
    <t>Demand Response Transit</t>
  </si>
  <si>
    <t>Rural Transit</t>
  </si>
  <si>
    <t xml:space="preserve">Technology-Based Transit Improvements </t>
  </si>
  <si>
    <t>Fare Strategies</t>
  </si>
  <si>
    <t xml:space="preserve">Multimodal Transportation Centers </t>
  </si>
  <si>
    <t>Active Demand Management</t>
  </si>
  <si>
    <t>Carpooling</t>
  </si>
  <si>
    <t>Real-Time Ridesharing</t>
  </si>
  <si>
    <t>Vanpooling</t>
  </si>
  <si>
    <t>Flexible Work Hours</t>
  </si>
  <si>
    <t>Compressed Work Weeks</t>
  </si>
  <si>
    <t>Telecommuting</t>
  </si>
  <si>
    <t>Transportation Management Associations</t>
  </si>
  <si>
    <t>Trip Reduction Options</t>
  </si>
  <si>
    <t>State Employee Trip Reduction</t>
  </si>
  <si>
    <t>Source: https://policy.tti.tamu.edu/congestion/estimating-congestion-benefits-of-transportation-projects-with-fixit-2-0/</t>
  </si>
  <si>
    <t>Running Emission Rates (gram/mile)</t>
  </si>
  <si>
    <t>Area</t>
  </si>
  <si>
    <t>Road Type ID</t>
  </si>
  <si>
    <t>Road Description</t>
  </si>
  <si>
    <t>Average Speed</t>
  </si>
  <si>
    <t>NOX</t>
  </si>
  <si>
    <t>SO2</t>
  </si>
  <si>
    <t>PM25</t>
  </si>
  <si>
    <t>CO2</t>
  </si>
  <si>
    <t>Road Type Description</t>
  </si>
  <si>
    <t>Houston</t>
  </si>
  <si>
    <t>Idling Emission Rates (gram/hour)</t>
  </si>
  <si>
    <t>NOX (g/hr)</t>
  </si>
  <si>
    <t>SO2 (g/hr)</t>
  </si>
  <si>
    <t>VOC (g/hr)</t>
  </si>
  <si>
    <t>PM25 (g/hr)</t>
  </si>
  <si>
    <t>CO2 (g/hr)</t>
  </si>
  <si>
    <t>Truck Idling Emission Rates (gram/hour)</t>
  </si>
  <si>
    <t>AREA</t>
  </si>
  <si>
    <t>YEAR</t>
  </si>
  <si>
    <t>VEHICLE TYPE</t>
  </si>
  <si>
    <t>PM25 (g/hr) *</t>
  </si>
  <si>
    <t>HGB</t>
  </si>
  <si>
    <t>Longhaul Truck</t>
  </si>
  <si>
    <t>Assumed Heavy Disel Truck Percentage of Total Truck</t>
  </si>
  <si>
    <t>Start Emission Rates (gram/start)</t>
  </si>
  <si>
    <t>Source Type</t>
  </si>
  <si>
    <t>Fuel Type</t>
  </si>
  <si>
    <t>Passenger Car</t>
  </si>
  <si>
    <t>Gasoline</t>
  </si>
  <si>
    <t>* Source: EPA https://nepis.epa.gov/Exe/ZyPDF.cgi/P100EVXV.PDF?Dockey=P100EVXV.PDF</t>
  </si>
  <si>
    <t>Other Benefit 1</t>
  </si>
  <si>
    <t>This is an extra benefit sheet for an additional benefit category not captured elsewhere</t>
  </si>
  <si>
    <t>Table 1. Other Benefit</t>
  </si>
  <si>
    <t>&lt;- Benefit Name</t>
  </si>
  <si>
    <t>Other Benefit 2</t>
  </si>
  <si>
    <t>Other Benefit 3</t>
  </si>
  <si>
    <t>Other Benefit 4</t>
  </si>
  <si>
    <t xml:space="preserve">Note that if more than four "other benefit" categories are needed, applicants may create a copy of this sheet (and rename accordingly). </t>
  </si>
  <si>
    <t>Additionally, the "Summary" sheet will need to be edited to include additional columns for benefits.</t>
  </si>
  <si>
    <t>Additionally, the formulas in the "Total Benefits" column may need to be adjusted to ensure all benefits are being summed correctly.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</si>
</sst>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6" formatCode="&quot;$&quot;#,##0_);[Red]\(&quot;$&quot;#,##0\)"/>
    <numFmt numFmtId="8" formatCode="&quot;$&quot;#,##0.00_);[Red]\(&quot;$&quot;#,##0.00\)"/>
    <numFmt numFmtId="44" formatCode="_(&quot;$&quot;* #,##0.00_);_(&quot;$&quot;* \(#,##0.00\);_(&quot;$&quot;* &quot;-&quot;??_);_(@_)"/>
    <numFmt numFmtId="43" formatCode="_(* #,##0.00_);_(* \(#,##0.00\);_(* &quot;-&quot;??_);_(@_)"/>
    <numFmt numFmtId="164" formatCode="&quot;$&quot;#,##0"/>
    <numFmt numFmtId="165" formatCode="0.0%"/>
    <numFmt numFmtId="166" formatCode="_(* #,##0_);_(* \(#,##0\);_(* &quot;-&quot;??_);_(@_)"/>
    <numFmt numFmtId="167" formatCode="&quot;$&quot;#,##0.00"/>
    <numFmt numFmtId="168" formatCode="&quot;$&quot;#,##0.000_);[Red]\(&quot;$&quot;#,##0.000\)"/>
    <numFmt numFmtId="169" formatCode="0.000"/>
    <numFmt numFmtId="170" formatCode="0.0000"/>
    <numFmt numFmtId="171" formatCode="&quot;$&quot;#,##0.000"/>
    <numFmt numFmtId="172" formatCode="&quot;$&quot;#,##0.0000"/>
    <numFmt numFmtId="173" formatCode="_(&quot;$&quot;* #,##0_);_(&quot;$&quot;* \(#,##0\);_(&quot;$&quot;* &quot;-&quot;??_);_(@_)"/>
    <numFmt numFmtId="174" formatCode="&quot;$&quot;#,##0.0000_);[Red]\(&quot;$&quot;#,##0.0000\)"/>
  </numFmts>
  <fonts count="42" x14ac:knownFonts="1">
    <font>
      <sz val="11"/>
      <color theme="1"/>
      <name val="Aptos Narrow"/>
      <family val="2"/>
      <scheme val="minor"/>
    </font>
    <font>
      <sz val="11"/>
      <color theme="1"/>
      <name val="Aptos Narrow"/>
      <family val="2"/>
      <scheme val="minor"/>
    </font>
    <font>
      <b/>
      <sz val="15"/>
      <color theme="3"/>
      <name val="Aptos Narrow"/>
      <family val="2"/>
      <scheme val="minor"/>
    </font>
    <font>
      <b/>
      <sz val="13"/>
      <color theme="3"/>
      <name val="Aptos Narrow"/>
      <family val="2"/>
      <scheme val="minor"/>
    </font>
    <font>
      <b/>
      <sz val="11"/>
      <color theme="3"/>
      <name val="Aptos Narrow"/>
      <family val="2"/>
      <scheme val="minor"/>
    </font>
    <font>
      <b/>
      <sz val="11"/>
      <color theme="0"/>
      <name val="Aptos Narrow"/>
      <family val="2"/>
      <scheme val="minor"/>
    </font>
    <font>
      <b/>
      <sz val="11"/>
      <color theme="1"/>
      <name val="Aptos Narrow"/>
      <family val="2"/>
      <scheme val="minor"/>
    </font>
    <font>
      <sz val="11"/>
      <color theme="0"/>
      <name val="Aptos Narrow"/>
      <family val="2"/>
      <scheme val="minor"/>
    </font>
    <font>
      <sz val="11"/>
      <name val="Aptos Narrow"/>
      <family val="2"/>
      <scheme val="minor"/>
    </font>
    <font>
      <b/>
      <sz val="11"/>
      <name val="Aptos Narrow"/>
      <family val="2"/>
      <scheme val="minor"/>
    </font>
    <font>
      <sz val="11"/>
      <color rgb="FF000000"/>
      <name val="Calibri"/>
      <family val="2"/>
    </font>
    <font>
      <sz val="11"/>
      <color rgb="FF000000"/>
      <name val="Aptos Narrow"/>
      <family val="2"/>
      <scheme val="minor"/>
    </font>
    <font>
      <b/>
      <sz val="15"/>
      <name val="Aptos Narrow"/>
      <family val="2"/>
      <scheme val="minor"/>
    </font>
    <font>
      <sz val="12"/>
      <color theme="1"/>
      <name val="Aptos Narrow"/>
      <family val="2"/>
      <scheme val="minor"/>
    </font>
    <font>
      <u/>
      <sz val="11"/>
      <color theme="10"/>
      <name val="Aptos Narrow"/>
      <family val="2"/>
      <scheme val="minor"/>
    </font>
    <font>
      <u/>
      <sz val="11"/>
      <name val="Aptos Narrow"/>
      <family val="2"/>
      <scheme val="minor"/>
    </font>
    <font>
      <i/>
      <sz val="11"/>
      <name val="Aptos Narrow"/>
      <family val="2"/>
      <scheme val="minor"/>
    </font>
    <font>
      <b/>
      <sz val="12"/>
      <color theme="0"/>
      <name val="Aptos Narrow"/>
      <family val="2"/>
      <scheme val="minor"/>
    </font>
    <font>
      <sz val="12"/>
      <color theme="0"/>
      <name val="Aptos Narrow"/>
      <family val="2"/>
      <scheme val="minor"/>
    </font>
    <font>
      <sz val="20"/>
      <color theme="1"/>
      <name val="Aptos Narrow"/>
      <family val="2"/>
      <scheme val="minor"/>
    </font>
    <font>
      <i/>
      <sz val="11"/>
      <color theme="1"/>
      <name val="Aptos Narrow"/>
      <family val="2"/>
      <scheme val="minor"/>
    </font>
    <font>
      <sz val="14"/>
      <name val="Aptos Narrow"/>
      <family val="2"/>
      <scheme val="minor"/>
    </font>
    <font>
      <b/>
      <u/>
      <sz val="11"/>
      <color theme="1"/>
      <name val="Aptos Narrow"/>
      <family val="2"/>
      <scheme val="minor"/>
    </font>
    <font>
      <vertAlign val="subscript"/>
      <sz val="11"/>
      <color theme="1"/>
      <name val="Aptos Narrow"/>
      <family val="2"/>
      <scheme val="minor"/>
    </font>
    <font>
      <u/>
      <sz val="11"/>
      <color theme="1"/>
      <name val="Aptos Narrow"/>
      <family val="2"/>
      <scheme val="minor"/>
    </font>
    <font>
      <vertAlign val="subscript"/>
      <sz val="11"/>
      <color theme="0"/>
      <name val="Aptos Narrow"/>
      <family val="2"/>
      <scheme val="minor"/>
    </font>
    <font>
      <b/>
      <sz val="16"/>
      <color theme="0"/>
      <name val="Aptos Narrow"/>
      <family val="2"/>
      <scheme val="minor"/>
    </font>
    <font>
      <b/>
      <i/>
      <sz val="11"/>
      <color theme="8" tint="-0.249977111117893"/>
      <name val="Times New Roman"/>
      <family val="1"/>
    </font>
    <font>
      <sz val="11"/>
      <color theme="1"/>
      <name val="Times New Roman"/>
      <family val="1"/>
    </font>
    <font>
      <sz val="11"/>
      <color rgb="FF1F497D"/>
      <name val="Times New Roman"/>
      <family val="1"/>
    </font>
    <font>
      <b/>
      <sz val="11"/>
      <color theme="0"/>
      <name val="Times New Roman"/>
      <family val="1"/>
    </font>
    <font>
      <vertAlign val="superscript"/>
      <sz val="11"/>
      <color rgb="FF1F497D"/>
      <name val="Times New Roman"/>
      <family val="1"/>
    </font>
    <font>
      <sz val="11"/>
      <color theme="0"/>
      <name val="Times New Roman"/>
      <family val="1"/>
    </font>
    <font>
      <vertAlign val="superscript"/>
      <sz val="11"/>
      <color theme="1"/>
      <name val="Times New Roman"/>
      <family val="1"/>
    </font>
    <font>
      <vertAlign val="superscript"/>
      <sz val="11"/>
      <color theme="0"/>
      <name val="Times New Roman"/>
      <family val="1"/>
    </font>
    <font>
      <vertAlign val="subscript"/>
      <sz val="11"/>
      <color theme="0"/>
      <name val="Times New Roman"/>
      <family val="1"/>
    </font>
    <font>
      <vertAlign val="subscript"/>
      <sz val="11"/>
      <color rgb="FF1F497D"/>
      <name val="Times New Roman"/>
      <family val="1"/>
    </font>
    <font>
      <vertAlign val="superscript"/>
      <sz val="11"/>
      <color theme="0"/>
      <name val="Aptos Narrow"/>
      <family val="2"/>
      <scheme val="minor"/>
    </font>
    <font>
      <vertAlign val="superscript"/>
      <sz val="11"/>
      <color theme="1"/>
      <name val="Aptos Narrow"/>
      <family val="2"/>
      <scheme val="minor"/>
    </font>
    <font>
      <sz val="11"/>
      <color theme="5"/>
      <name val="Aptos Narrow"/>
      <family val="2"/>
      <scheme val="minor"/>
    </font>
    <font>
      <sz val="11"/>
      <color rgb="FF231F20"/>
      <name val="Aptos Narrow"/>
      <family val="2"/>
      <scheme val="minor"/>
    </font>
    <font>
      <i/>
      <sz val="11"/>
      <color rgb="FF231F20"/>
      <name val="Aptos Narrow"/>
      <family val="2"/>
      <scheme val="minor"/>
    </font>
  </fonts>
  <fills count="21">
    <fill>
      <patternFill patternType="none"/>
    </fill>
    <fill>
      <patternFill patternType="gray125"/>
    </fill>
    <fill>
      <patternFill patternType="solid">
        <fgColor rgb="FFFFFFCC"/>
      </patternFill>
    </fill>
    <fill>
      <patternFill patternType="solid">
        <fgColor theme="9" tint="0.39997558519241921"/>
        <bgColor indexed="64"/>
      </patternFill>
    </fill>
    <fill>
      <patternFill patternType="solid">
        <fgColor theme="8" tint="0.39997558519241921"/>
        <bgColor indexed="64"/>
      </patternFill>
    </fill>
    <fill>
      <patternFill patternType="solid">
        <fgColor theme="0" tint="-0.249977111117893"/>
        <bgColor indexed="64"/>
      </patternFill>
    </fill>
    <fill>
      <patternFill patternType="solid">
        <fgColor theme="0"/>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A9D08E"/>
        <bgColor indexed="64"/>
      </patternFill>
    </fill>
    <fill>
      <patternFill patternType="solid">
        <fgColor theme="1" tint="4.9989318521683403E-2"/>
        <bgColor indexed="64"/>
      </patternFill>
    </fill>
    <fill>
      <patternFill patternType="solid">
        <fgColor theme="1"/>
        <bgColor indexed="64"/>
      </patternFill>
    </fill>
    <fill>
      <patternFill patternType="solid">
        <fgColor theme="1"/>
        <bgColor theme="1"/>
      </patternFill>
    </fill>
    <fill>
      <patternFill patternType="solid">
        <fgColor theme="1" tint="0.34998626667073579"/>
        <bgColor indexed="64"/>
      </patternFill>
    </fill>
    <fill>
      <patternFill patternType="solid">
        <fgColor theme="4" tint="0.39997558519241921"/>
        <bgColor indexed="64"/>
      </patternFill>
    </fill>
    <fill>
      <patternFill patternType="solid">
        <fgColor rgb="FFBFBFBF"/>
        <bgColor indexed="64"/>
      </patternFill>
    </fill>
    <fill>
      <patternFill patternType="solid">
        <fgColor theme="0" tint="-0.14999847407452621"/>
        <bgColor indexed="64"/>
      </patternFill>
    </fill>
    <fill>
      <patternFill patternType="solid">
        <fgColor theme="4"/>
        <bgColor theme="4"/>
      </patternFill>
    </fill>
    <fill>
      <patternFill patternType="solid">
        <fgColor theme="4"/>
        <bgColor indexed="64"/>
      </patternFill>
    </fill>
    <fill>
      <patternFill patternType="solid">
        <fgColor theme="7" tint="0.39997558519241921"/>
        <bgColor indexed="64"/>
      </patternFill>
    </fill>
  </fills>
  <borders count="161">
    <border>
      <left/>
      <right/>
      <top/>
      <bottom/>
      <diagonal/>
    </border>
    <border>
      <left/>
      <right/>
      <top/>
      <bottom style="thick">
        <color theme="4"/>
      </bottom>
      <diagonal/>
    </border>
    <border>
      <left/>
      <right/>
      <top/>
      <bottom style="thick">
        <color theme="4" tint="0.499984740745262"/>
      </bottom>
      <diagonal/>
    </border>
    <border>
      <left style="thin">
        <color rgb="FFB2B2B2"/>
      </left>
      <right style="thin">
        <color rgb="FFB2B2B2"/>
      </right>
      <top style="thin">
        <color rgb="FFB2B2B2"/>
      </top>
      <bottom style="thin">
        <color rgb="FFB2B2B2"/>
      </bottom>
      <diagonal/>
    </border>
    <border>
      <left/>
      <right style="thin">
        <color theme="1"/>
      </right>
      <top/>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ck">
        <color theme="4" tint="0.499984740745262"/>
      </top>
      <bottom style="thin">
        <color indexed="64"/>
      </bottom>
      <diagonal/>
    </border>
    <border>
      <left style="thin">
        <color indexed="64"/>
      </left>
      <right style="thin">
        <color indexed="64"/>
      </right>
      <top style="thick">
        <color theme="4" tint="0.499984740745262"/>
      </top>
      <bottom/>
      <diagonal/>
    </border>
    <border>
      <left/>
      <right/>
      <top/>
      <bottom style="medium">
        <color indexed="64"/>
      </bottom>
      <diagonal/>
    </border>
    <border>
      <left style="medium">
        <color indexed="64"/>
      </left>
      <right/>
      <top style="medium">
        <color indexed="64"/>
      </top>
      <bottom style="medium">
        <color theme="1"/>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diagonal/>
    </border>
    <border>
      <left/>
      <right style="medium">
        <color indexed="64"/>
      </right>
      <top style="medium">
        <color indexed="64"/>
      </top>
      <bottom style="medium">
        <color theme="1"/>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theme="1"/>
      </bottom>
      <diagonal/>
    </border>
    <border>
      <left style="medium">
        <color theme="1"/>
      </left>
      <right style="thin">
        <color theme="1"/>
      </right>
      <top style="medium">
        <color indexed="64"/>
      </top>
      <bottom style="medium">
        <color indexed="64"/>
      </bottom>
      <diagonal/>
    </border>
    <border>
      <left style="medium">
        <color indexed="64"/>
      </left>
      <right style="thin">
        <color indexed="64"/>
      </right>
      <top style="medium">
        <color theme="1"/>
      </top>
      <bottom style="medium">
        <color indexed="64"/>
      </bottom>
      <diagonal/>
    </border>
    <border>
      <left/>
      <right style="thin">
        <color indexed="64"/>
      </right>
      <top style="medium">
        <color indexed="64"/>
      </top>
      <bottom style="medium">
        <color indexed="64"/>
      </bottom>
      <diagonal/>
    </border>
    <border>
      <left/>
      <right style="medium">
        <color theme="1"/>
      </right>
      <top/>
      <bottom style="medium">
        <color indexed="64"/>
      </bottom>
      <diagonal/>
    </border>
    <border>
      <left style="medium">
        <color theme="1"/>
      </left>
      <right style="medium">
        <color theme="1"/>
      </right>
      <top style="medium">
        <color theme="1"/>
      </top>
      <bottom style="medium">
        <color indexed="64"/>
      </bottom>
      <diagonal/>
    </border>
    <border>
      <left style="medium">
        <color theme="1"/>
      </left>
      <right style="thin">
        <color indexed="64"/>
      </right>
      <top style="medium">
        <color indexed="64"/>
      </top>
      <bottom style="medium">
        <color indexed="64"/>
      </bottom>
      <diagonal/>
    </border>
    <border>
      <left/>
      <right style="thin">
        <color theme="1"/>
      </right>
      <top style="medium">
        <color theme="1"/>
      </top>
      <bottom style="medium">
        <color indexed="64"/>
      </bottom>
      <diagonal/>
    </border>
    <border>
      <left style="medium">
        <color theme="1"/>
      </left>
      <right style="thin">
        <color theme="1"/>
      </right>
      <top style="medium">
        <color theme="1"/>
      </top>
      <bottom style="medium">
        <color indexed="64"/>
      </bottom>
      <diagonal/>
    </border>
    <border>
      <left/>
      <right/>
      <top style="medium">
        <color theme="1"/>
      </top>
      <bottom style="medium">
        <color indexed="64"/>
      </bottom>
      <diagonal/>
    </border>
    <border>
      <left style="thin">
        <color theme="1"/>
      </left>
      <right style="thin">
        <color theme="1"/>
      </right>
      <top style="medium">
        <color theme="1"/>
      </top>
      <bottom style="medium">
        <color indexed="64"/>
      </bottom>
      <diagonal/>
    </border>
    <border>
      <left style="thin">
        <color theme="1"/>
      </left>
      <right style="thin">
        <color indexed="64"/>
      </right>
      <top style="medium">
        <color theme="1"/>
      </top>
      <bottom style="medium">
        <color indexed="64"/>
      </bottom>
      <diagonal/>
    </border>
    <border>
      <left style="thin">
        <color indexed="64"/>
      </left>
      <right style="medium">
        <color indexed="64"/>
      </right>
      <top style="medium">
        <color theme="1"/>
      </top>
      <bottom style="medium">
        <color indexed="64"/>
      </bottom>
      <diagonal/>
    </border>
    <border>
      <left/>
      <right style="thin">
        <color indexed="64"/>
      </right>
      <top style="medium">
        <color theme="1"/>
      </top>
      <bottom style="medium">
        <color indexed="64"/>
      </bottom>
      <diagonal/>
    </border>
    <border>
      <left style="thin">
        <color indexed="64"/>
      </left>
      <right style="thin">
        <color indexed="64"/>
      </right>
      <top style="medium">
        <color theme="1"/>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theme="1"/>
      </right>
      <top style="medium">
        <color theme="1"/>
      </top>
      <bottom style="medium">
        <color indexed="64"/>
      </bottom>
      <diagonal/>
    </border>
    <border>
      <left style="medium">
        <color indexed="64"/>
      </left>
      <right style="thin">
        <color indexed="64"/>
      </right>
      <top style="medium">
        <color indexed="64"/>
      </top>
      <bottom style="medium">
        <color indexed="64"/>
      </bottom>
      <diagonal/>
    </border>
    <border>
      <left/>
      <right style="thin">
        <color theme="1"/>
      </right>
      <top style="medium">
        <color indexed="64"/>
      </top>
      <bottom style="medium">
        <color indexed="64"/>
      </bottom>
      <diagonal/>
    </border>
    <border>
      <left style="thin">
        <color theme="1"/>
      </left>
      <right style="medium">
        <color indexed="64"/>
      </right>
      <top style="medium">
        <color indexed="64"/>
      </top>
      <bottom style="medium">
        <color indexed="64"/>
      </bottom>
      <diagonal/>
    </border>
    <border>
      <left style="medium">
        <color theme="1"/>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theme="1"/>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theme="1"/>
      </right>
      <top/>
      <bottom style="thin">
        <color indexed="64"/>
      </bottom>
      <diagonal/>
    </border>
    <border>
      <left style="medium">
        <color theme="1"/>
      </left>
      <right style="thin">
        <color indexed="64"/>
      </right>
      <top/>
      <bottom style="thin">
        <color theme="1"/>
      </bottom>
      <diagonal/>
    </border>
    <border>
      <left style="thin">
        <color indexed="64"/>
      </left>
      <right style="medium">
        <color indexed="64"/>
      </right>
      <top style="medium">
        <color indexed="64"/>
      </top>
      <bottom style="thin">
        <color indexed="64"/>
      </bottom>
      <diagonal/>
    </border>
    <border>
      <left/>
      <right style="thin">
        <color theme="1"/>
      </right>
      <top/>
      <bottom style="thin">
        <color theme="1"/>
      </bottom>
      <diagonal/>
    </border>
    <border>
      <left style="thin">
        <color theme="1"/>
      </left>
      <right style="thin">
        <color theme="1"/>
      </right>
      <top/>
      <bottom style="thin">
        <color indexed="64"/>
      </bottom>
      <diagonal/>
    </border>
    <border>
      <left style="thin">
        <color theme="1"/>
      </left>
      <right style="medium">
        <color theme="1"/>
      </right>
      <top/>
      <bottom style="thin">
        <color indexed="64"/>
      </bottom>
      <diagonal/>
    </border>
    <border>
      <left style="medium">
        <color theme="1"/>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thin">
        <color theme="1"/>
      </right>
      <top style="thin">
        <color indexed="64"/>
      </top>
      <bottom style="thin">
        <color indexed="64"/>
      </bottom>
      <diagonal/>
    </border>
    <border>
      <left style="thin">
        <color theme="1"/>
      </left>
      <right/>
      <top/>
      <bottom style="thin">
        <color indexed="64"/>
      </bottom>
      <diagonal/>
    </border>
    <border>
      <left style="thin">
        <color theme="1"/>
      </left>
      <right style="thin">
        <color indexed="64"/>
      </right>
      <top style="medium">
        <color indexed="64"/>
      </top>
      <bottom style="thin">
        <color indexed="64"/>
      </bottom>
      <diagonal/>
    </border>
    <border>
      <left/>
      <right style="medium">
        <color theme="1"/>
      </right>
      <top style="medium">
        <color indexed="64"/>
      </top>
      <bottom style="thin">
        <color indexed="64"/>
      </bottom>
      <diagonal/>
    </border>
    <border>
      <left style="thin">
        <color theme="1"/>
      </left>
      <right style="thin">
        <color theme="1"/>
      </right>
      <top/>
      <bottom style="thin">
        <color theme="1"/>
      </bottom>
      <diagonal/>
    </border>
    <border>
      <left/>
      <right/>
      <top/>
      <bottom style="thin">
        <color theme="1"/>
      </bottom>
      <diagonal/>
    </border>
    <border>
      <left style="medium">
        <color indexed="64"/>
      </left>
      <right/>
      <top/>
      <bottom style="thin">
        <color theme="1"/>
      </bottom>
      <diagonal/>
    </border>
    <border>
      <left style="thin">
        <color indexed="64"/>
      </left>
      <right style="thin">
        <color indexed="64"/>
      </right>
      <top/>
      <bottom style="thin">
        <color theme="1"/>
      </bottom>
      <diagonal/>
    </border>
    <border>
      <left style="medium">
        <color theme="1"/>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bottom style="thin">
        <color theme="1"/>
      </bottom>
      <diagonal/>
    </border>
    <border>
      <left style="medium">
        <color indexed="64"/>
      </left>
      <right style="thin">
        <color indexed="64"/>
      </right>
      <top style="thin">
        <color theme="1"/>
      </top>
      <bottom style="thin">
        <color indexed="64"/>
      </bottom>
      <diagonal/>
    </border>
    <border>
      <left style="thin">
        <color indexed="64"/>
      </left>
      <right style="medium">
        <color indexed="64"/>
      </right>
      <top style="thin">
        <color indexed="64"/>
      </top>
      <bottom style="thin">
        <color indexed="64"/>
      </bottom>
      <diagonal/>
    </border>
    <border>
      <left/>
      <right style="thin">
        <color theme="1"/>
      </right>
      <top style="thin">
        <color theme="1"/>
      </top>
      <bottom style="thin">
        <color theme="1"/>
      </bottom>
      <diagonal/>
    </border>
    <border>
      <left style="thin">
        <color theme="1"/>
      </left>
      <right style="thin">
        <color theme="1"/>
      </right>
      <top style="thin">
        <color indexed="64"/>
      </top>
      <bottom style="thin">
        <color indexed="64"/>
      </bottom>
      <diagonal/>
    </border>
    <border>
      <left style="medium">
        <color theme="1"/>
      </left>
      <right style="thin">
        <color indexed="64"/>
      </right>
      <top style="thin">
        <color indexed="64"/>
      </top>
      <bottom style="thin">
        <color theme="1"/>
      </bottom>
      <diagonal/>
    </border>
    <border>
      <left style="thin">
        <color indexed="64"/>
      </left>
      <right style="thin">
        <color indexed="64"/>
      </right>
      <top style="thin">
        <color indexed="64"/>
      </top>
      <bottom style="thin">
        <color theme="1"/>
      </bottom>
      <diagonal/>
    </border>
    <border>
      <left/>
      <right style="medium">
        <color indexed="64"/>
      </right>
      <top style="thin">
        <color indexed="64"/>
      </top>
      <bottom style="thin">
        <color indexed="64"/>
      </bottom>
      <diagonal/>
    </border>
    <border>
      <left style="thin">
        <color theme="1"/>
      </left>
      <right style="thin">
        <color indexed="64"/>
      </right>
      <top/>
      <bottom style="thin">
        <color indexed="64"/>
      </bottom>
      <diagonal/>
    </border>
    <border>
      <left/>
      <right style="medium">
        <color theme="1"/>
      </right>
      <top style="thin">
        <color indexed="64"/>
      </top>
      <bottom style="thin">
        <color indexed="64"/>
      </bottom>
      <diagonal/>
    </border>
    <border>
      <left style="medium">
        <color theme="1"/>
      </left>
      <right style="thin">
        <color theme="1"/>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style="thin">
        <color indexed="64"/>
      </right>
      <top style="thin">
        <color theme="1"/>
      </top>
      <bottom style="thin">
        <color theme="1"/>
      </bottom>
      <diagonal/>
    </border>
    <border>
      <left style="thin">
        <color indexed="64"/>
      </left>
      <right style="thin">
        <color indexed="64"/>
      </right>
      <top style="thin">
        <color theme="1"/>
      </top>
      <bottom style="thin">
        <color theme="1"/>
      </bottom>
      <diagonal/>
    </border>
    <border>
      <left style="thin">
        <color theme="1"/>
      </left>
      <right style="medium">
        <color indexed="64"/>
      </right>
      <top style="thin">
        <color theme="1"/>
      </top>
      <bottom style="thin">
        <color theme="1"/>
      </bottom>
      <diagonal/>
    </border>
    <border>
      <left style="medium">
        <color indexed="64"/>
      </left>
      <right style="thin">
        <color indexed="64"/>
      </right>
      <top style="thin">
        <color indexed="64"/>
      </top>
      <bottom style="thin">
        <color theme="1"/>
      </bottom>
      <diagonal/>
    </border>
    <border>
      <left style="thin">
        <color indexed="64"/>
      </left>
      <right/>
      <top style="thin">
        <color indexed="64"/>
      </top>
      <bottom style="thin">
        <color indexed="64"/>
      </bottom>
      <diagonal/>
    </border>
    <border>
      <left style="medium">
        <color indexed="64"/>
      </left>
      <right style="thin">
        <color indexed="64"/>
      </right>
      <top style="thin">
        <color theme="1"/>
      </top>
      <bottom style="thin">
        <color theme="1"/>
      </bottom>
      <diagonal/>
    </border>
    <border>
      <left/>
      <right style="medium">
        <color indexed="64"/>
      </right>
      <top/>
      <bottom style="thin">
        <color theme="1"/>
      </bottom>
      <diagonal/>
    </border>
    <border>
      <left style="medium">
        <color theme="1"/>
      </left>
      <right style="thin">
        <color indexed="64"/>
      </right>
      <top style="thin">
        <color theme="1"/>
      </top>
      <bottom style="thin">
        <color theme="1"/>
      </bottom>
      <diagonal/>
    </border>
    <border>
      <left/>
      <right style="medium">
        <color indexed="64"/>
      </right>
      <top style="thin">
        <color theme="1"/>
      </top>
      <bottom style="thin">
        <color theme="1"/>
      </bottom>
      <diagonal/>
    </border>
    <border>
      <left style="thin">
        <color indexed="64"/>
      </left>
      <right/>
      <top style="thin">
        <color theme="1"/>
      </top>
      <bottom style="thin">
        <color theme="1"/>
      </bottom>
      <diagonal/>
    </border>
    <border>
      <left style="thin">
        <color theme="1"/>
      </left>
      <right/>
      <top style="thin">
        <color theme="1"/>
      </top>
      <bottom style="thin">
        <color theme="1"/>
      </bottom>
      <diagonal/>
    </border>
    <border>
      <left style="thin">
        <color theme="1"/>
      </left>
      <right style="thin">
        <color indexed="64"/>
      </right>
      <top style="thin">
        <color indexed="64"/>
      </top>
      <bottom style="thin">
        <color theme="1"/>
      </bottom>
      <diagonal/>
    </border>
    <border>
      <left/>
      <right/>
      <top style="thin">
        <color theme="1"/>
      </top>
      <bottom style="thin">
        <color theme="1"/>
      </bottom>
      <diagonal/>
    </border>
    <border>
      <left/>
      <right style="thin">
        <color indexed="64"/>
      </right>
      <top style="thin">
        <color theme="1"/>
      </top>
      <bottom style="thin">
        <color theme="1"/>
      </bottom>
      <diagonal/>
    </border>
    <border>
      <left/>
      <right style="medium">
        <color theme="1"/>
      </right>
      <top style="thin">
        <color theme="1"/>
      </top>
      <bottom style="thin">
        <color theme="1"/>
      </bottom>
      <diagonal/>
    </border>
    <border>
      <left style="medium">
        <color theme="1"/>
      </left>
      <right style="medium">
        <color theme="1"/>
      </right>
      <top style="thin">
        <color theme="1"/>
      </top>
      <bottom style="thin">
        <color theme="1"/>
      </bottom>
      <diagonal/>
    </border>
    <border>
      <left style="thin">
        <color indexed="64"/>
      </left>
      <right style="medium">
        <color indexed="64"/>
      </right>
      <top/>
      <bottom style="thin">
        <color indexed="64"/>
      </bottom>
      <diagonal/>
    </border>
    <border>
      <left style="medium">
        <color indexed="64"/>
      </left>
      <right/>
      <top style="thin">
        <color theme="1"/>
      </top>
      <bottom style="thin">
        <color theme="1"/>
      </bottom>
      <diagonal/>
    </border>
    <border>
      <left style="thin">
        <color indexed="64"/>
      </left>
      <right style="thin">
        <color indexed="64"/>
      </right>
      <top style="thin">
        <color theme="1"/>
      </top>
      <bottom style="thin">
        <color indexed="64"/>
      </bottom>
      <diagonal/>
    </border>
    <border>
      <left style="thin">
        <color indexed="64"/>
      </left>
      <right style="thin">
        <color indexed="64"/>
      </right>
      <top style="thin">
        <color indexed="64"/>
      </top>
      <bottom/>
      <diagonal/>
    </border>
    <border>
      <left/>
      <right style="medium">
        <color indexed="64"/>
      </right>
      <top/>
      <bottom/>
      <diagonal/>
    </border>
    <border>
      <left style="medium">
        <color theme="1"/>
      </left>
      <right style="thin">
        <color indexed="64"/>
      </right>
      <top style="thin">
        <color theme="1"/>
      </top>
      <bottom/>
      <diagonal/>
    </border>
    <border>
      <left/>
      <right style="thin">
        <color indexed="64"/>
      </right>
      <top style="thin">
        <color theme="1"/>
      </top>
      <bottom/>
      <diagonal/>
    </border>
    <border>
      <left/>
      <right style="medium">
        <color theme="1"/>
      </right>
      <top style="thin">
        <color theme="1"/>
      </top>
      <bottom/>
      <diagonal/>
    </border>
    <border>
      <left style="medium">
        <color theme="1"/>
      </left>
      <right style="medium">
        <color theme="1"/>
      </right>
      <top style="thin">
        <color theme="1"/>
      </top>
      <bottom/>
      <diagonal/>
    </border>
    <border>
      <left style="medium">
        <color theme="1"/>
      </left>
      <right style="thin">
        <color theme="1"/>
      </right>
      <top style="thin">
        <color theme="1"/>
      </top>
      <bottom/>
      <diagonal/>
    </border>
    <border>
      <left/>
      <right style="thin">
        <color theme="1"/>
      </right>
      <top style="thin">
        <color theme="1"/>
      </top>
      <bottom/>
      <diagonal/>
    </border>
    <border>
      <left style="thin">
        <color theme="1"/>
      </left>
      <right style="thin">
        <color theme="1"/>
      </right>
      <top style="thin">
        <color theme="1"/>
      </top>
      <bottom/>
      <diagonal/>
    </border>
    <border>
      <left style="thin">
        <color indexed="64"/>
      </left>
      <right style="medium">
        <color indexed="64"/>
      </right>
      <top style="thin">
        <color theme="1"/>
      </top>
      <bottom/>
      <diagonal/>
    </border>
    <border>
      <left style="thin">
        <color theme="1"/>
      </left>
      <right style="thin">
        <color indexed="64"/>
      </right>
      <top style="thin">
        <color theme="1"/>
      </top>
      <bottom/>
      <diagonal/>
    </border>
    <border>
      <left style="medium">
        <color indexed="64"/>
      </left>
      <right style="thin">
        <color theme="1"/>
      </right>
      <top style="thin">
        <color theme="1"/>
      </top>
      <bottom style="thin">
        <color theme="1"/>
      </bottom>
      <diagonal/>
    </border>
    <border>
      <left style="thin">
        <color indexed="64"/>
      </left>
      <right style="thin">
        <color indexed="64"/>
      </right>
      <top style="thin">
        <color theme="1"/>
      </top>
      <bottom/>
      <diagonal/>
    </border>
    <border>
      <left/>
      <right/>
      <top style="thin">
        <color theme="1"/>
      </top>
      <bottom/>
      <diagonal/>
    </border>
    <border>
      <left style="thin">
        <color theme="1"/>
      </left>
      <right/>
      <top style="thin">
        <color theme="1"/>
      </top>
      <bottom/>
      <diagonal/>
    </border>
    <border>
      <left style="thin">
        <color indexed="64"/>
      </left>
      <right style="medium">
        <color indexed="64"/>
      </right>
      <top style="thin">
        <color theme="1"/>
      </top>
      <bottom style="thin">
        <color theme="1"/>
      </bottom>
      <diagonal/>
    </border>
    <border>
      <left style="medium">
        <color indexed="64"/>
      </left>
      <right/>
      <top style="thin">
        <color theme="1"/>
      </top>
      <bottom/>
      <diagonal/>
    </border>
    <border>
      <left style="thin">
        <color theme="1"/>
      </left>
      <right style="medium">
        <color indexed="64"/>
      </right>
      <top style="thin">
        <color theme="1"/>
      </top>
      <bottom/>
      <diagonal/>
    </border>
    <border>
      <left style="medium">
        <color indexed="64"/>
      </left>
      <right style="thin">
        <color theme="1"/>
      </right>
      <top style="thin">
        <color theme="1"/>
      </top>
      <bottom style="thin">
        <color indexed="64"/>
      </bottom>
      <diagonal/>
    </border>
    <border>
      <left style="medium">
        <color indexed="64"/>
      </left>
      <right style="thin">
        <color theme="1"/>
      </right>
      <top/>
      <bottom style="thin">
        <color theme="1"/>
      </bottom>
      <diagonal/>
    </border>
    <border>
      <left style="thin">
        <color theme="1"/>
      </left>
      <right style="thin">
        <color indexed="64"/>
      </right>
      <top style="thin">
        <color theme="1"/>
      </top>
      <bottom style="medium">
        <color theme="1"/>
      </bottom>
      <diagonal/>
    </border>
    <border>
      <left/>
      <right style="thin">
        <color indexed="64"/>
      </right>
      <top style="thin">
        <color theme="1"/>
      </top>
      <bottom style="medium">
        <color theme="1"/>
      </bottom>
      <diagonal/>
    </border>
    <border>
      <left/>
      <right style="medium">
        <color theme="1"/>
      </right>
      <top style="thin">
        <color theme="1"/>
      </top>
      <bottom style="medium">
        <color theme="1"/>
      </bottom>
      <diagonal/>
    </border>
    <border>
      <left style="medium">
        <color theme="1"/>
      </left>
      <right style="medium">
        <color theme="1"/>
      </right>
      <top style="thin">
        <color theme="1"/>
      </top>
      <bottom style="medium">
        <color theme="1"/>
      </bottom>
      <diagonal/>
    </border>
    <border>
      <left style="medium">
        <color theme="1"/>
      </left>
      <right style="thin">
        <color theme="1"/>
      </right>
      <top style="thin">
        <color theme="1"/>
      </top>
      <bottom style="medium">
        <color theme="1"/>
      </bottom>
      <diagonal/>
    </border>
    <border>
      <left/>
      <right style="thin">
        <color theme="1"/>
      </right>
      <top style="thin">
        <color theme="1"/>
      </top>
      <bottom style="medium">
        <color theme="1"/>
      </bottom>
      <diagonal/>
    </border>
    <border>
      <left style="thin">
        <color theme="1"/>
      </left>
      <right style="thin">
        <color theme="1"/>
      </right>
      <top style="thin">
        <color theme="1"/>
      </top>
      <bottom style="medium">
        <color theme="1"/>
      </bottom>
      <diagonal/>
    </border>
    <border>
      <left style="thin">
        <color indexed="64"/>
      </left>
      <right style="medium">
        <color indexed="64"/>
      </right>
      <top style="thin">
        <color theme="1"/>
      </top>
      <bottom style="medium">
        <color theme="1"/>
      </bottom>
      <diagonal/>
    </border>
    <border>
      <left style="medium">
        <color indexed="64"/>
      </left>
      <right style="thin">
        <color theme="1"/>
      </right>
      <top style="thin">
        <color theme="1"/>
      </top>
      <bottom style="medium">
        <color theme="1"/>
      </bottom>
      <diagonal/>
    </border>
    <border>
      <left style="thin">
        <color indexed="64"/>
      </left>
      <right style="thin">
        <color indexed="64"/>
      </right>
      <top style="thin">
        <color theme="1"/>
      </top>
      <bottom style="medium">
        <color theme="1"/>
      </bottom>
      <diagonal/>
    </border>
    <border>
      <left style="thin">
        <color theme="1"/>
      </left>
      <right/>
      <top style="thin">
        <color theme="1"/>
      </top>
      <bottom style="medium">
        <color theme="1"/>
      </bottom>
      <diagonal/>
    </border>
    <border>
      <left/>
      <right/>
      <top style="thin">
        <color theme="1"/>
      </top>
      <bottom style="medium">
        <color theme="1"/>
      </bottom>
      <diagonal/>
    </border>
    <border>
      <left style="thin">
        <color indexed="64"/>
      </left>
      <right style="medium">
        <color indexed="64"/>
      </right>
      <top style="thin">
        <color theme="1"/>
      </top>
      <bottom style="medium">
        <color indexed="64"/>
      </bottom>
      <diagonal/>
    </border>
    <border>
      <left style="medium">
        <color indexed="64"/>
      </left>
      <right style="thin">
        <color indexed="64"/>
      </right>
      <top style="thin">
        <color theme="1"/>
      </top>
      <bottom style="medium">
        <color indexed="64"/>
      </bottom>
      <diagonal/>
    </border>
    <border>
      <left style="thin">
        <color indexed="64"/>
      </left>
      <right style="thin">
        <color indexed="64"/>
      </right>
      <top style="thin">
        <color theme="1"/>
      </top>
      <bottom style="medium">
        <color indexed="64"/>
      </bottom>
      <diagonal/>
    </border>
    <border>
      <left/>
      <right style="thin">
        <color theme="1"/>
      </right>
      <top style="thin">
        <color theme="1"/>
      </top>
      <bottom style="medium">
        <color indexed="64"/>
      </bottom>
      <diagonal/>
    </border>
    <border>
      <left style="thin">
        <color theme="1"/>
      </left>
      <right style="medium">
        <color indexed="64"/>
      </right>
      <top style="thin">
        <color theme="1"/>
      </top>
      <bottom style="medium">
        <color indexed="64"/>
      </bottom>
      <diagonal/>
    </border>
    <border>
      <left style="medium">
        <color indexed="64"/>
      </left>
      <right/>
      <top style="medium">
        <color indexed="64"/>
      </top>
      <bottom style="thick">
        <color theme="4"/>
      </bottom>
      <diagonal/>
    </border>
    <border>
      <left/>
      <right/>
      <top style="thin">
        <color indexed="64"/>
      </top>
      <bottom style="thin">
        <color indexed="64"/>
      </bottom>
      <diagonal/>
    </border>
    <border>
      <left style="thin">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diagonal/>
    </border>
    <border>
      <left style="thin">
        <color rgb="FFB2B2B2"/>
      </left>
      <right/>
      <top style="thick">
        <color theme="4"/>
      </top>
      <bottom/>
      <diagonal/>
    </border>
    <border>
      <left style="thin">
        <color rgb="FFB2B2B2"/>
      </left>
      <right/>
      <top/>
      <bottom/>
      <diagonal/>
    </border>
    <border>
      <left style="medium">
        <color indexed="64"/>
      </left>
      <right style="thin">
        <color indexed="64"/>
      </right>
      <top style="thin">
        <color indexed="64"/>
      </top>
      <bottom/>
      <diagonal/>
    </border>
    <border>
      <left style="medium">
        <color indexed="64"/>
      </left>
      <right/>
      <top style="thin">
        <color indexed="64"/>
      </top>
      <bottom/>
      <diagonal/>
    </border>
    <border>
      <left style="thin">
        <color theme="0"/>
      </left>
      <right style="thin">
        <color theme="0"/>
      </right>
      <top style="thin">
        <color indexed="64"/>
      </top>
      <bottom style="thin">
        <color indexed="64"/>
      </bottom>
      <diagonal/>
    </border>
    <border>
      <left style="thin">
        <color theme="0"/>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thin">
        <color rgb="FF000000"/>
      </left>
      <right style="thin">
        <color indexed="64"/>
      </right>
      <top style="thin">
        <color rgb="FF000000"/>
      </top>
      <bottom style="thin">
        <color indexed="64"/>
      </bottom>
      <diagonal/>
    </border>
    <border>
      <left style="thin">
        <color indexed="64"/>
      </left>
      <right style="thin">
        <color indexed="64"/>
      </right>
      <top style="thin">
        <color rgb="FF000000"/>
      </top>
      <bottom style="thin">
        <color indexed="64"/>
      </bottom>
      <diagonal/>
    </border>
    <border>
      <left style="thin">
        <color indexed="64"/>
      </left>
      <right/>
      <top/>
      <bottom style="medium">
        <color indexed="64"/>
      </bottom>
      <diagonal/>
    </border>
    <border>
      <left style="thin">
        <color theme="1"/>
      </left>
      <right style="thin">
        <color indexed="64"/>
      </right>
      <top/>
      <bottom/>
      <diagonal/>
    </border>
  </borders>
  <cellStyleXfs count="10">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 fillId="0" borderId="1" applyNumberFormat="0" applyFill="0" applyAlignment="0" applyProtection="0"/>
    <xf numFmtId="0" fontId="3" fillId="0" borderId="2" applyNumberFormat="0" applyFill="0" applyAlignment="0" applyProtection="0"/>
    <xf numFmtId="0" fontId="4" fillId="0" borderId="0" applyNumberFormat="0" applyFill="0" applyBorder="0" applyAlignment="0" applyProtection="0"/>
    <xf numFmtId="0" fontId="1" fillId="2" borderId="3" applyNumberFormat="0" applyFont="0" applyAlignment="0" applyProtection="0"/>
    <xf numFmtId="0" fontId="13" fillId="0" borderId="0"/>
    <xf numFmtId="0" fontId="14" fillId="0" borderId="0" applyNumberFormat="0" applyFill="0" applyBorder="0" applyAlignment="0" applyProtection="0"/>
  </cellStyleXfs>
  <cellXfs count="686">
    <xf numFmtId="0" fontId="0" fillId="0" borderId="0" xfId="0"/>
    <xf numFmtId="0" fontId="6" fillId="0" borderId="4" xfId="0" applyFont="1" applyBorder="1"/>
    <xf numFmtId="0" fontId="0" fillId="0" borderId="4" xfId="0" applyBorder="1" applyAlignment="1">
      <alignment wrapText="1"/>
    </xf>
    <xf numFmtId="0" fontId="8" fillId="3" borderId="5" xfId="0" applyFont="1" applyFill="1" applyBorder="1" applyAlignment="1">
      <alignment wrapText="1"/>
    </xf>
    <xf numFmtId="0" fontId="8" fillId="4" borderId="5" xfId="0" applyFont="1" applyFill="1" applyBorder="1" applyAlignment="1">
      <alignment wrapText="1"/>
    </xf>
    <xf numFmtId="0" fontId="8" fillId="5" borderId="5" xfId="0" applyFont="1" applyFill="1" applyBorder="1" applyAlignment="1">
      <alignment wrapText="1"/>
    </xf>
    <xf numFmtId="0" fontId="8" fillId="0" borderId="5" xfId="0" applyFont="1" applyBorder="1" applyAlignment="1">
      <alignment wrapText="1"/>
    </xf>
    <xf numFmtId="0" fontId="0" fillId="0" borderId="5" xfId="0" applyBorder="1" applyAlignment="1">
      <alignment wrapText="1"/>
    </xf>
    <xf numFmtId="0" fontId="8" fillId="0" borderId="6" xfId="0" applyFont="1" applyBorder="1" applyAlignment="1">
      <alignment vertical="center" wrapText="1"/>
    </xf>
    <xf numFmtId="0" fontId="8" fillId="0" borderId="7" xfId="0" applyFont="1" applyBorder="1" applyAlignment="1">
      <alignment wrapText="1"/>
    </xf>
    <xf numFmtId="0" fontId="0" fillId="5" borderId="8" xfId="0" applyFill="1" applyBorder="1"/>
    <xf numFmtId="0" fontId="0" fillId="5" borderId="9" xfId="0" applyFill="1" applyBorder="1"/>
    <xf numFmtId="0" fontId="0" fillId="5" borderId="10" xfId="0" applyFill="1" applyBorder="1"/>
    <xf numFmtId="14" fontId="0" fillId="5" borderId="11" xfId="0" applyNumberFormat="1" applyFill="1" applyBorder="1"/>
    <xf numFmtId="0" fontId="9" fillId="3" borderId="12" xfId="0" applyFont="1" applyFill="1" applyBorder="1"/>
    <xf numFmtId="0" fontId="9" fillId="5" borderId="12" xfId="0" applyFont="1" applyFill="1" applyBorder="1"/>
    <xf numFmtId="0" fontId="9" fillId="3" borderId="13" xfId="0" applyFont="1" applyFill="1" applyBorder="1"/>
    <xf numFmtId="0" fontId="0" fillId="5" borderId="7" xfId="0" applyFill="1" applyBorder="1"/>
    <xf numFmtId="0" fontId="0" fillId="0" borderId="14" xfId="0" applyBorder="1" applyAlignment="1">
      <alignment vertical="center"/>
    </xf>
    <xf numFmtId="166" fontId="0" fillId="0" borderId="0" xfId="1" applyNumberFormat="1" applyFont="1"/>
    <xf numFmtId="0" fontId="8" fillId="6" borderId="14" xfId="0" applyFont="1" applyFill="1" applyBorder="1" applyProtection="1">
      <protection locked="0"/>
    </xf>
    <xf numFmtId="164" fontId="8" fillId="6" borderId="14" xfId="0" applyNumberFormat="1" applyFont="1" applyFill="1" applyBorder="1" applyProtection="1">
      <protection locked="0"/>
    </xf>
    <xf numFmtId="0" fontId="0" fillId="0" borderId="7" xfId="0" applyBorder="1" applyProtection="1">
      <protection locked="0"/>
    </xf>
    <xf numFmtId="0" fontId="0" fillId="6" borderId="14" xfId="0" applyFill="1" applyBorder="1" applyProtection="1">
      <protection locked="0"/>
    </xf>
    <xf numFmtId="0" fontId="8" fillId="6" borderId="14" xfId="0" applyFont="1" applyFill="1" applyBorder="1" applyAlignment="1" applyProtection="1">
      <alignment horizontal="right"/>
      <protection locked="0"/>
    </xf>
    <xf numFmtId="0" fontId="8" fillId="7" borderId="14" xfId="0" applyFont="1" applyFill="1" applyBorder="1" applyProtection="1">
      <protection locked="0"/>
    </xf>
    <xf numFmtId="1" fontId="8" fillId="7" borderId="14" xfId="0" applyNumberFormat="1" applyFont="1" applyFill="1" applyBorder="1" applyAlignment="1" applyProtection="1">
      <alignment horizontal="right"/>
      <protection locked="0"/>
    </xf>
    <xf numFmtId="10" fontId="8" fillId="7" borderId="14" xfId="3" applyNumberFormat="1" applyFont="1" applyFill="1" applyBorder="1" applyProtection="1">
      <protection locked="0"/>
    </xf>
    <xf numFmtId="1" fontId="8" fillId="7" borderId="14" xfId="0" applyNumberFormat="1" applyFont="1" applyFill="1" applyBorder="1" applyProtection="1">
      <protection locked="0"/>
    </xf>
    <xf numFmtId="165" fontId="8" fillId="7" borderId="14" xfId="3" applyNumberFormat="1" applyFont="1" applyFill="1" applyBorder="1" applyProtection="1">
      <protection locked="0"/>
    </xf>
    <xf numFmtId="164" fontId="8" fillId="7" borderId="14" xfId="0" applyNumberFormat="1" applyFont="1" applyFill="1" applyBorder="1" applyProtection="1">
      <protection locked="0"/>
    </xf>
    <xf numFmtId="0" fontId="8" fillId="7" borderId="7" xfId="0" applyFont="1" applyFill="1" applyBorder="1"/>
    <xf numFmtId="166" fontId="0" fillId="8" borderId="0" xfId="1" applyNumberFormat="1" applyFont="1" applyFill="1"/>
    <xf numFmtId="0" fontId="0" fillId="8" borderId="0" xfId="0" applyFill="1"/>
    <xf numFmtId="0" fontId="0" fillId="0" borderId="14" xfId="0" applyBorder="1"/>
    <xf numFmtId="0" fontId="0" fillId="0" borderId="14" xfId="0" applyBorder="1" applyProtection="1">
      <protection locked="0"/>
    </xf>
    <xf numFmtId="0" fontId="0" fillId="0" borderId="0" xfId="0" applyProtection="1">
      <protection locked="0"/>
    </xf>
    <xf numFmtId="0" fontId="0" fillId="0" borderId="0" xfId="0" applyAlignment="1">
      <alignment horizontal="right"/>
    </xf>
    <xf numFmtId="0" fontId="9" fillId="3" borderId="14" xfId="0" applyFont="1" applyFill="1" applyBorder="1"/>
    <xf numFmtId="14" fontId="0" fillId="0" borderId="0" xfId="0" applyNumberFormat="1" applyProtection="1">
      <protection locked="0"/>
    </xf>
    <xf numFmtId="0" fontId="11" fillId="0" borderId="14" xfId="0" applyFont="1" applyBorder="1" applyProtection="1">
      <protection locked="0"/>
    </xf>
    <xf numFmtId="0" fontId="12" fillId="6" borderId="1" xfId="4" applyFont="1" applyFill="1" applyAlignment="1">
      <alignment wrapText="1"/>
    </xf>
    <xf numFmtId="0" fontId="0" fillId="6" borderId="0" xfId="0" applyFill="1"/>
    <xf numFmtId="0" fontId="1" fillId="0" borderId="0" xfId="8" quotePrefix="1" applyFont="1"/>
    <xf numFmtId="0" fontId="3" fillId="0" borderId="2" xfId="5" applyFill="1" applyAlignment="1"/>
    <xf numFmtId="0" fontId="8" fillId="9" borderId="16" xfId="0" applyFont="1" applyFill="1" applyBorder="1" applyAlignment="1">
      <alignment vertical="center" wrapText="1"/>
    </xf>
    <xf numFmtId="0" fontId="3" fillId="0" borderId="2" xfId="5" applyFill="1" applyAlignment="1">
      <alignment wrapText="1"/>
    </xf>
    <xf numFmtId="0" fontId="8" fillId="9" borderId="6" xfId="0" applyFont="1" applyFill="1" applyBorder="1" applyAlignment="1">
      <alignment horizontal="left"/>
    </xf>
    <xf numFmtId="0" fontId="8" fillId="9" borderId="6" xfId="0" applyFont="1" applyFill="1" applyBorder="1" applyAlignment="1">
      <alignment horizontal="left" wrapText="1"/>
    </xf>
    <xf numFmtId="0" fontId="14" fillId="9" borderId="11" xfId="9" applyFill="1" applyBorder="1" applyAlignment="1">
      <alignment vertical="center" wrapText="1"/>
    </xf>
    <xf numFmtId="0" fontId="8" fillId="9" borderId="17" xfId="0" applyFont="1" applyFill="1" applyBorder="1" applyAlignment="1">
      <alignment vertical="center" wrapText="1"/>
    </xf>
    <xf numFmtId="0" fontId="8" fillId="10" borderId="5" xfId="0" applyFont="1" applyFill="1" applyBorder="1" applyAlignment="1">
      <alignment wrapText="1"/>
    </xf>
    <xf numFmtId="0" fontId="8" fillId="9" borderId="6" xfId="0" applyFont="1" applyFill="1" applyBorder="1" applyAlignment="1">
      <alignment vertical="center" wrapText="1"/>
    </xf>
    <xf numFmtId="0" fontId="8" fillId="9" borderId="7" xfId="0" applyFont="1" applyFill="1" applyBorder="1" applyAlignment="1">
      <alignment wrapText="1"/>
    </xf>
    <xf numFmtId="0" fontId="17" fillId="11" borderId="0" xfId="0" applyFont="1" applyFill="1" applyAlignment="1">
      <alignment vertical="center"/>
    </xf>
    <xf numFmtId="0" fontId="18" fillId="11" borderId="18" xfId="0" applyFont="1" applyFill="1" applyBorder="1" applyAlignment="1" applyProtection="1">
      <alignment vertical="center"/>
      <protection locked="0"/>
    </xf>
    <xf numFmtId="164" fontId="0" fillId="0" borderId="0" xfId="2" applyNumberFormat="1" applyFont="1" applyProtection="1"/>
    <xf numFmtId="164" fontId="0" fillId="0" borderId="0" xfId="0" applyNumberFormat="1"/>
    <xf numFmtId="2" fontId="0" fillId="0" borderId="0" xfId="0" applyNumberFormat="1"/>
    <xf numFmtId="0" fontId="0" fillId="5" borderId="19" xfId="0" applyFill="1" applyBorder="1"/>
    <xf numFmtId="0" fontId="0" fillId="5" borderId="20" xfId="0" applyFill="1" applyBorder="1"/>
    <xf numFmtId="0" fontId="0" fillId="5" borderId="21" xfId="0" applyFill="1" applyBorder="1"/>
    <xf numFmtId="0" fontId="6" fillId="5" borderId="22" xfId="0" applyFont="1" applyFill="1" applyBorder="1"/>
    <xf numFmtId="0" fontId="6" fillId="5" borderId="23" xfId="0" applyFont="1" applyFill="1" applyBorder="1" applyAlignment="1">
      <alignment horizontal="centerContinuous"/>
    </xf>
    <xf numFmtId="0" fontId="6" fillId="5" borderId="24" xfId="0" applyFont="1" applyFill="1" applyBorder="1" applyAlignment="1">
      <alignment horizontal="centerContinuous"/>
    </xf>
    <xf numFmtId="0" fontId="0" fillId="5" borderId="24" xfId="0" applyFill="1" applyBorder="1" applyAlignment="1">
      <alignment horizontal="centerContinuous"/>
    </xf>
    <xf numFmtId="0" fontId="0" fillId="5" borderId="25" xfId="0" applyFill="1" applyBorder="1" applyAlignment="1">
      <alignment horizontal="centerContinuous"/>
    </xf>
    <xf numFmtId="0" fontId="6" fillId="5" borderId="26" xfId="0" applyFont="1" applyFill="1" applyBorder="1" applyAlignment="1">
      <alignment horizontal="centerContinuous"/>
    </xf>
    <xf numFmtId="0" fontId="0" fillId="5" borderId="27" xfId="0" applyFill="1" applyBorder="1" applyAlignment="1">
      <alignment horizontal="centerContinuous"/>
    </xf>
    <xf numFmtId="0" fontId="6" fillId="5" borderId="20" xfId="0" applyFont="1" applyFill="1" applyBorder="1" applyAlignment="1">
      <alignment horizontal="centerContinuous"/>
    </xf>
    <xf numFmtId="0" fontId="6" fillId="5" borderId="21" xfId="0" applyFont="1" applyFill="1" applyBorder="1" applyAlignment="1">
      <alignment horizontal="centerContinuous"/>
    </xf>
    <xf numFmtId="0" fontId="6" fillId="5" borderId="19" xfId="0" applyFont="1" applyFill="1" applyBorder="1" applyAlignment="1">
      <alignment horizontal="centerContinuous"/>
    </xf>
    <xf numFmtId="0" fontId="0" fillId="5" borderId="28" xfId="0" applyFill="1" applyBorder="1" applyAlignment="1">
      <alignment horizontal="centerContinuous"/>
    </xf>
    <xf numFmtId="9" fontId="0" fillId="5" borderId="28" xfId="0" applyNumberFormat="1" applyFill="1" applyBorder="1" applyAlignment="1">
      <alignment horizontal="centerContinuous"/>
    </xf>
    <xf numFmtId="9" fontId="0" fillId="5" borderId="25" xfId="0" applyNumberFormat="1" applyFill="1" applyBorder="1" applyAlignment="1">
      <alignment horizontal="centerContinuous"/>
    </xf>
    <xf numFmtId="9" fontId="0" fillId="5" borderId="12" xfId="0" applyNumberFormat="1" applyFill="1" applyBorder="1" applyAlignment="1">
      <alignment horizontal="centerContinuous"/>
    </xf>
    <xf numFmtId="164" fontId="6" fillId="5" borderId="26" xfId="2" applyNumberFormat="1" applyFont="1" applyFill="1" applyBorder="1" applyAlignment="1" applyProtection="1">
      <alignment horizontal="centerContinuous"/>
    </xf>
    <xf numFmtId="164" fontId="6" fillId="5" borderId="24" xfId="0" applyNumberFormat="1" applyFont="1" applyFill="1" applyBorder="1" applyAlignment="1">
      <alignment horizontal="centerContinuous"/>
    </xf>
    <xf numFmtId="164" fontId="0" fillId="5" borderId="24" xfId="0" applyNumberFormat="1" applyFill="1" applyBorder="1" applyAlignment="1">
      <alignment horizontal="centerContinuous"/>
    </xf>
    <xf numFmtId="164" fontId="0" fillId="5" borderId="21" xfId="0" applyNumberFormat="1" applyFill="1" applyBorder="1" applyAlignment="1">
      <alignment horizontal="centerContinuous"/>
    </xf>
    <xf numFmtId="164" fontId="6" fillId="5" borderId="23" xfId="0" applyNumberFormat="1" applyFont="1" applyFill="1" applyBorder="1" applyAlignment="1">
      <alignment horizontal="centerContinuous"/>
    </xf>
    <xf numFmtId="164" fontId="0" fillId="5" borderId="29" xfId="0" applyNumberFormat="1" applyFill="1" applyBorder="1" applyAlignment="1">
      <alignment horizontal="centerContinuous" wrapText="1"/>
    </xf>
    <xf numFmtId="164" fontId="0" fillId="5" borderId="20" xfId="0" applyNumberFormat="1" applyFill="1" applyBorder="1" applyAlignment="1">
      <alignment horizontal="centerContinuous"/>
    </xf>
    <xf numFmtId="2" fontId="0" fillId="5" borderId="21" xfId="0" applyNumberFormat="1" applyFill="1" applyBorder="1" applyAlignment="1">
      <alignment horizontal="centerContinuous"/>
    </xf>
    <xf numFmtId="0" fontId="0" fillId="5" borderId="30" xfId="0" applyFill="1" applyBorder="1" applyAlignment="1">
      <alignment wrapText="1"/>
    </xf>
    <xf numFmtId="0" fontId="0" fillId="5" borderId="31" xfId="0" applyFill="1" applyBorder="1" applyAlignment="1">
      <alignment wrapText="1"/>
    </xf>
    <xf numFmtId="0" fontId="0" fillId="5" borderId="32" xfId="0" applyFill="1" applyBorder="1" applyAlignment="1">
      <alignment wrapText="1"/>
    </xf>
    <xf numFmtId="0" fontId="0" fillId="5" borderId="33" xfId="0" applyFill="1" applyBorder="1" applyAlignment="1">
      <alignment wrapText="1"/>
    </xf>
    <xf numFmtId="0" fontId="0" fillId="5" borderId="34" xfId="0" applyFill="1" applyBorder="1" applyAlignment="1">
      <alignment wrapText="1"/>
    </xf>
    <xf numFmtId="0" fontId="0" fillId="5" borderId="35" xfId="0" applyFill="1" applyBorder="1" applyAlignment="1">
      <alignment wrapText="1"/>
    </xf>
    <xf numFmtId="0" fontId="0" fillId="5" borderId="36" xfId="0" applyFill="1" applyBorder="1" applyAlignment="1">
      <alignment wrapText="1"/>
    </xf>
    <xf numFmtId="0" fontId="0" fillId="5" borderId="37" xfId="0" applyFill="1" applyBorder="1" applyAlignment="1">
      <alignment wrapText="1"/>
    </xf>
    <xf numFmtId="0" fontId="0" fillId="5" borderId="38" xfId="0" applyFill="1" applyBorder="1" applyAlignment="1">
      <alignment wrapText="1"/>
    </xf>
    <xf numFmtId="0" fontId="0" fillId="5" borderId="39" xfId="0" applyFill="1" applyBorder="1" applyAlignment="1">
      <alignment wrapText="1"/>
    </xf>
    <xf numFmtId="0" fontId="0" fillId="5" borderId="40" xfId="0" applyFill="1" applyBorder="1" applyAlignment="1">
      <alignment wrapText="1"/>
    </xf>
    <xf numFmtId="0" fontId="0" fillId="5" borderId="41" xfId="0" applyFill="1" applyBorder="1" applyAlignment="1">
      <alignment wrapText="1"/>
    </xf>
    <xf numFmtId="0" fontId="0" fillId="5" borderId="42" xfId="0" applyFill="1" applyBorder="1" applyAlignment="1">
      <alignment wrapText="1"/>
    </xf>
    <xf numFmtId="0" fontId="0" fillId="5" borderId="43" xfId="0" applyFill="1" applyBorder="1" applyAlignment="1">
      <alignment wrapText="1"/>
    </xf>
    <xf numFmtId="0" fontId="0" fillId="5" borderId="18" xfId="0" applyFill="1" applyBorder="1" applyAlignment="1">
      <alignment wrapText="1"/>
    </xf>
    <xf numFmtId="0" fontId="0" fillId="5" borderId="44" xfId="0" applyFill="1" applyBorder="1" applyAlignment="1">
      <alignment wrapText="1"/>
    </xf>
    <xf numFmtId="164" fontId="0" fillId="5" borderId="36" xfId="2" applyNumberFormat="1" applyFont="1" applyFill="1" applyBorder="1" applyAlignment="1" applyProtection="1">
      <alignment wrapText="1"/>
    </xf>
    <xf numFmtId="164" fontId="0" fillId="5" borderId="35" xfId="0" applyNumberFormat="1" applyFill="1" applyBorder="1" applyAlignment="1">
      <alignment wrapText="1"/>
    </xf>
    <xf numFmtId="164" fontId="0" fillId="5" borderId="38" xfId="0" applyNumberFormat="1" applyFill="1" applyBorder="1" applyAlignment="1">
      <alignment wrapText="1"/>
    </xf>
    <xf numFmtId="164" fontId="0" fillId="5" borderId="39" xfId="0" applyNumberFormat="1" applyFill="1" applyBorder="1" applyAlignment="1">
      <alignment wrapText="1"/>
    </xf>
    <xf numFmtId="164" fontId="0" fillId="5" borderId="18" xfId="0" applyNumberFormat="1" applyFill="1" applyBorder="1" applyAlignment="1">
      <alignment wrapText="1"/>
    </xf>
    <xf numFmtId="164" fontId="0" fillId="5" borderId="45" xfId="0" applyNumberFormat="1" applyFill="1" applyBorder="1" applyAlignment="1">
      <alignment wrapText="1"/>
    </xf>
    <xf numFmtId="164" fontId="0" fillId="5" borderId="43" xfId="0" applyNumberFormat="1" applyFill="1" applyBorder="1" applyAlignment="1">
      <alignment wrapText="1"/>
    </xf>
    <xf numFmtId="164" fontId="0" fillId="5" borderId="46" xfId="0" applyNumberFormat="1" applyFill="1" applyBorder="1" applyAlignment="1">
      <alignment wrapText="1"/>
    </xf>
    <xf numFmtId="2" fontId="0" fillId="5" borderId="47" xfId="0" applyNumberFormat="1" applyFill="1" applyBorder="1" applyAlignment="1">
      <alignment wrapText="1"/>
    </xf>
    <xf numFmtId="0" fontId="6" fillId="0" borderId="0" xfId="0" applyFont="1" applyAlignment="1">
      <alignment wrapText="1"/>
    </xf>
    <xf numFmtId="2" fontId="19" fillId="5" borderId="47" xfId="0" applyNumberFormat="1" applyFont="1" applyFill="1" applyBorder="1" applyAlignment="1">
      <alignment wrapText="1"/>
    </xf>
    <xf numFmtId="0" fontId="0" fillId="0" borderId="0" xfId="0" applyAlignment="1">
      <alignment wrapText="1"/>
    </xf>
    <xf numFmtId="0" fontId="10" fillId="5" borderId="48" xfId="0" applyFont="1" applyFill="1" applyBorder="1" applyAlignment="1" applyProtection="1">
      <alignment horizontal="right" vertical="center"/>
      <protection locked="0"/>
    </xf>
    <xf numFmtId="0" fontId="10" fillId="5" borderId="49" xfId="0" applyFont="1" applyFill="1" applyBorder="1" applyAlignment="1" applyProtection="1">
      <alignment horizontal="right" vertical="center"/>
      <protection locked="0"/>
    </xf>
    <xf numFmtId="0" fontId="10" fillId="5" borderId="10" xfId="0" applyFont="1" applyFill="1" applyBorder="1" applyAlignment="1" applyProtection="1">
      <alignment horizontal="right" vertical="center"/>
      <protection locked="0"/>
    </xf>
    <xf numFmtId="164" fontId="10" fillId="5" borderId="50" xfId="0" applyNumberFormat="1" applyFont="1" applyFill="1" applyBorder="1" applyAlignment="1" applyProtection="1">
      <alignment horizontal="right" vertical="center"/>
      <protection locked="0"/>
    </xf>
    <xf numFmtId="0" fontId="0" fillId="5" borderId="51" xfId="0" applyFill="1" applyBorder="1" applyAlignment="1" applyProtection="1">
      <alignment horizontal="right"/>
      <protection locked="0"/>
    </xf>
    <xf numFmtId="0" fontId="10" fillId="5" borderId="11" xfId="0" applyFont="1" applyFill="1" applyBorder="1" applyAlignment="1" applyProtection="1">
      <alignment horizontal="right" vertical="center"/>
      <protection locked="0"/>
    </xf>
    <xf numFmtId="2" fontId="10" fillId="5" borderId="7" xfId="0" applyNumberFormat="1" applyFont="1" applyFill="1" applyBorder="1" applyAlignment="1" applyProtection="1">
      <alignment horizontal="right" vertical="center"/>
      <protection locked="0"/>
    </xf>
    <xf numFmtId="1" fontId="10" fillId="5" borderId="7" xfId="0" applyNumberFormat="1" applyFont="1" applyFill="1" applyBorder="1" applyAlignment="1" applyProtection="1">
      <alignment horizontal="right" vertical="center"/>
      <protection locked="0"/>
    </xf>
    <xf numFmtId="1" fontId="10" fillId="5" borderId="52" xfId="0" applyNumberFormat="1" applyFont="1" applyFill="1" applyBorder="1" applyAlignment="1" applyProtection="1">
      <alignment horizontal="right" vertical="center"/>
      <protection locked="0"/>
    </xf>
    <xf numFmtId="165" fontId="10" fillId="5" borderId="53" xfId="3" applyNumberFormat="1" applyFont="1" applyFill="1" applyBorder="1" applyAlignment="1" applyProtection="1">
      <alignment horizontal="right" vertical="center"/>
      <protection locked="0"/>
    </xf>
    <xf numFmtId="0" fontId="0" fillId="5" borderId="54" xfId="0" applyFill="1" applyBorder="1" applyProtection="1">
      <protection locked="0"/>
    </xf>
    <xf numFmtId="0" fontId="0" fillId="5" borderId="55" xfId="0" applyFill="1" applyBorder="1" applyProtection="1">
      <protection locked="0"/>
    </xf>
    <xf numFmtId="0" fontId="0" fillId="5" borderId="56" xfId="0" applyFill="1" applyBorder="1" applyAlignment="1" applyProtection="1">
      <alignment horizontal="right" vertical="center"/>
      <protection locked="0"/>
    </xf>
    <xf numFmtId="0" fontId="0" fillId="5" borderId="57" xfId="0" applyFill="1" applyBorder="1" applyProtection="1">
      <protection locked="0"/>
    </xf>
    <xf numFmtId="1" fontId="0" fillId="5" borderId="58" xfId="0" applyNumberFormat="1" applyFill="1" applyBorder="1" applyProtection="1">
      <protection locked="0"/>
    </xf>
    <xf numFmtId="1" fontId="0" fillId="5" borderId="59" xfId="0" applyNumberFormat="1" applyFill="1" applyBorder="1" applyProtection="1">
      <protection locked="0"/>
    </xf>
    <xf numFmtId="1" fontId="0" fillId="5" borderId="7" xfId="0" applyNumberFormat="1" applyFill="1" applyBorder="1" applyProtection="1">
      <protection locked="0"/>
    </xf>
    <xf numFmtId="2" fontId="0" fillId="5" borderId="7" xfId="0" applyNumberFormat="1" applyFill="1" applyBorder="1" applyProtection="1">
      <protection locked="0"/>
    </xf>
    <xf numFmtId="2" fontId="0" fillId="5" borderId="60" xfId="0" applyNumberFormat="1" applyFill="1" applyBorder="1" applyAlignment="1" applyProtection="1">
      <alignment horizontal="left" wrapText="1"/>
      <protection locked="0"/>
    </xf>
    <xf numFmtId="2" fontId="0" fillId="5" borderId="7" xfId="0" applyNumberFormat="1" applyFill="1" applyBorder="1" applyAlignment="1" applyProtection="1">
      <alignment horizontal="left" wrapText="1"/>
      <protection locked="0"/>
    </xf>
    <xf numFmtId="2" fontId="0" fillId="5" borderId="61" xfId="0" applyNumberFormat="1" applyFill="1" applyBorder="1" applyAlignment="1" applyProtection="1">
      <alignment horizontal="left" wrapText="1"/>
      <protection locked="0"/>
    </xf>
    <xf numFmtId="0" fontId="0" fillId="5" borderId="62" xfId="0" applyFill="1" applyBorder="1" applyAlignment="1" applyProtection="1">
      <alignment horizontal="right"/>
      <protection locked="0"/>
    </xf>
    <xf numFmtId="9" fontId="0" fillId="5" borderId="63" xfId="3" applyFont="1" applyFill="1" applyBorder="1" applyAlignment="1" applyProtection="1">
      <alignment horizontal="right"/>
      <protection locked="0"/>
    </xf>
    <xf numFmtId="1" fontId="0" fillId="5" borderId="64" xfId="3" applyNumberFormat="1" applyFont="1" applyFill="1" applyBorder="1" applyAlignment="1" applyProtection="1">
      <alignment horizontal="right"/>
      <protection locked="0"/>
    </xf>
    <xf numFmtId="1" fontId="0" fillId="5" borderId="65" xfId="3" applyNumberFormat="1" applyFont="1" applyFill="1" applyBorder="1" applyAlignment="1" applyProtection="1">
      <alignment horizontal="right"/>
      <protection locked="0"/>
    </xf>
    <xf numFmtId="164" fontId="0" fillId="5" borderId="67" xfId="0" applyNumberFormat="1" applyFill="1" applyBorder="1" applyAlignment="1" applyProtection="1">
      <alignment horizontal="right"/>
      <protection locked="0"/>
    </xf>
    <xf numFmtId="164" fontId="0" fillId="5" borderId="68" xfId="0" applyNumberFormat="1" applyFill="1" applyBorder="1" applyProtection="1">
      <protection locked="0"/>
    </xf>
    <xf numFmtId="2" fontId="19" fillId="0" borderId="0" xfId="0" applyNumberFormat="1" applyFont="1"/>
    <xf numFmtId="0" fontId="10" fillId="5" borderId="70" xfId="0" applyFont="1" applyFill="1" applyBorder="1" applyAlignment="1" applyProtection="1">
      <alignment horizontal="right" vertical="center"/>
      <protection locked="0"/>
    </xf>
    <xf numFmtId="1" fontId="10" fillId="5" borderId="11" xfId="0" applyNumberFormat="1" applyFont="1" applyFill="1" applyBorder="1" applyAlignment="1" applyProtection="1">
      <alignment horizontal="right" vertical="center"/>
      <protection locked="0"/>
    </xf>
    <xf numFmtId="1" fontId="10" fillId="5" borderId="71" xfId="0" applyNumberFormat="1" applyFont="1" applyFill="1" applyBorder="1" applyAlignment="1" applyProtection="1">
      <alignment horizontal="right" vertical="center"/>
      <protection locked="0"/>
    </xf>
    <xf numFmtId="0" fontId="0" fillId="5" borderId="72" xfId="0" applyFill="1" applyBorder="1" applyAlignment="1" applyProtection="1">
      <alignment horizontal="right"/>
      <protection locked="0"/>
    </xf>
    <xf numFmtId="0" fontId="10" fillId="5" borderId="73" xfId="0" applyFont="1" applyFill="1" applyBorder="1" applyAlignment="1" applyProtection="1">
      <alignment horizontal="right" vertical="center"/>
      <protection locked="0"/>
    </xf>
    <xf numFmtId="2" fontId="10" fillId="5" borderId="14" xfId="0" applyNumberFormat="1" applyFont="1" applyFill="1" applyBorder="1" applyAlignment="1" applyProtection="1">
      <alignment horizontal="right" vertical="center"/>
      <protection locked="0"/>
    </xf>
    <xf numFmtId="2" fontId="10" fillId="5" borderId="69" xfId="0" applyNumberFormat="1" applyFont="1" applyFill="1" applyBorder="1" applyAlignment="1" applyProtection="1">
      <alignment horizontal="right" vertical="center"/>
      <protection locked="0"/>
    </xf>
    <xf numFmtId="1" fontId="10" fillId="5" borderId="69" xfId="0" applyNumberFormat="1" applyFont="1" applyFill="1" applyBorder="1" applyAlignment="1" applyProtection="1">
      <alignment horizontal="right" vertical="center"/>
      <protection locked="0"/>
    </xf>
    <xf numFmtId="1" fontId="10" fillId="5" borderId="14" xfId="0" applyNumberFormat="1" applyFont="1" applyFill="1" applyBorder="1" applyAlignment="1" applyProtection="1">
      <alignment horizontal="right" vertical="center"/>
      <protection locked="0"/>
    </xf>
    <xf numFmtId="165" fontId="10" fillId="5" borderId="71" xfId="3" applyNumberFormat="1" applyFont="1" applyFill="1" applyBorder="1" applyAlignment="1" applyProtection="1">
      <alignment horizontal="right" vertical="center"/>
      <protection locked="0"/>
    </xf>
    <xf numFmtId="0" fontId="0" fillId="5" borderId="74" xfId="0" applyFill="1" applyBorder="1" applyProtection="1">
      <protection locked="0"/>
    </xf>
    <xf numFmtId="0" fontId="0" fillId="5" borderId="75" xfId="0" applyFill="1" applyBorder="1" applyProtection="1">
      <protection locked="0"/>
    </xf>
    <xf numFmtId="0" fontId="0" fillId="5" borderId="76" xfId="0" applyFill="1" applyBorder="1" applyAlignment="1" applyProtection="1">
      <alignment horizontal="right" vertical="center"/>
      <protection locked="0"/>
    </xf>
    <xf numFmtId="0" fontId="0" fillId="5" borderId="77" xfId="0" applyFill="1" applyBorder="1" applyProtection="1">
      <protection locked="0"/>
    </xf>
    <xf numFmtId="0" fontId="0" fillId="5" borderId="66" xfId="0" applyFill="1" applyBorder="1" applyProtection="1">
      <protection locked="0"/>
    </xf>
    <xf numFmtId="1" fontId="0" fillId="5" borderId="56" xfId="0" applyNumberFormat="1" applyFill="1" applyBorder="1" applyProtection="1">
      <protection locked="0"/>
    </xf>
    <xf numFmtId="1" fontId="0" fillId="5" borderId="78" xfId="0" applyNumberFormat="1" applyFill="1" applyBorder="1" applyProtection="1">
      <protection locked="0"/>
    </xf>
    <xf numFmtId="1" fontId="0" fillId="5" borderId="79" xfId="0" applyNumberFormat="1" applyFill="1" applyBorder="1" applyProtection="1">
      <protection locked="0"/>
    </xf>
    <xf numFmtId="2" fontId="0" fillId="5" borderId="14" xfId="0" applyNumberFormat="1" applyFill="1" applyBorder="1" applyAlignment="1" applyProtection="1">
      <alignment horizontal="left" wrapText="1"/>
      <protection locked="0"/>
    </xf>
    <xf numFmtId="2" fontId="0" fillId="5" borderId="80" xfId="0" applyNumberFormat="1" applyFill="1" applyBorder="1" applyAlignment="1" applyProtection="1">
      <alignment horizontal="left" wrapText="1"/>
      <protection locked="0"/>
    </xf>
    <xf numFmtId="1" fontId="0" fillId="5" borderId="81" xfId="3" applyNumberFormat="1" applyFont="1" applyFill="1" applyBorder="1" applyAlignment="1" applyProtection="1">
      <alignment horizontal="right"/>
      <protection locked="0"/>
    </xf>
    <xf numFmtId="1" fontId="0" fillId="5" borderId="82" xfId="3" applyNumberFormat="1" applyFont="1" applyFill="1" applyBorder="1" applyAlignment="1" applyProtection="1">
      <alignment horizontal="right"/>
      <protection locked="0"/>
    </xf>
    <xf numFmtId="164" fontId="0" fillId="5" borderId="83" xfId="2" applyNumberFormat="1" applyFont="1" applyFill="1" applyBorder="1" applyAlignment="1" applyProtection="1">
      <alignment horizontal="right"/>
      <protection locked="0"/>
    </xf>
    <xf numFmtId="164" fontId="0" fillId="5" borderId="76" xfId="0" applyNumberFormat="1" applyFill="1" applyBorder="1" applyAlignment="1" applyProtection="1">
      <alignment horizontal="right"/>
      <protection locked="0"/>
    </xf>
    <xf numFmtId="164" fontId="0" fillId="5" borderId="84" xfId="0" applyNumberFormat="1" applyFill="1" applyBorder="1" applyAlignment="1" applyProtection="1">
      <alignment horizontal="right"/>
      <protection locked="0"/>
    </xf>
    <xf numFmtId="164" fontId="0" fillId="5" borderId="85" xfId="0" applyNumberFormat="1" applyFill="1" applyBorder="1" applyAlignment="1" applyProtection="1">
      <alignment horizontal="right"/>
      <protection locked="0"/>
    </xf>
    <xf numFmtId="164" fontId="0" fillId="5" borderId="86" xfId="0" applyNumberFormat="1" applyFill="1" applyBorder="1" applyProtection="1">
      <protection locked="0"/>
    </xf>
    <xf numFmtId="164" fontId="0" fillId="5" borderId="76" xfId="0" applyNumberFormat="1" applyFill="1" applyBorder="1" applyProtection="1">
      <protection locked="0"/>
    </xf>
    <xf numFmtId="2" fontId="0" fillId="5" borderId="87" xfId="0" applyNumberFormat="1" applyFill="1" applyBorder="1" applyProtection="1">
      <protection locked="0"/>
    </xf>
    <xf numFmtId="0" fontId="10" fillId="5" borderId="71" xfId="0" applyFont="1" applyFill="1" applyBorder="1" applyAlignment="1" applyProtection="1">
      <alignment horizontal="right" vertical="center"/>
      <protection locked="0"/>
    </xf>
    <xf numFmtId="0" fontId="0" fillId="5" borderId="88" xfId="0" applyFill="1" applyBorder="1" applyProtection="1">
      <protection locked="0"/>
    </xf>
    <xf numFmtId="0" fontId="0" fillId="5" borderId="56" xfId="0" applyFill="1" applyBorder="1" applyProtection="1">
      <protection locked="0"/>
    </xf>
    <xf numFmtId="0" fontId="0" fillId="5" borderId="78" xfId="0" applyFill="1" applyBorder="1" applyProtection="1">
      <protection locked="0"/>
    </xf>
    <xf numFmtId="0" fontId="0" fillId="5" borderId="79" xfId="0" applyFill="1" applyBorder="1" applyProtection="1">
      <protection locked="0"/>
    </xf>
    <xf numFmtId="2" fontId="0" fillId="5" borderId="89" xfId="0" applyNumberFormat="1" applyFill="1" applyBorder="1" applyAlignment="1" applyProtection="1">
      <alignment horizontal="left" wrapText="1"/>
      <protection locked="0"/>
    </xf>
    <xf numFmtId="0" fontId="10" fillId="5" borderId="54" xfId="0" applyFont="1" applyFill="1" applyBorder="1" applyAlignment="1" applyProtection="1">
      <alignment horizontal="right" vertical="center"/>
      <protection locked="0"/>
    </xf>
    <xf numFmtId="0" fontId="0" fillId="5" borderId="90" xfId="0" applyFill="1" applyBorder="1" applyProtection="1">
      <protection locked="0"/>
    </xf>
    <xf numFmtId="0" fontId="0" fillId="5" borderId="91" xfId="0" applyFill="1" applyBorder="1" applyProtection="1">
      <protection locked="0"/>
    </xf>
    <xf numFmtId="2" fontId="0" fillId="5" borderId="52" xfId="0" applyNumberFormat="1" applyFill="1" applyBorder="1" applyAlignment="1" applyProtection="1">
      <alignment horizontal="left" wrapText="1"/>
      <protection locked="0"/>
    </xf>
    <xf numFmtId="2" fontId="0" fillId="5" borderId="71" xfId="0" applyNumberFormat="1" applyFill="1" applyBorder="1" applyAlignment="1" applyProtection="1">
      <alignment horizontal="left" wrapText="1"/>
      <protection locked="0"/>
    </xf>
    <xf numFmtId="0" fontId="10" fillId="5" borderId="92" xfId="0" applyFont="1" applyFill="1" applyBorder="1" applyAlignment="1" applyProtection="1">
      <alignment horizontal="right" vertical="center"/>
      <protection locked="0"/>
    </xf>
    <xf numFmtId="0" fontId="10" fillId="5" borderId="5" xfId="0" applyFont="1" applyFill="1" applyBorder="1" applyAlignment="1" applyProtection="1">
      <alignment horizontal="right" vertical="center"/>
      <protection locked="0"/>
    </xf>
    <xf numFmtId="0" fontId="10" fillId="5" borderId="0" xfId="0" applyFont="1" applyFill="1" applyAlignment="1" applyProtection="1">
      <alignment horizontal="right" vertical="center"/>
      <protection locked="0"/>
    </xf>
    <xf numFmtId="1" fontId="10" fillId="5" borderId="79" xfId="0" applyNumberFormat="1" applyFont="1" applyFill="1" applyBorder="1" applyAlignment="1" applyProtection="1">
      <alignment horizontal="right" vertical="center"/>
      <protection locked="0"/>
    </xf>
    <xf numFmtId="0" fontId="0" fillId="5" borderId="83" xfId="0" applyFill="1" applyBorder="1" applyProtection="1">
      <protection locked="0"/>
    </xf>
    <xf numFmtId="0" fontId="0" fillId="5" borderId="93" xfId="0" applyFill="1" applyBorder="1" applyProtection="1">
      <protection locked="0"/>
    </xf>
    <xf numFmtId="0" fontId="0" fillId="5" borderId="84" xfId="0" applyFill="1" applyBorder="1" applyProtection="1">
      <protection locked="0"/>
    </xf>
    <xf numFmtId="0" fontId="0" fillId="5" borderId="76" xfId="0" applyFill="1" applyBorder="1" applyProtection="1">
      <protection locked="0"/>
    </xf>
    <xf numFmtId="0" fontId="0" fillId="5" borderId="85" xfId="0" applyFill="1" applyBorder="1" applyProtection="1">
      <protection locked="0"/>
    </xf>
    <xf numFmtId="0" fontId="0" fillId="5" borderId="86" xfId="0" applyFill="1" applyBorder="1" applyAlignment="1" applyProtection="1">
      <alignment horizontal="right"/>
      <protection locked="0"/>
    </xf>
    <xf numFmtId="0" fontId="0" fillId="5" borderId="94" xfId="0" applyFill="1" applyBorder="1" applyAlignment="1" applyProtection="1">
      <alignment horizontal="left" wrapText="1"/>
      <protection locked="0"/>
    </xf>
    <xf numFmtId="0" fontId="0" fillId="5" borderId="7" xfId="0" applyFill="1" applyBorder="1" applyAlignment="1" applyProtection="1">
      <alignment horizontal="left" wrapText="1"/>
      <protection locked="0"/>
    </xf>
    <xf numFmtId="0" fontId="0" fillId="5" borderId="75" xfId="0" applyFill="1" applyBorder="1" applyAlignment="1" applyProtection="1">
      <alignment horizontal="left" wrapText="1"/>
      <protection locked="0"/>
    </xf>
    <xf numFmtId="9" fontId="0" fillId="5" borderId="95" xfId="0" applyNumberFormat="1" applyFill="1" applyBorder="1" applyAlignment="1" applyProtection="1">
      <alignment horizontal="right"/>
      <protection locked="0"/>
    </xf>
    <xf numFmtId="1" fontId="0" fillId="5" borderId="96" xfId="0" applyNumberFormat="1" applyFill="1" applyBorder="1" applyAlignment="1" applyProtection="1">
      <alignment horizontal="right"/>
      <protection locked="0"/>
    </xf>
    <xf numFmtId="1" fontId="0" fillId="5" borderId="67" xfId="0" applyNumberFormat="1" applyFill="1" applyBorder="1" applyAlignment="1" applyProtection="1">
      <alignment horizontal="right"/>
      <protection locked="0"/>
    </xf>
    <xf numFmtId="164" fontId="0" fillId="5" borderId="97" xfId="0" applyNumberFormat="1" applyFill="1" applyBorder="1" applyAlignment="1" applyProtection="1">
      <alignment horizontal="right"/>
      <protection locked="0"/>
    </xf>
    <xf numFmtId="164" fontId="0" fillId="5" borderId="90" xfId="0" applyNumberFormat="1" applyFill="1" applyBorder="1" applyProtection="1">
      <protection locked="0"/>
    </xf>
    <xf numFmtId="0" fontId="10" fillId="5" borderId="98" xfId="0" applyFont="1" applyFill="1" applyBorder="1" applyAlignment="1" applyProtection="1">
      <alignment horizontal="right" vertical="center"/>
      <protection locked="0"/>
    </xf>
    <xf numFmtId="0" fontId="10" fillId="5" borderId="99" xfId="0" applyFont="1" applyFill="1" applyBorder="1" applyAlignment="1" applyProtection="1">
      <alignment horizontal="right" vertical="center"/>
      <protection locked="0"/>
    </xf>
    <xf numFmtId="164" fontId="10" fillId="5" borderId="100" xfId="0" applyNumberFormat="1" applyFont="1" applyFill="1" applyBorder="1" applyAlignment="1" applyProtection="1">
      <alignment horizontal="right" vertical="center"/>
      <protection locked="0"/>
    </xf>
    <xf numFmtId="0" fontId="0" fillId="5" borderId="70" xfId="0" applyFill="1" applyBorder="1" applyAlignment="1" applyProtection="1">
      <alignment horizontal="right"/>
      <protection locked="0"/>
    </xf>
    <xf numFmtId="0" fontId="0" fillId="5" borderId="76" xfId="0" applyFill="1" applyBorder="1" applyAlignment="1" applyProtection="1">
      <alignment horizontal="right"/>
      <protection locked="0"/>
    </xf>
    <xf numFmtId="2" fontId="0" fillId="5" borderId="84" xfId="0" applyNumberFormat="1" applyFill="1" applyBorder="1" applyAlignment="1" applyProtection="1">
      <alignment horizontal="right" vertical="center"/>
      <protection locked="0"/>
    </xf>
    <xf numFmtId="2" fontId="0" fillId="5" borderId="84" xfId="0" applyNumberFormat="1" applyFill="1" applyBorder="1" applyAlignment="1" applyProtection="1">
      <alignment horizontal="right"/>
      <protection locked="0"/>
    </xf>
    <xf numFmtId="1" fontId="0" fillId="5" borderId="84" xfId="0" applyNumberFormat="1" applyFill="1" applyBorder="1" applyAlignment="1" applyProtection="1">
      <alignment horizontal="right"/>
      <protection locked="0"/>
    </xf>
    <xf numFmtId="165" fontId="0" fillId="5" borderId="84" xfId="3" applyNumberFormat="1" applyFont="1" applyFill="1" applyBorder="1" applyAlignment="1" applyProtection="1">
      <alignment horizontal="right"/>
      <protection locked="0"/>
    </xf>
    <xf numFmtId="0" fontId="0" fillId="5" borderId="83" xfId="0" applyFill="1" applyBorder="1" applyAlignment="1" applyProtection="1">
      <alignment horizontal="right"/>
      <protection locked="0"/>
    </xf>
    <xf numFmtId="0" fontId="0" fillId="5" borderId="97" xfId="0" applyFill="1" applyBorder="1" applyAlignment="1" applyProtection="1">
      <alignment horizontal="right"/>
      <protection locked="0"/>
    </xf>
    <xf numFmtId="0" fontId="0" fillId="5" borderId="83" xfId="0" applyFill="1" applyBorder="1" applyAlignment="1" applyProtection="1">
      <alignment horizontal="right" vertical="center"/>
      <protection locked="0"/>
    </xf>
    <xf numFmtId="0" fontId="0" fillId="5" borderId="84" xfId="0" applyFill="1" applyBorder="1" applyAlignment="1" applyProtection="1">
      <alignment horizontal="right"/>
      <protection locked="0"/>
    </xf>
    <xf numFmtId="0" fontId="0" fillId="5" borderId="85" xfId="0" applyFill="1" applyBorder="1" applyAlignment="1" applyProtection="1">
      <alignment horizontal="right"/>
      <protection locked="0"/>
    </xf>
    <xf numFmtId="0" fontId="0" fillId="5" borderId="86" xfId="0" applyFill="1" applyBorder="1" applyAlignment="1" applyProtection="1">
      <alignment horizontal="left" wrapText="1"/>
      <protection locked="0"/>
    </xf>
    <xf numFmtId="0" fontId="0" fillId="5" borderId="15" xfId="0" applyFill="1" applyBorder="1" applyAlignment="1" applyProtection="1">
      <alignment horizontal="left" wrapText="1"/>
      <protection locked="0"/>
    </xf>
    <xf numFmtId="0" fontId="0" fillId="5" borderId="101" xfId="0" applyFill="1" applyBorder="1" applyAlignment="1" applyProtection="1">
      <alignment horizontal="left" wrapText="1"/>
      <protection locked="0"/>
    </xf>
    <xf numFmtId="9" fontId="0" fillId="5" borderId="95" xfId="3" applyFont="1" applyFill="1" applyBorder="1" applyAlignment="1" applyProtection="1">
      <alignment horizontal="right"/>
      <protection locked="0"/>
    </xf>
    <xf numFmtId="1" fontId="0" fillId="5" borderId="85" xfId="0" applyNumberFormat="1" applyFill="1" applyBorder="1" applyAlignment="1" applyProtection="1">
      <alignment horizontal="right"/>
      <protection locked="0"/>
    </xf>
    <xf numFmtId="1" fontId="0" fillId="5" borderId="97" xfId="0" applyNumberFormat="1" applyFill="1" applyBorder="1" applyAlignment="1" applyProtection="1">
      <alignment horizontal="right"/>
      <protection locked="0"/>
    </xf>
    <xf numFmtId="164" fontId="0" fillId="5" borderId="102" xfId="0" applyNumberFormat="1" applyFill="1" applyBorder="1" applyAlignment="1" applyProtection="1">
      <alignment horizontal="right"/>
      <protection locked="0"/>
    </xf>
    <xf numFmtId="164" fontId="0" fillId="5" borderId="86" xfId="0" applyNumberFormat="1" applyFill="1" applyBorder="1" applyAlignment="1" applyProtection="1">
      <alignment horizontal="right"/>
      <protection locked="0"/>
    </xf>
    <xf numFmtId="2" fontId="0" fillId="5" borderId="87" xfId="0" applyNumberFormat="1" applyFill="1" applyBorder="1" applyAlignment="1" applyProtection="1">
      <alignment horizontal="right"/>
      <protection locked="0"/>
    </xf>
    <xf numFmtId="0" fontId="0" fillId="0" borderId="0" xfId="0" applyAlignment="1">
      <alignment horizontal="center"/>
    </xf>
    <xf numFmtId="0" fontId="0" fillId="5" borderId="78" xfId="0" applyFill="1" applyBorder="1" applyAlignment="1" applyProtection="1">
      <alignment horizontal="right"/>
      <protection locked="0"/>
    </xf>
    <xf numFmtId="1" fontId="0" fillId="5" borderId="84" xfId="0" applyNumberFormat="1" applyFill="1" applyBorder="1" applyAlignment="1" applyProtection="1">
      <alignment horizontal="right" vertical="center"/>
      <protection locked="0"/>
    </xf>
    <xf numFmtId="0" fontId="0" fillId="5" borderId="97" xfId="0" applyFill="1" applyBorder="1" applyProtection="1">
      <protection locked="0"/>
    </xf>
    <xf numFmtId="0" fontId="0" fillId="5" borderId="86" xfId="0" applyFill="1" applyBorder="1" applyProtection="1">
      <protection locked="0"/>
    </xf>
    <xf numFmtId="0" fontId="0" fillId="5" borderId="14" xfId="0" applyFill="1" applyBorder="1" applyAlignment="1" applyProtection="1">
      <alignment horizontal="left" wrapText="1"/>
      <protection locked="0"/>
    </xf>
    <xf numFmtId="164" fontId="0" fillId="5" borderId="102" xfId="0" applyNumberFormat="1" applyFill="1" applyBorder="1" applyProtection="1">
      <protection locked="0"/>
    </xf>
    <xf numFmtId="164" fontId="0" fillId="5" borderId="103" xfId="0" applyNumberFormat="1" applyFill="1" applyBorder="1" applyProtection="1">
      <protection locked="0"/>
    </xf>
    <xf numFmtId="164" fontId="10" fillId="5" borderId="100" xfId="0" applyNumberFormat="1" applyFont="1" applyFill="1" applyBorder="1" applyAlignment="1" applyProtection="1">
      <alignment vertical="center"/>
      <protection locked="0"/>
    </xf>
    <xf numFmtId="0" fontId="0" fillId="5" borderId="104" xfId="0" applyFill="1" applyBorder="1" applyAlignment="1" applyProtection="1">
      <alignment horizontal="left" wrapText="1"/>
      <protection locked="0"/>
    </xf>
    <xf numFmtId="0" fontId="0" fillId="5" borderId="105" xfId="0" applyFill="1" applyBorder="1" applyAlignment="1" applyProtection="1">
      <alignment horizontal="left" wrapText="1"/>
      <protection locked="0"/>
    </xf>
    <xf numFmtId="164" fontId="0" fillId="5" borderId="79" xfId="0" applyNumberFormat="1" applyFill="1" applyBorder="1" applyProtection="1">
      <protection locked="0"/>
    </xf>
    <xf numFmtId="0" fontId="0" fillId="5" borderId="92" xfId="0" applyFill="1" applyBorder="1" applyAlignment="1" applyProtection="1">
      <alignment horizontal="right"/>
      <protection locked="0"/>
    </xf>
    <xf numFmtId="0" fontId="0" fillId="5" borderId="98" xfId="0" applyFill="1" applyBorder="1" applyAlignment="1" applyProtection="1">
      <alignment horizontal="right"/>
      <protection locked="0"/>
    </xf>
    <xf numFmtId="0" fontId="0" fillId="5" borderId="99" xfId="0" applyFill="1" applyBorder="1" applyAlignment="1" applyProtection="1">
      <alignment horizontal="right"/>
      <protection locked="0"/>
    </xf>
    <xf numFmtId="164" fontId="0" fillId="5" borderId="100" xfId="0" applyNumberFormat="1" applyFill="1" applyBorder="1" applyAlignment="1" applyProtection="1">
      <alignment horizontal="right"/>
      <protection locked="0"/>
    </xf>
    <xf numFmtId="0" fontId="0" fillId="5" borderId="94" xfId="0" applyFill="1" applyBorder="1" applyAlignment="1" applyProtection="1">
      <alignment wrapText="1"/>
      <protection locked="0"/>
    </xf>
    <xf numFmtId="0" fontId="0" fillId="5" borderId="86" xfId="0" applyFill="1" applyBorder="1" applyAlignment="1" applyProtection="1">
      <alignment wrapText="1"/>
      <protection locked="0"/>
    </xf>
    <xf numFmtId="0" fontId="0" fillId="5" borderId="93" xfId="0" applyFill="1" applyBorder="1" applyAlignment="1" applyProtection="1">
      <alignment wrapText="1"/>
      <protection locked="0"/>
    </xf>
    <xf numFmtId="9" fontId="0" fillId="5" borderId="97" xfId="0" applyNumberFormat="1" applyFill="1" applyBorder="1" applyAlignment="1" applyProtection="1">
      <alignment horizontal="right"/>
      <protection locked="0"/>
    </xf>
    <xf numFmtId="0" fontId="0" fillId="5" borderId="98" xfId="0" applyFill="1" applyBorder="1" applyProtection="1">
      <protection locked="0"/>
    </xf>
    <xf numFmtId="164" fontId="0" fillId="5" borderId="100" xfId="0" applyNumberFormat="1" applyFill="1" applyBorder="1" applyProtection="1">
      <protection locked="0"/>
    </xf>
    <xf numFmtId="0" fontId="0" fillId="5" borderId="97" xfId="0" applyFill="1" applyBorder="1" applyAlignment="1" applyProtection="1">
      <alignment wrapText="1"/>
      <protection locked="0"/>
    </xf>
    <xf numFmtId="165" fontId="0" fillId="5" borderId="84" xfId="3" applyNumberFormat="1" applyFont="1" applyFill="1" applyBorder="1" applyProtection="1">
      <protection locked="0"/>
    </xf>
    <xf numFmtId="0" fontId="0" fillId="5" borderId="92" xfId="0" applyFill="1" applyBorder="1" applyProtection="1">
      <protection locked="0"/>
    </xf>
    <xf numFmtId="0" fontId="0" fillId="5" borderId="99" xfId="0" applyFill="1" applyBorder="1" applyProtection="1">
      <protection locked="0"/>
    </xf>
    <xf numFmtId="0" fontId="0" fillId="5" borderId="100" xfId="0" applyFill="1" applyBorder="1" applyProtection="1">
      <protection locked="0"/>
    </xf>
    <xf numFmtId="10" fontId="0" fillId="5" borderId="84" xfId="3" applyNumberFormat="1" applyFont="1" applyFill="1" applyBorder="1" applyProtection="1">
      <protection locked="0"/>
    </xf>
    <xf numFmtId="9" fontId="0" fillId="5" borderId="85" xfId="0" applyNumberFormat="1" applyFill="1" applyBorder="1" applyAlignment="1" applyProtection="1">
      <alignment horizontal="right"/>
      <protection locked="0"/>
    </xf>
    <xf numFmtId="0" fontId="0" fillId="5" borderId="95" xfId="0" applyFill="1" applyBorder="1" applyAlignment="1" applyProtection="1">
      <alignment horizontal="right"/>
      <protection locked="0"/>
    </xf>
    <xf numFmtId="0" fontId="0" fillId="5" borderId="103" xfId="0" applyFill="1" applyBorder="1" applyAlignment="1" applyProtection="1">
      <alignment wrapText="1"/>
      <protection locked="0"/>
    </xf>
    <xf numFmtId="0" fontId="0" fillId="5" borderId="15" xfId="0" applyFill="1" applyBorder="1" applyAlignment="1" applyProtection="1">
      <alignment wrapText="1"/>
      <protection locked="0"/>
    </xf>
    <xf numFmtId="0" fontId="0" fillId="5" borderId="73" xfId="0" applyFill="1" applyBorder="1" applyAlignment="1" applyProtection="1">
      <alignment wrapText="1"/>
      <protection locked="0"/>
    </xf>
    <xf numFmtId="0" fontId="0" fillId="5" borderId="98" xfId="0" applyFill="1" applyBorder="1" applyAlignment="1" applyProtection="1">
      <alignment wrapText="1"/>
      <protection locked="0"/>
    </xf>
    <xf numFmtId="0" fontId="0" fillId="5" borderId="106" xfId="0" applyFill="1" applyBorder="1" applyProtection="1">
      <protection locked="0"/>
    </xf>
    <xf numFmtId="0" fontId="0" fillId="5" borderId="107" xfId="0" applyFill="1" applyBorder="1" applyProtection="1">
      <protection locked="0"/>
    </xf>
    <xf numFmtId="0" fontId="0" fillId="5" borderId="108" xfId="0" applyFill="1" applyBorder="1" applyProtection="1">
      <protection locked="0"/>
    </xf>
    <xf numFmtId="0" fontId="0" fillId="5" borderId="109" xfId="0" applyFill="1" applyBorder="1" applyProtection="1">
      <protection locked="0"/>
    </xf>
    <xf numFmtId="0" fontId="0" fillId="5" borderId="110" xfId="0" applyFill="1" applyBorder="1" applyProtection="1">
      <protection locked="0"/>
    </xf>
    <xf numFmtId="0" fontId="0" fillId="5" borderId="111" xfId="0" applyFill="1" applyBorder="1" applyProtection="1">
      <protection locked="0"/>
    </xf>
    <xf numFmtId="0" fontId="0" fillId="5" borderId="112" xfId="0" applyFill="1" applyBorder="1" applyProtection="1">
      <protection locked="0"/>
    </xf>
    <xf numFmtId="10" fontId="0" fillId="5" borderId="112" xfId="3" applyNumberFormat="1" applyFont="1" applyFill="1" applyBorder="1" applyProtection="1">
      <protection locked="0"/>
    </xf>
    <xf numFmtId="0" fontId="0" fillId="5" borderId="113" xfId="0" applyFill="1" applyBorder="1" applyProtection="1">
      <protection locked="0"/>
    </xf>
    <xf numFmtId="0" fontId="0" fillId="5" borderId="114" xfId="0" applyFill="1" applyBorder="1" applyProtection="1">
      <protection locked="0"/>
    </xf>
    <xf numFmtId="0" fontId="0" fillId="5" borderId="115" xfId="0" applyFill="1" applyBorder="1" applyProtection="1">
      <protection locked="0"/>
    </xf>
    <xf numFmtId="0" fontId="0" fillId="5" borderId="116" xfId="0" applyFill="1" applyBorder="1" applyProtection="1">
      <protection locked="0"/>
    </xf>
    <xf numFmtId="0" fontId="0" fillId="5" borderId="107" xfId="0" applyFill="1" applyBorder="1" applyAlignment="1" applyProtection="1">
      <alignment wrapText="1"/>
      <protection locked="0"/>
    </xf>
    <xf numFmtId="0" fontId="0" fillId="5" borderId="117" xfId="0" applyFill="1" applyBorder="1" applyAlignment="1" applyProtection="1">
      <alignment wrapText="1"/>
      <protection locked="0"/>
    </xf>
    <xf numFmtId="0" fontId="0" fillId="5" borderId="110" xfId="0" applyFill="1" applyBorder="1" applyAlignment="1" applyProtection="1">
      <alignment horizontal="right"/>
      <protection locked="0"/>
    </xf>
    <xf numFmtId="0" fontId="0" fillId="5" borderId="112" xfId="0" applyFill="1" applyBorder="1" applyAlignment="1" applyProtection="1">
      <alignment horizontal="right"/>
      <protection locked="0"/>
    </xf>
    <xf numFmtId="0" fontId="0" fillId="5" borderId="118" xfId="0" applyFill="1" applyBorder="1" applyAlignment="1" applyProtection="1">
      <alignment horizontal="right"/>
      <protection locked="0"/>
    </xf>
    <xf numFmtId="0" fontId="0" fillId="5" borderId="114" xfId="0" applyFill="1" applyBorder="1" applyAlignment="1" applyProtection="1">
      <alignment horizontal="right"/>
      <protection locked="0"/>
    </xf>
    <xf numFmtId="0" fontId="0" fillId="5" borderId="119" xfId="0" applyFill="1" applyBorder="1" applyAlignment="1" applyProtection="1">
      <alignment horizontal="right"/>
      <protection locked="0"/>
    </xf>
    <xf numFmtId="164" fontId="0" fillId="5" borderId="111" xfId="2" applyNumberFormat="1" applyFont="1" applyFill="1" applyBorder="1" applyAlignment="1" applyProtection="1">
      <alignment horizontal="right"/>
      <protection locked="0"/>
    </xf>
    <xf numFmtId="164" fontId="0" fillId="5" borderId="111" xfId="0" applyNumberFormat="1" applyFill="1" applyBorder="1" applyAlignment="1" applyProtection="1">
      <alignment horizontal="right"/>
      <protection locked="0"/>
    </xf>
    <xf numFmtId="164" fontId="0" fillId="5" borderId="112" xfId="0" applyNumberFormat="1" applyFill="1" applyBorder="1" applyAlignment="1" applyProtection="1">
      <alignment horizontal="right"/>
      <protection locked="0"/>
    </xf>
    <xf numFmtId="164" fontId="0" fillId="5" borderId="114" xfId="0" applyNumberFormat="1" applyFill="1" applyBorder="1" applyAlignment="1" applyProtection="1">
      <alignment horizontal="right"/>
      <protection locked="0"/>
    </xf>
    <xf numFmtId="164" fontId="0" fillId="5" borderId="117" xfId="0" applyNumberFormat="1" applyFill="1" applyBorder="1" applyAlignment="1" applyProtection="1">
      <alignment horizontal="right"/>
      <protection locked="0"/>
    </xf>
    <xf numFmtId="164" fontId="0" fillId="5" borderId="120" xfId="0" applyNumberFormat="1" applyFill="1" applyBorder="1" applyProtection="1">
      <protection locked="0"/>
    </xf>
    <xf numFmtId="164" fontId="0" fillId="5" borderId="116" xfId="0" applyNumberFormat="1" applyFill="1" applyBorder="1" applyProtection="1">
      <protection locked="0"/>
    </xf>
    <xf numFmtId="164" fontId="0" fillId="5" borderId="111" xfId="0" applyNumberFormat="1" applyFill="1" applyBorder="1" applyProtection="1">
      <protection locked="0"/>
    </xf>
    <xf numFmtId="2" fontId="0" fillId="5" borderId="121" xfId="0" applyNumberFormat="1" applyFill="1" applyBorder="1" applyProtection="1">
      <protection locked="0"/>
    </xf>
    <xf numFmtId="0" fontId="0" fillId="5" borderId="119" xfId="0" applyFill="1" applyBorder="1" applyProtection="1">
      <protection locked="0"/>
    </xf>
    <xf numFmtId="0" fontId="0" fillId="5" borderId="119" xfId="0" applyFill="1" applyBorder="1" applyAlignment="1" applyProtection="1">
      <alignment wrapText="1"/>
      <protection locked="0"/>
    </xf>
    <xf numFmtId="164" fontId="0" fillId="5" borderId="76" xfId="2" applyNumberFormat="1" applyFont="1" applyFill="1" applyBorder="1" applyAlignment="1" applyProtection="1">
      <alignment horizontal="right"/>
      <protection locked="0"/>
    </xf>
    <xf numFmtId="0" fontId="0" fillId="5" borderId="122" xfId="0" applyFill="1" applyBorder="1" applyProtection="1">
      <protection locked="0"/>
    </xf>
    <xf numFmtId="0" fontId="0" fillId="5" borderId="123" xfId="0" applyFill="1" applyBorder="1" applyProtection="1">
      <protection locked="0"/>
    </xf>
    <xf numFmtId="0" fontId="0" fillId="5" borderId="124" xfId="0" applyFill="1" applyBorder="1" applyProtection="1">
      <protection locked="0"/>
    </xf>
    <xf numFmtId="0" fontId="0" fillId="5" borderId="125" xfId="0" applyFill="1" applyBorder="1" applyProtection="1">
      <protection locked="0"/>
    </xf>
    <xf numFmtId="0" fontId="0" fillId="5" borderId="126" xfId="0" applyFill="1" applyBorder="1" applyProtection="1">
      <protection locked="0"/>
    </xf>
    <xf numFmtId="0" fontId="0" fillId="5" borderId="127" xfId="0" applyFill="1" applyBorder="1" applyProtection="1">
      <protection locked="0"/>
    </xf>
    <xf numFmtId="0" fontId="0" fillId="5" borderId="128" xfId="0" applyFill="1" applyBorder="1" applyProtection="1">
      <protection locked="0"/>
    </xf>
    <xf numFmtId="0" fontId="0" fillId="5" borderId="129" xfId="0" applyFill="1" applyBorder="1" applyProtection="1">
      <protection locked="0"/>
    </xf>
    <xf numFmtId="0" fontId="0" fillId="5" borderId="130" xfId="0" applyFill="1" applyBorder="1" applyProtection="1">
      <protection locked="0"/>
    </xf>
    <xf numFmtId="10" fontId="0" fillId="5" borderId="130" xfId="3" applyNumberFormat="1" applyFont="1" applyFill="1" applyBorder="1" applyProtection="1">
      <protection locked="0"/>
    </xf>
    <xf numFmtId="0" fontId="0" fillId="5" borderId="131" xfId="0" applyFill="1" applyBorder="1" applyProtection="1">
      <protection locked="0"/>
    </xf>
    <xf numFmtId="0" fontId="0" fillId="5" borderId="132" xfId="0" applyFill="1" applyBorder="1" applyProtection="1">
      <protection locked="0"/>
    </xf>
    <xf numFmtId="0" fontId="0" fillId="5" borderId="133" xfId="0" applyFill="1" applyBorder="1" applyProtection="1">
      <protection locked="0"/>
    </xf>
    <xf numFmtId="0" fontId="0" fillId="5" borderId="133" xfId="0" applyFill="1" applyBorder="1" applyAlignment="1" applyProtection="1">
      <alignment wrapText="1"/>
      <protection locked="0"/>
    </xf>
    <xf numFmtId="0" fontId="0" fillId="5" borderId="125" xfId="0" applyFill="1" applyBorder="1" applyAlignment="1" applyProtection="1">
      <alignment wrapText="1"/>
      <protection locked="0"/>
    </xf>
    <xf numFmtId="0" fontId="0" fillId="5" borderId="131" xfId="0" applyFill="1" applyBorder="1" applyAlignment="1" applyProtection="1">
      <alignment wrapText="1"/>
      <protection locked="0"/>
    </xf>
    <xf numFmtId="0" fontId="0" fillId="5" borderId="129" xfId="0" applyFill="1" applyBorder="1" applyAlignment="1" applyProtection="1">
      <alignment horizontal="right"/>
      <protection locked="0"/>
    </xf>
    <xf numFmtId="0" fontId="0" fillId="5" borderId="130" xfId="0" applyFill="1" applyBorder="1" applyAlignment="1" applyProtection="1">
      <alignment horizontal="right"/>
      <protection locked="0"/>
    </xf>
    <xf numFmtId="0" fontId="0" fillId="5" borderId="134" xfId="0" applyFill="1" applyBorder="1" applyAlignment="1" applyProtection="1">
      <alignment horizontal="right"/>
      <protection locked="0"/>
    </xf>
    <xf numFmtId="0" fontId="0" fillId="5" borderId="124" xfId="0" applyFill="1" applyBorder="1" applyAlignment="1" applyProtection="1">
      <alignment horizontal="right"/>
      <protection locked="0"/>
    </xf>
    <xf numFmtId="0" fontId="0" fillId="5" borderId="135" xfId="0" applyFill="1" applyBorder="1" applyAlignment="1" applyProtection="1">
      <alignment horizontal="right"/>
      <protection locked="0"/>
    </xf>
    <xf numFmtId="164" fontId="0" fillId="5" borderId="128" xfId="2" applyNumberFormat="1" applyFont="1" applyFill="1" applyBorder="1" applyAlignment="1" applyProtection="1">
      <alignment horizontal="right"/>
      <protection locked="0"/>
    </xf>
    <xf numFmtId="164" fontId="0" fillId="5" borderId="129" xfId="0" applyNumberFormat="1" applyFill="1" applyBorder="1" applyAlignment="1" applyProtection="1">
      <alignment horizontal="right"/>
      <protection locked="0"/>
    </xf>
    <xf numFmtId="164" fontId="0" fillId="5" borderId="130" xfId="0" applyNumberFormat="1" applyFill="1" applyBorder="1" applyAlignment="1" applyProtection="1">
      <alignment horizontal="right"/>
      <protection locked="0"/>
    </xf>
    <xf numFmtId="164" fontId="0" fillId="5" borderId="124" xfId="0" applyNumberFormat="1" applyFill="1" applyBorder="1" applyAlignment="1" applyProtection="1">
      <alignment horizontal="right"/>
      <protection locked="0"/>
    </xf>
    <xf numFmtId="164" fontId="0" fillId="5" borderId="136" xfId="0" applyNumberFormat="1" applyFill="1" applyBorder="1" applyAlignment="1" applyProtection="1">
      <alignment horizontal="right"/>
      <protection locked="0"/>
    </xf>
    <xf numFmtId="164" fontId="0" fillId="5" borderId="137" xfId="0" applyNumberFormat="1" applyFill="1" applyBorder="1" applyProtection="1">
      <protection locked="0"/>
    </xf>
    <xf numFmtId="164" fontId="0" fillId="5" borderId="138" xfId="0" applyNumberFormat="1" applyFill="1" applyBorder="1" applyProtection="1">
      <protection locked="0"/>
    </xf>
    <xf numFmtId="164" fontId="0" fillId="5" borderId="139" xfId="0" applyNumberFormat="1" applyFill="1" applyBorder="1" applyProtection="1">
      <protection locked="0"/>
    </xf>
    <xf numFmtId="2" fontId="0" fillId="5" borderId="140" xfId="0" applyNumberFormat="1" applyFill="1" applyBorder="1" applyProtection="1">
      <protection locked="0"/>
    </xf>
    <xf numFmtId="0" fontId="2" fillId="0" borderId="141" xfId="4" applyFill="1" applyBorder="1" applyAlignment="1" applyProtection="1"/>
    <xf numFmtId="0" fontId="0" fillId="2" borderId="3" xfId="7" applyFont="1"/>
    <xf numFmtId="0" fontId="4" fillId="0" borderId="13" xfId="6" applyBorder="1" applyProtection="1"/>
    <xf numFmtId="0" fontId="7" fillId="12" borderId="89" xfId="0" applyFont="1" applyFill="1" applyBorder="1" applyAlignment="1">
      <alignment horizontal="right"/>
    </xf>
    <xf numFmtId="0" fontId="7" fillId="12" borderId="142" xfId="0" applyFont="1" applyFill="1" applyBorder="1" applyAlignment="1">
      <alignment horizontal="right"/>
    </xf>
    <xf numFmtId="0" fontId="7" fillId="12" borderId="14" xfId="0" applyFont="1" applyFill="1" applyBorder="1" applyAlignment="1">
      <alignment horizontal="right"/>
    </xf>
    <xf numFmtId="6" fontId="0" fillId="5" borderId="0" xfId="0" applyNumberFormat="1" applyFill="1"/>
    <xf numFmtId="164" fontId="0" fillId="5" borderId="0" xfId="0" applyNumberFormat="1" applyFill="1"/>
    <xf numFmtId="6" fontId="20" fillId="5" borderId="0" xfId="0" applyNumberFormat="1" applyFont="1" applyFill="1"/>
    <xf numFmtId="6" fontId="0" fillId="5" borderId="6" xfId="0" applyNumberFormat="1" applyFill="1" applyBorder="1"/>
    <xf numFmtId="0" fontId="0" fillId="5" borderId="0" xfId="0" applyFill="1"/>
    <xf numFmtId="0" fontId="0" fillId="5" borderId="142" xfId="0" applyFill="1" applyBorder="1"/>
    <xf numFmtId="6" fontId="0" fillId="5" borderId="142" xfId="0" applyNumberFormat="1" applyFill="1" applyBorder="1"/>
    <xf numFmtId="164" fontId="0" fillId="5" borderId="8" xfId="0" applyNumberFormat="1" applyFill="1" applyBorder="1"/>
    <xf numFmtId="6" fontId="20" fillId="5" borderId="142" xfId="0" applyNumberFormat="1" applyFont="1" applyFill="1" applyBorder="1"/>
    <xf numFmtId="6" fontId="0" fillId="5" borderId="14" xfId="0" applyNumberFormat="1" applyFill="1" applyBorder="1"/>
    <xf numFmtId="0" fontId="0" fillId="5" borderId="89" xfId="0" applyFill="1" applyBorder="1"/>
    <xf numFmtId="164" fontId="0" fillId="5" borderId="142" xfId="0" applyNumberFormat="1" applyFill="1" applyBorder="1"/>
    <xf numFmtId="0" fontId="7" fillId="12" borderId="15" xfId="0" applyFont="1" applyFill="1" applyBorder="1" applyAlignment="1">
      <alignment horizontal="right"/>
    </xf>
    <xf numFmtId="1" fontId="0" fillId="5" borderId="143" xfId="0" applyNumberFormat="1" applyFill="1" applyBorder="1" applyAlignment="1">
      <alignment horizontal="right"/>
    </xf>
    <xf numFmtId="6" fontId="0" fillId="5" borderId="5" xfId="0" applyNumberFormat="1" applyFill="1" applyBorder="1"/>
    <xf numFmtId="0" fontId="0" fillId="5" borderId="143" xfId="0" applyFill="1" applyBorder="1" applyAlignment="1">
      <alignment horizontal="right"/>
    </xf>
    <xf numFmtId="164" fontId="0" fillId="6" borderId="0" xfId="0" applyNumberFormat="1" applyFill="1"/>
    <xf numFmtId="6" fontId="0" fillId="5" borderId="15" xfId="0" applyNumberFormat="1" applyFill="1" applyBorder="1"/>
    <xf numFmtId="6" fontId="0" fillId="6" borderId="0" xfId="0" applyNumberFormat="1" applyFill="1"/>
    <xf numFmtId="0" fontId="21" fillId="0" borderId="13" xfId="0" quotePrefix="1" applyFont="1" applyBorder="1" applyAlignment="1">
      <alignment vertical="top"/>
    </xf>
    <xf numFmtId="0" fontId="5" fillId="13" borderId="14" xfId="0" applyFont="1" applyFill="1" applyBorder="1" applyAlignment="1">
      <alignment horizontal="center" vertical="center" wrapText="1"/>
    </xf>
    <xf numFmtId="0" fontId="0" fillId="5" borderId="14" xfId="0" applyFill="1" applyBorder="1"/>
    <xf numFmtId="164" fontId="0" fillId="5" borderId="14" xfId="0" applyNumberFormat="1" applyFill="1" applyBorder="1"/>
    <xf numFmtId="2" fontId="0" fillId="5" borderId="14" xfId="0" applyNumberFormat="1" applyFill="1" applyBorder="1"/>
    <xf numFmtId="0" fontId="4" fillId="6" borderId="13" xfId="6" applyFill="1" applyBorder="1" applyProtection="1"/>
    <xf numFmtId="0" fontId="0" fillId="0" borderId="26" xfId="0" applyBorder="1"/>
    <xf numFmtId="0" fontId="0" fillId="0" borderId="24" xfId="0" applyBorder="1"/>
    <xf numFmtId="0" fontId="0" fillId="0" borderId="27" xfId="0" applyBorder="1"/>
    <xf numFmtId="0" fontId="5" fillId="12" borderId="14" xfId="0" applyFont="1" applyFill="1" applyBorder="1" applyAlignment="1">
      <alignment horizontal="right"/>
    </xf>
    <xf numFmtId="0" fontId="5" fillId="14" borderId="14" xfId="0" applyFont="1" applyFill="1" applyBorder="1" applyAlignment="1">
      <alignment horizontal="center"/>
    </xf>
    <xf numFmtId="0" fontId="0" fillId="0" borderId="13" xfId="0" applyBorder="1"/>
    <xf numFmtId="0" fontId="0" fillId="0" borderId="105" xfId="0" applyBorder="1"/>
    <xf numFmtId="0" fontId="22" fillId="10" borderId="14" xfId="0" applyFont="1" applyFill="1" applyBorder="1"/>
    <xf numFmtId="0" fontId="0" fillId="6" borderId="13" xfId="0" applyFill="1" applyBorder="1"/>
    <xf numFmtId="0" fontId="0" fillId="6" borderId="105" xfId="0" applyFill="1" applyBorder="1"/>
    <xf numFmtId="0" fontId="0" fillId="6" borderId="144" xfId="0" applyFill="1" applyBorder="1"/>
    <xf numFmtId="0" fontId="0" fillId="6" borderId="18" xfId="0" applyFill="1" applyBorder="1"/>
    <xf numFmtId="0" fontId="0" fillId="6" borderId="145" xfId="0" applyFill="1" applyBorder="1"/>
    <xf numFmtId="0" fontId="2" fillId="0" borderId="26" xfId="4" applyFill="1" applyBorder="1" applyAlignment="1" applyProtection="1"/>
    <xf numFmtId="0" fontId="0" fillId="6" borderId="0" xfId="7" applyFont="1" applyFill="1" applyBorder="1" applyAlignment="1">
      <alignment vertical="top"/>
    </xf>
    <xf numFmtId="0" fontId="0" fillId="6" borderId="0" xfId="7" applyFont="1" applyFill="1" applyBorder="1"/>
    <xf numFmtId="0" fontId="0" fillId="6" borderId="0" xfId="0" applyFill="1" applyAlignment="1">
      <alignment vertical="top" wrapText="1"/>
    </xf>
    <xf numFmtId="9" fontId="22" fillId="15" borderId="14" xfId="0" applyNumberFormat="1" applyFont="1" applyFill="1" applyBorder="1"/>
    <xf numFmtId="164" fontId="22" fillId="15" borderId="15" xfId="0" applyNumberFormat="1" applyFont="1" applyFill="1" applyBorder="1"/>
    <xf numFmtId="0" fontId="7" fillId="12" borderId="89" xfId="0" applyFont="1" applyFill="1" applyBorder="1" applyAlignment="1">
      <alignment horizontal="left"/>
    </xf>
    <xf numFmtId="1" fontId="0" fillId="5" borderId="8" xfId="0" applyNumberFormat="1" applyFill="1" applyBorder="1"/>
    <xf numFmtId="6" fontId="22" fillId="5" borderId="146" xfId="0" applyNumberFormat="1" applyFont="1" applyFill="1" applyBorder="1"/>
    <xf numFmtId="0" fontId="0" fillId="0" borderId="147" xfId="0" applyBorder="1"/>
    <xf numFmtId="0" fontId="0" fillId="0" borderId="10" xfId="0" applyBorder="1"/>
    <xf numFmtId="0" fontId="0" fillId="5" borderId="72" xfId="0" applyFill="1" applyBorder="1"/>
    <xf numFmtId="0" fontId="0" fillId="15" borderId="14" xfId="0" applyFill="1" applyBorder="1"/>
    <xf numFmtId="0" fontId="0" fillId="0" borderId="148" xfId="0" applyBorder="1"/>
    <xf numFmtId="0" fontId="0" fillId="0" borderId="142" xfId="0" applyBorder="1"/>
    <xf numFmtId="0" fontId="0" fillId="6" borderId="149" xfId="0" applyFill="1" applyBorder="1"/>
    <xf numFmtId="164" fontId="0" fillId="15" borderId="72" xfId="0" applyNumberFormat="1" applyFill="1" applyBorder="1"/>
    <xf numFmtId="6" fontId="22" fillId="3" borderId="146" xfId="0" applyNumberFormat="1" applyFont="1" applyFill="1" applyBorder="1"/>
    <xf numFmtId="0" fontId="0" fillId="6" borderId="8" xfId="0" applyFill="1" applyBorder="1"/>
    <xf numFmtId="6" fontId="22" fillId="6" borderId="8" xfId="0" applyNumberFormat="1" applyFont="1" applyFill="1" applyBorder="1"/>
    <xf numFmtId="6" fontId="0" fillId="6" borderId="8" xfId="0" applyNumberFormat="1" applyFill="1" applyBorder="1"/>
    <xf numFmtId="6" fontId="22" fillId="6" borderId="0" xfId="0" applyNumberFormat="1" applyFont="1" applyFill="1"/>
    <xf numFmtId="0" fontId="0" fillId="0" borderId="18" xfId="0" applyBorder="1"/>
    <xf numFmtId="0" fontId="0" fillId="0" borderId="145" xfId="0" applyBorder="1"/>
    <xf numFmtId="0" fontId="7" fillId="6" borderId="150" xfId="7" applyFont="1" applyFill="1" applyBorder="1" applyAlignment="1">
      <alignment vertical="top"/>
    </xf>
    <xf numFmtId="0" fontId="7" fillId="6" borderId="0" xfId="7" applyFont="1" applyFill="1" applyBorder="1"/>
    <xf numFmtId="0" fontId="7" fillId="6" borderId="0" xfId="0" applyFont="1" applyFill="1"/>
    <xf numFmtId="0" fontId="7" fillId="6" borderId="151" xfId="7" applyFont="1" applyFill="1" applyBorder="1" applyAlignment="1">
      <alignment vertical="top"/>
    </xf>
    <xf numFmtId="0" fontId="7" fillId="6" borderId="0" xfId="7" applyFont="1" applyFill="1" applyBorder="1" applyAlignment="1">
      <alignment vertical="top"/>
    </xf>
    <xf numFmtId="6" fontId="0" fillId="5" borderId="104" xfId="0" applyNumberFormat="1" applyFill="1" applyBorder="1"/>
    <xf numFmtId="0" fontId="0" fillId="6" borderId="148" xfId="0" applyFill="1" applyBorder="1"/>
    <xf numFmtId="0" fontId="0" fillId="6" borderId="142" xfId="0" applyFill="1" applyBorder="1"/>
    <xf numFmtId="0" fontId="0" fillId="5" borderId="15" xfId="0" applyFill="1" applyBorder="1"/>
    <xf numFmtId="164" fontId="0" fillId="15" borderId="14" xfId="0" applyNumberFormat="1" applyFill="1" applyBorder="1"/>
    <xf numFmtId="0" fontId="0" fillId="5" borderId="11" xfId="0" applyFill="1" applyBorder="1"/>
    <xf numFmtId="6" fontId="22" fillId="5" borderId="14" xfId="0" applyNumberFormat="1" applyFont="1" applyFill="1" applyBorder="1"/>
    <xf numFmtId="6" fontId="0" fillId="5" borderId="7" xfId="0" applyNumberFormat="1" applyFill="1" applyBorder="1"/>
    <xf numFmtId="0" fontId="6" fillId="5" borderId="51" xfId="0" applyFont="1" applyFill="1" applyBorder="1"/>
    <xf numFmtId="0" fontId="6" fillId="5" borderId="7" xfId="0" applyFont="1" applyFill="1" applyBorder="1"/>
    <xf numFmtId="6" fontId="6" fillId="5" borderId="14" xfId="0" applyNumberFormat="1" applyFont="1" applyFill="1" applyBorder="1"/>
    <xf numFmtId="0" fontId="6" fillId="5" borderId="72" xfId="0" applyFont="1" applyFill="1" applyBorder="1"/>
    <xf numFmtId="0" fontId="6" fillId="5" borderId="14" xfId="0" applyFont="1" applyFill="1" applyBorder="1"/>
    <xf numFmtId="6" fontId="6" fillId="5" borderId="15" xfId="0" applyNumberFormat="1" applyFont="1" applyFill="1" applyBorder="1"/>
    <xf numFmtId="0" fontId="7" fillId="6" borderId="150" xfId="7" applyFont="1" applyFill="1" applyBorder="1"/>
    <xf numFmtId="6" fontId="7" fillId="6" borderId="0" xfId="7" applyNumberFormat="1" applyFont="1" applyFill="1" applyBorder="1"/>
    <xf numFmtId="6" fontId="7" fillId="6" borderId="0" xfId="0" applyNumberFormat="1" applyFont="1" applyFill="1"/>
    <xf numFmtId="0" fontId="7" fillId="12" borderId="14" xfId="0" applyFont="1" applyFill="1" applyBorder="1" applyAlignment="1">
      <alignment vertical="top" wrapText="1"/>
    </xf>
    <xf numFmtId="0" fontId="0" fillId="6" borderId="14" xfId="0" applyFill="1" applyBorder="1" applyAlignment="1">
      <alignment vertical="top" wrapText="1"/>
    </xf>
    <xf numFmtId="164" fontId="0" fillId="6" borderId="14" xfId="0" applyNumberFormat="1" applyFill="1" applyBorder="1" applyAlignment="1">
      <alignment vertical="top" wrapText="1"/>
    </xf>
    <xf numFmtId="0" fontId="0" fillId="6" borderId="8" xfId="0" applyFill="1" applyBorder="1" applyAlignment="1">
      <alignment vertical="top" wrapText="1"/>
    </xf>
    <xf numFmtId="164" fontId="0" fillId="6" borderId="8" xfId="0" applyNumberFormat="1" applyFill="1" applyBorder="1" applyAlignment="1">
      <alignment vertical="top" wrapText="1"/>
    </xf>
    <xf numFmtId="0" fontId="7" fillId="12" borderId="9" xfId="0" applyFont="1" applyFill="1" applyBorder="1" applyAlignment="1">
      <alignment horizontal="right"/>
    </xf>
    <xf numFmtId="0" fontId="0" fillId="6" borderId="15" xfId="0" applyFill="1" applyBorder="1"/>
    <xf numFmtId="0" fontId="0" fillId="0" borderId="72" xfId="0" applyBorder="1"/>
    <xf numFmtId="2" fontId="0" fillId="15" borderId="14" xfId="0" applyNumberFormat="1" applyFill="1" applyBorder="1"/>
    <xf numFmtId="165" fontId="0" fillId="15" borderId="14" xfId="3" applyNumberFormat="1" applyFont="1" applyFill="1" applyBorder="1"/>
    <xf numFmtId="2" fontId="0" fillId="5" borderId="7" xfId="0" applyNumberFormat="1" applyFill="1" applyBorder="1"/>
    <xf numFmtId="1" fontId="0" fillId="15" borderId="14" xfId="0" applyNumberFormat="1" applyFill="1" applyBorder="1"/>
    <xf numFmtId="0" fontId="0" fillId="6" borderId="14" xfId="0" applyFill="1" applyBorder="1"/>
    <xf numFmtId="2" fontId="0" fillId="16" borderId="14" xfId="0" applyNumberFormat="1" applyFill="1" applyBorder="1"/>
    <xf numFmtId="0" fontId="7" fillId="12" borderId="15" xfId="0" applyFont="1" applyFill="1" applyBorder="1"/>
    <xf numFmtId="0" fontId="7" fillId="12" borderId="14" xfId="0" applyFont="1" applyFill="1" applyBorder="1"/>
    <xf numFmtId="0" fontId="7" fillId="12" borderId="0" xfId="0" applyFont="1" applyFill="1"/>
    <xf numFmtId="0" fontId="7" fillId="12" borderId="14" xfId="0" applyFont="1" applyFill="1" applyBorder="1" applyAlignment="1">
      <alignment vertical="center"/>
    </xf>
    <xf numFmtId="0" fontId="0" fillId="15" borderId="15" xfId="0" applyFill="1" applyBorder="1"/>
    <xf numFmtId="9" fontId="0" fillId="16" borderId="14" xfId="3" applyFont="1" applyFill="1" applyBorder="1"/>
    <xf numFmtId="0" fontId="0" fillId="16" borderId="14" xfId="0" applyFill="1" applyBorder="1"/>
    <xf numFmtId="0" fontId="6" fillId="5" borderId="15" xfId="0" applyFont="1" applyFill="1" applyBorder="1"/>
    <xf numFmtId="0" fontId="8" fillId="0" borderId="15" xfId="0" applyFont="1" applyBorder="1" applyAlignment="1">
      <alignment vertical="center" wrapText="1"/>
    </xf>
    <xf numFmtId="0" fontId="8" fillId="0" borderId="15" xfId="0" applyFont="1" applyBorder="1" applyAlignment="1">
      <alignment vertical="center"/>
    </xf>
    <xf numFmtId="0" fontId="7" fillId="12" borderId="15" xfId="0" applyFont="1" applyFill="1" applyBorder="1" applyAlignment="1">
      <alignment wrapText="1"/>
    </xf>
    <xf numFmtId="0" fontId="7" fillId="12" borderId="14" xfId="0" applyFont="1" applyFill="1" applyBorder="1" applyAlignment="1">
      <alignment wrapText="1"/>
    </xf>
    <xf numFmtId="0" fontId="0" fillId="5" borderId="9" xfId="0" applyFill="1" applyBorder="1" applyAlignment="1">
      <alignment horizontal="left"/>
    </xf>
    <xf numFmtId="2" fontId="0" fillId="16" borderId="15" xfId="0" applyNumberFormat="1" applyFill="1" applyBorder="1"/>
    <xf numFmtId="0" fontId="6" fillId="5" borderId="15" xfId="0" applyFont="1" applyFill="1" applyBorder="1" applyAlignment="1">
      <alignment horizontal="left"/>
    </xf>
    <xf numFmtId="0" fontId="6" fillId="16" borderId="15" xfId="0" applyFont="1" applyFill="1" applyBorder="1" applyAlignment="1">
      <alignment horizontal="center"/>
    </xf>
    <xf numFmtId="0" fontId="6" fillId="5" borderId="14" xfId="0" applyFont="1" applyFill="1" applyBorder="1" applyAlignment="1">
      <alignment horizontal="center"/>
    </xf>
    <xf numFmtId="0" fontId="7" fillId="11" borderId="14" xfId="0" applyFont="1" applyFill="1" applyBorder="1"/>
    <xf numFmtId="0" fontId="0" fillId="5" borderId="152" xfId="0" applyFill="1" applyBorder="1" applyAlignment="1">
      <alignment horizontal="left"/>
    </xf>
    <xf numFmtId="0" fontId="6" fillId="5" borderId="72" xfId="0" applyFont="1" applyFill="1" applyBorder="1" applyAlignment="1">
      <alignment horizontal="left"/>
    </xf>
    <xf numFmtId="0" fontId="9" fillId="16" borderId="15" xfId="0" applyFont="1" applyFill="1" applyBorder="1"/>
    <xf numFmtId="164" fontId="0" fillId="16" borderId="14" xfId="0" applyNumberFormat="1" applyFill="1" applyBorder="1"/>
    <xf numFmtId="9" fontId="0" fillId="0" borderId="0" xfId="0" applyNumberFormat="1"/>
    <xf numFmtId="0" fontId="7" fillId="12" borderId="15" xfId="0" applyFont="1" applyFill="1" applyBorder="1" applyAlignment="1">
      <alignment horizontal="right" wrapText="1"/>
    </xf>
    <xf numFmtId="0" fontId="7" fillId="12" borderId="0" xfId="0" applyFont="1" applyFill="1" applyAlignment="1">
      <alignment horizontal="right" wrapText="1"/>
    </xf>
    <xf numFmtId="0" fontId="0" fillId="0" borderId="143" xfId="0" applyBorder="1"/>
    <xf numFmtId="0" fontId="0" fillId="0" borderId="144" xfId="0" applyBorder="1"/>
    <xf numFmtId="167" fontId="0" fillId="6" borderId="14" xfId="0" applyNumberFormat="1" applyFill="1" applyBorder="1" applyAlignment="1">
      <alignment vertical="top" wrapText="1"/>
    </xf>
    <xf numFmtId="0" fontId="0" fillId="6" borderId="147" xfId="0" applyFill="1" applyBorder="1"/>
    <xf numFmtId="2" fontId="0" fillId="15" borderId="14" xfId="0" applyNumberFormat="1" applyFill="1" applyBorder="1" applyAlignment="1">
      <alignment horizontal="right"/>
    </xf>
    <xf numFmtId="165" fontId="0" fillId="15" borderId="14" xfId="3" applyNumberFormat="1" applyFont="1" applyFill="1" applyBorder="1" applyAlignment="1">
      <alignment horizontal="right"/>
    </xf>
    <xf numFmtId="0" fontId="0" fillId="16" borderId="72" xfId="0" applyFill="1" applyBorder="1"/>
    <xf numFmtId="0" fontId="0" fillId="15" borderId="14" xfId="0" applyFill="1" applyBorder="1" applyAlignment="1">
      <alignment horizontal="right"/>
    </xf>
    <xf numFmtId="9" fontId="0" fillId="5" borderId="14" xfId="3" applyFont="1" applyFill="1" applyBorder="1"/>
    <xf numFmtId="9" fontId="0" fillId="16" borderId="14" xfId="0" applyNumberFormat="1" applyFill="1" applyBorder="1"/>
    <xf numFmtId="0" fontId="0" fillId="16" borderId="15" xfId="0" applyFill="1" applyBorder="1"/>
    <xf numFmtId="10" fontId="0" fillId="16" borderId="14" xfId="0" applyNumberFormat="1" applyFill="1" applyBorder="1"/>
    <xf numFmtId="2" fontId="7" fillId="12" borderId="15" xfId="0" applyNumberFormat="1" applyFont="1" applyFill="1" applyBorder="1"/>
    <xf numFmtId="167" fontId="0" fillId="16" borderId="14" xfId="0" applyNumberFormat="1" applyFill="1" applyBorder="1"/>
    <xf numFmtId="167" fontId="0" fillId="5" borderId="14" xfId="0" applyNumberFormat="1" applyFill="1" applyBorder="1"/>
    <xf numFmtId="0" fontId="6" fillId="5" borderId="10" xfId="0" applyFont="1" applyFill="1" applyBorder="1"/>
    <xf numFmtId="2" fontId="0" fillId="0" borderId="142" xfId="0" applyNumberFormat="1" applyBorder="1"/>
    <xf numFmtId="6" fontId="22" fillId="5" borderId="104" xfId="0" applyNumberFormat="1" applyFont="1" applyFill="1" applyBorder="1"/>
    <xf numFmtId="0" fontId="2" fillId="0" borderId="0" xfId="4" applyFill="1" applyBorder="1" applyAlignment="1" applyProtection="1"/>
    <xf numFmtId="0" fontId="0" fillId="6" borderId="150" xfId="7" applyFont="1" applyFill="1" applyBorder="1" applyAlignment="1"/>
    <xf numFmtId="0" fontId="0" fillId="6" borderId="0" xfId="7" applyFont="1" applyFill="1" applyBorder="1" applyAlignment="1">
      <alignment wrapText="1"/>
    </xf>
    <xf numFmtId="0" fontId="0" fillId="6" borderId="151" xfId="7" applyFont="1" applyFill="1" applyBorder="1" applyAlignment="1"/>
    <xf numFmtId="0" fontId="4" fillId="17" borderId="0" xfId="6" applyFill="1" applyBorder="1" applyProtection="1"/>
    <xf numFmtId="8" fontId="0" fillId="17" borderId="14" xfId="0" applyNumberFormat="1" applyFill="1" applyBorder="1" applyAlignment="1">
      <alignment vertical="top" wrapText="1"/>
    </xf>
    <xf numFmtId="168" fontId="0" fillId="6" borderId="14" xfId="0" applyNumberFormat="1" applyFill="1" applyBorder="1" applyAlignment="1">
      <alignment horizontal="right" vertical="top" wrapText="1"/>
    </xf>
    <xf numFmtId="168" fontId="0" fillId="6" borderId="14" xfId="0" applyNumberFormat="1" applyFill="1" applyBorder="1" applyAlignment="1">
      <alignment vertical="top" wrapText="1"/>
    </xf>
    <xf numFmtId="0" fontId="0" fillId="17" borderId="14" xfId="0" applyFill="1" applyBorder="1" applyAlignment="1">
      <alignment vertical="top" wrapText="1"/>
    </xf>
    <xf numFmtId="6" fontId="0" fillId="6" borderId="14" xfId="0" applyNumberFormat="1" applyFill="1" applyBorder="1" applyAlignment="1">
      <alignment vertical="top" wrapText="1"/>
    </xf>
    <xf numFmtId="0" fontId="4" fillId="0" borderId="0" xfId="6" applyBorder="1" applyProtection="1"/>
    <xf numFmtId="0" fontId="7" fillId="12" borderId="89" xfId="0" applyFont="1" applyFill="1" applyBorder="1"/>
    <xf numFmtId="0" fontId="7" fillId="12" borderId="142" xfId="0" applyFont="1" applyFill="1" applyBorder="1"/>
    <xf numFmtId="164" fontId="0" fillId="5" borderId="143" xfId="0" applyNumberFormat="1" applyFill="1" applyBorder="1"/>
    <xf numFmtId="164" fontId="0" fillId="5" borderId="104" xfId="0" applyNumberFormat="1" applyFill="1" applyBorder="1"/>
    <xf numFmtId="164" fontId="0" fillId="5" borderId="6" xfId="0" applyNumberFormat="1" applyFill="1" applyBorder="1"/>
    <xf numFmtId="0" fontId="0" fillId="6" borderId="10" xfId="0" applyFill="1" applyBorder="1"/>
    <xf numFmtId="2" fontId="0" fillId="16" borderId="7" xfId="0" applyNumberFormat="1" applyFill="1" applyBorder="1"/>
    <xf numFmtId="2" fontId="0" fillId="5" borderId="146" xfId="0" applyNumberFormat="1" applyFill="1" applyBorder="1"/>
    <xf numFmtId="0" fontId="0" fillId="16" borderId="13" xfId="0" applyFill="1" applyBorder="1"/>
    <xf numFmtId="0" fontId="0" fillId="0" borderId="153" xfId="0" applyBorder="1"/>
    <xf numFmtId="0" fontId="0" fillId="0" borderId="8" xfId="0" applyBorder="1"/>
    <xf numFmtId="2" fontId="0" fillId="5" borderId="15" xfId="0" applyNumberFormat="1" applyFill="1" applyBorder="1"/>
    <xf numFmtId="0" fontId="7" fillId="12" borderId="14" xfId="0" applyFont="1" applyFill="1" applyBorder="1" applyAlignment="1">
      <alignment horizontal="left" vertical="center" wrapText="1"/>
    </xf>
    <xf numFmtId="0" fontId="8" fillId="16" borderId="15" xfId="0" applyFont="1" applyFill="1" applyBorder="1" applyAlignment="1">
      <alignment horizontal="left"/>
    </xf>
    <xf numFmtId="169" fontId="0" fillId="15" borderId="14" xfId="0" applyNumberFormat="1" applyFill="1" applyBorder="1"/>
    <xf numFmtId="169" fontId="0" fillId="16" borderId="14" xfId="0" applyNumberFormat="1" applyFill="1" applyBorder="1"/>
    <xf numFmtId="0" fontId="8" fillId="0" borderId="5" xfId="0" applyFont="1" applyBorder="1" applyAlignment="1">
      <alignment horizontal="left"/>
    </xf>
    <xf numFmtId="0" fontId="8" fillId="0" borderId="0" xfId="0" applyFont="1" applyAlignment="1">
      <alignment horizontal="left"/>
    </xf>
    <xf numFmtId="164" fontId="0" fillId="5" borderId="10" xfId="0" applyNumberFormat="1" applyFill="1" applyBorder="1"/>
    <xf numFmtId="164" fontId="0" fillId="5" borderId="7" xfId="0" applyNumberFormat="1" applyFill="1" applyBorder="1"/>
    <xf numFmtId="164" fontId="0" fillId="5" borderId="52" xfId="0" applyNumberFormat="1" applyFill="1" applyBorder="1"/>
    <xf numFmtId="0" fontId="0" fillId="6" borderId="9" xfId="0" applyFill="1" applyBorder="1"/>
    <xf numFmtId="0" fontId="6" fillId="5" borderId="89" xfId="0" applyFont="1" applyFill="1" applyBorder="1"/>
    <xf numFmtId="164" fontId="6" fillId="5" borderId="14" xfId="0" applyNumberFormat="1" applyFont="1" applyFill="1" applyBorder="1"/>
    <xf numFmtId="0" fontId="0" fillId="6" borderId="5" xfId="0" applyFill="1" applyBorder="1"/>
    <xf numFmtId="164" fontId="6" fillId="5" borderId="7" xfId="0" applyNumberFormat="1" applyFont="1" applyFill="1" applyBorder="1"/>
    <xf numFmtId="170" fontId="0" fillId="15" borderId="14" xfId="0" applyNumberFormat="1" applyFill="1" applyBorder="1" applyAlignment="1">
      <alignment horizontal="right"/>
    </xf>
    <xf numFmtId="170" fontId="0" fillId="16" borderId="14" xfId="0" applyNumberFormat="1" applyFill="1" applyBorder="1"/>
    <xf numFmtId="170" fontId="8" fillId="15" borderId="14" xfId="0" applyNumberFormat="1" applyFont="1" applyFill="1" applyBorder="1"/>
    <xf numFmtId="170" fontId="0" fillId="15" borderId="14" xfId="0" quotePrefix="1" applyNumberFormat="1" applyFill="1" applyBorder="1" applyAlignment="1">
      <alignment horizontal="center"/>
    </xf>
    <xf numFmtId="170" fontId="0" fillId="15" borderId="14" xfId="0" applyNumberFormat="1" applyFill="1" applyBorder="1"/>
    <xf numFmtId="170" fontId="0" fillId="16" borderId="14" xfId="0" quotePrefix="1" applyNumberFormat="1" applyFill="1" applyBorder="1" applyAlignment="1">
      <alignment horizontal="center"/>
    </xf>
    <xf numFmtId="164" fontId="22" fillId="5" borderId="146" xfId="0" applyNumberFormat="1" applyFont="1" applyFill="1" applyBorder="1"/>
    <xf numFmtId="164" fontId="22" fillId="5" borderId="104" xfId="0" applyNumberFormat="1" applyFont="1" applyFill="1" applyBorder="1"/>
    <xf numFmtId="0" fontId="0" fillId="5" borderId="51" xfId="0" applyFill="1" applyBorder="1"/>
    <xf numFmtId="164" fontId="22" fillId="5" borderId="14" xfId="0" applyNumberFormat="1" applyFont="1" applyFill="1" applyBorder="1"/>
    <xf numFmtId="0" fontId="6" fillId="5" borderId="52" xfId="0" applyFont="1" applyFill="1" applyBorder="1"/>
    <xf numFmtId="164" fontId="6" fillId="5" borderId="11" xfId="0" applyNumberFormat="1" applyFont="1" applyFill="1" applyBorder="1"/>
    <xf numFmtId="0" fontId="0" fillId="6" borderId="150" xfId="7" applyFont="1" applyFill="1" applyBorder="1"/>
    <xf numFmtId="0" fontId="0" fillId="6" borderId="151" xfId="7" applyFont="1" applyFill="1" applyBorder="1" applyAlignment="1">
      <alignment vertical="top"/>
    </xf>
    <xf numFmtId="8" fontId="0" fillId="6" borderId="14" xfId="0" applyNumberFormat="1" applyFill="1" applyBorder="1" applyAlignment="1">
      <alignment vertical="top" wrapText="1"/>
    </xf>
    <xf numFmtId="0" fontId="7" fillId="12" borderId="154" xfId="0" applyFont="1" applyFill="1" applyBorder="1"/>
    <xf numFmtId="0" fontId="7" fillId="12" borderId="155" xfId="0" applyFont="1" applyFill="1" applyBorder="1"/>
    <xf numFmtId="0" fontId="7" fillId="12" borderId="72" xfId="0" applyFont="1" applyFill="1" applyBorder="1"/>
    <xf numFmtId="0" fontId="8" fillId="16" borderId="148" xfId="0" applyFont="1" applyFill="1" applyBorder="1" applyAlignment="1">
      <alignment horizontal="centerContinuous"/>
    </xf>
    <xf numFmtId="8" fontId="0" fillId="16" borderId="7" xfId="0" applyNumberFormat="1" applyFill="1" applyBorder="1"/>
    <xf numFmtId="6" fontId="22" fillId="5" borderId="15" xfId="0" applyNumberFormat="1" applyFont="1" applyFill="1" applyBorder="1"/>
    <xf numFmtId="0" fontId="6" fillId="5" borderId="11" xfId="0" applyFont="1" applyFill="1" applyBorder="1"/>
    <xf numFmtId="6" fontId="22" fillId="5" borderId="11" xfId="0" applyNumberFormat="1" applyFont="1" applyFill="1" applyBorder="1"/>
    <xf numFmtId="6" fontId="22" fillId="5" borderId="89" xfId="0" applyNumberFormat="1" applyFont="1" applyFill="1" applyBorder="1"/>
    <xf numFmtId="0" fontId="6" fillId="5" borderId="9" xfId="0" applyFont="1" applyFill="1" applyBorder="1"/>
    <xf numFmtId="0" fontId="7" fillId="12" borderId="104" xfId="0" applyFont="1" applyFill="1" applyBorder="1" applyAlignment="1">
      <alignment horizontal="right"/>
    </xf>
    <xf numFmtId="0" fontId="7" fillId="12" borderId="104" xfId="0" applyFont="1" applyFill="1" applyBorder="1" applyAlignment="1">
      <alignment horizontal="right" wrapText="1"/>
    </xf>
    <xf numFmtId="171" fontId="0" fillId="6" borderId="14" xfId="0" applyNumberFormat="1" applyFill="1" applyBorder="1"/>
    <xf numFmtId="172" fontId="0" fillId="6" borderId="14" xfId="0" applyNumberFormat="1" applyFill="1" applyBorder="1"/>
    <xf numFmtId="167" fontId="0" fillId="6" borderId="14" xfId="0" applyNumberFormat="1" applyFill="1" applyBorder="1"/>
    <xf numFmtId="0" fontId="0" fillId="15" borderId="15" xfId="0" applyFill="1" applyBorder="1" applyAlignment="1">
      <alignment horizontal="right"/>
    </xf>
    <xf numFmtId="0" fontId="7" fillId="12" borderId="13" xfId="0" applyFont="1" applyFill="1" applyBorder="1"/>
    <xf numFmtId="0" fontId="7" fillId="12" borderId="156" xfId="0" applyFont="1" applyFill="1" applyBorder="1"/>
    <xf numFmtId="0" fontId="7" fillId="12" borderId="147" xfId="0" applyFont="1" applyFill="1" applyBorder="1"/>
    <xf numFmtId="0" fontId="0" fillId="0" borderId="51" xfId="0" applyBorder="1"/>
    <xf numFmtId="6" fontId="6" fillId="5" borderId="7" xfId="0" applyNumberFormat="1" applyFont="1" applyFill="1" applyBorder="1"/>
    <xf numFmtId="0" fontId="0" fillId="6" borderId="24" xfId="0" applyFill="1" applyBorder="1"/>
    <xf numFmtId="0" fontId="0" fillId="2" borderId="3" xfId="7" applyFont="1" applyAlignment="1">
      <alignment vertical="top"/>
    </xf>
    <xf numFmtId="0" fontId="0" fillId="12" borderId="0" xfId="0" applyFill="1"/>
    <xf numFmtId="167" fontId="0" fillId="16" borderId="14" xfId="2" applyNumberFormat="1" applyFont="1" applyFill="1" applyBorder="1"/>
    <xf numFmtId="1" fontId="0" fillId="16" borderId="14" xfId="0" applyNumberFormat="1" applyFill="1" applyBorder="1"/>
    <xf numFmtId="164" fontId="0" fillId="16" borderId="14" xfId="2" applyNumberFormat="1" applyFont="1" applyFill="1" applyBorder="1"/>
    <xf numFmtId="0" fontId="0" fillId="12" borderId="11" xfId="0" applyFill="1" applyBorder="1"/>
    <xf numFmtId="0" fontId="8" fillId="5" borderId="51" xfId="0" applyFont="1" applyFill="1" applyBorder="1"/>
    <xf numFmtId="0" fontId="0" fillId="15" borderId="11" xfId="0" applyFill="1" applyBorder="1" applyAlignment="1">
      <alignment horizontal="right"/>
    </xf>
    <xf numFmtId="6" fontId="0" fillId="16" borderId="14" xfId="0" applyNumberFormat="1" applyFill="1" applyBorder="1"/>
    <xf numFmtId="0" fontId="0" fillId="5" borderId="5" xfId="0" applyFill="1" applyBorder="1"/>
    <xf numFmtId="167" fontId="0" fillId="6" borderId="14" xfId="2" applyNumberFormat="1" applyFont="1" applyFill="1" applyBorder="1"/>
    <xf numFmtId="9" fontId="0" fillId="15" borderId="14" xfId="3" applyFont="1" applyFill="1" applyBorder="1"/>
    <xf numFmtId="0" fontId="7" fillId="12" borderId="51" xfId="0" applyFont="1" applyFill="1" applyBorder="1"/>
    <xf numFmtId="164" fontId="0" fillId="16" borderId="15" xfId="0" applyNumberFormat="1" applyFill="1" applyBorder="1"/>
    <xf numFmtId="0" fontId="8" fillId="5" borderId="7" xfId="0" applyFont="1" applyFill="1" applyBorder="1"/>
    <xf numFmtId="0" fontId="0" fillId="16" borderId="11" xfId="0" applyFill="1" applyBorder="1"/>
    <xf numFmtId="1" fontId="0" fillId="16" borderId="7" xfId="0" applyNumberFormat="1" applyFill="1" applyBorder="1"/>
    <xf numFmtId="164" fontId="0" fillId="16" borderId="11" xfId="0" applyNumberFormat="1" applyFill="1" applyBorder="1"/>
    <xf numFmtId="0" fontId="8" fillId="5" borderId="14" xfId="0" applyFont="1" applyFill="1" applyBorder="1"/>
    <xf numFmtId="164" fontId="0" fillId="16" borderId="15" xfId="2" applyNumberFormat="1" applyFont="1" applyFill="1" applyBorder="1"/>
    <xf numFmtId="0" fontId="22" fillId="15" borderId="14" xfId="0" applyFont="1" applyFill="1" applyBorder="1"/>
    <xf numFmtId="164" fontId="20" fillId="15" borderId="14" xfId="2" applyNumberFormat="1" applyFont="1" applyFill="1" applyBorder="1"/>
    <xf numFmtId="1" fontId="22" fillId="15" borderId="14" xfId="0" applyNumberFormat="1" applyFont="1" applyFill="1" applyBorder="1"/>
    <xf numFmtId="173" fontId="22" fillId="5" borderId="142" xfId="2" applyNumberFormat="1" applyFont="1" applyFill="1" applyBorder="1"/>
    <xf numFmtId="43" fontId="22" fillId="5" borderId="15" xfId="1" applyFont="1" applyFill="1" applyBorder="1"/>
    <xf numFmtId="0" fontId="2" fillId="0" borderId="141" xfId="4" applyFill="1" applyBorder="1" applyAlignment="1" applyProtection="1">
      <protection locked="0"/>
    </xf>
    <xf numFmtId="0" fontId="0" fillId="6" borderId="0" xfId="0" applyFill="1" applyProtection="1">
      <protection locked="0"/>
    </xf>
    <xf numFmtId="0" fontId="0" fillId="6" borderId="150" xfId="7" applyFont="1" applyFill="1" applyBorder="1" applyProtection="1">
      <protection locked="0"/>
    </xf>
    <xf numFmtId="0" fontId="0" fillId="6" borderId="0" xfId="7" applyFont="1" applyFill="1" applyBorder="1" applyProtection="1">
      <protection locked="0"/>
    </xf>
    <xf numFmtId="0" fontId="5" fillId="13" borderId="157" xfId="0" applyFont="1" applyFill="1" applyBorder="1"/>
    <xf numFmtId="0" fontId="5" fillId="13" borderId="158" xfId="0" applyFont="1" applyFill="1" applyBorder="1" applyAlignment="1">
      <alignment horizontal="left"/>
    </xf>
    <xf numFmtId="1" fontId="22" fillId="5" borderId="14" xfId="0" applyNumberFormat="1" applyFont="1" applyFill="1" applyBorder="1"/>
    <xf numFmtId="1" fontId="0" fillId="5" borderId="14" xfId="0" applyNumberFormat="1" applyFill="1" applyBorder="1"/>
    <xf numFmtId="0" fontId="10" fillId="15" borderId="15" xfId="0" applyFont="1" applyFill="1" applyBorder="1" applyAlignment="1" applyProtection="1">
      <alignment horizontal="right" vertical="center"/>
      <protection locked="0"/>
    </xf>
    <xf numFmtId="0" fontId="10" fillId="15" borderId="15" xfId="0" applyFont="1" applyFill="1" applyBorder="1" applyAlignment="1">
      <alignment horizontal="right" vertical="center"/>
    </xf>
    <xf numFmtId="0" fontId="0" fillId="15" borderId="11" xfId="0" applyFill="1" applyBorder="1"/>
    <xf numFmtId="9" fontId="0" fillId="15" borderId="11" xfId="3" applyFont="1" applyFill="1" applyBorder="1" applyProtection="1"/>
    <xf numFmtId="9" fontId="0" fillId="15" borderId="14" xfId="3" applyFont="1" applyFill="1" applyBorder="1" applyProtection="1"/>
    <xf numFmtId="0" fontId="0" fillId="0" borderId="15" xfId="0" applyBorder="1"/>
    <xf numFmtId="9" fontId="0" fillId="16" borderId="14" xfId="3" applyFont="1" applyFill="1" applyBorder="1" applyProtection="1"/>
    <xf numFmtId="0" fontId="8" fillId="0" borderId="51" xfId="0" applyFont="1" applyBorder="1"/>
    <xf numFmtId="0" fontId="26" fillId="12" borderId="146" xfId="0" applyFont="1" applyFill="1" applyBorder="1"/>
    <xf numFmtId="0" fontId="0" fillId="12" borderId="8" xfId="0" applyFill="1" applyBorder="1"/>
    <xf numFmtId="0" fontId="0" fillId="12" borderId="9" xfId="0" applyFill="1" applyBorder="1"/>
    <xf numFmtId="0" fontId="0" fillId="0" borderId="5" xfId="0" applyBorder="1"/>
    <xf numFmtId="0" fontId="14" fillId="0" borderId="143" xfId="9" applyBorder="1" applyAlignment="1"/>
    <xf numFmtId="0" fontId="27" fillId="0" borderId="143" xfId="0" applyFont="1" applyBorder="1"/>
    <xf numFmtId="0" fontId="28" fillId="0" borderId="0" xfId="0" applyFont="1"/>
    <xf numFmtId="0" fontId="5" fillId="18" borderId="14" xfId="0" applyFont="1" applyFill="1" applyBorder="1" applyAlignment="1">
      <alignment wrapText="1"/>
    </xf>
    <xf numFmtId="0" fontId="29" fillId="0" borderId="14" xfId="0" applyFont="1" applyBorder="1" applyAlignment="1">
      <alignment vertical="center" wrapText="1"/>
    </xf>
    <xf numFmtId="6" fontId="29" fillId="0" borderId="14" xfId="0" applyNumberFormat="1" applyFont="1" applyBorder="1" applyAlignment="1">
      <alignment horizontal="right" vertical="center" wrapText="1"/>
    </xf>
    <xf numFmtId="0" fontId="28" fillId="0" borderId="143" xfId="0" applyFont="1" applyBorder="1"/>
    <xf numFmtId="0" fontId="28" fillId="0" borderId="14" xfId="0" applyFont="1" applyBorder="1"/>
    <xf numFmtId="167" fontId="29" fillId="0" borderId="14" xfId="0" applyNumberFormat="1" applyFont="1" applyBorder="1"/>
    <xf numFmtId="0" fontId="28" fillId="0" borderId="146" xfId="0" applyFont="1" applyBorder="1"/>
    <xf numFmtId="0" fontId="28" fillId="0" borderId="9" xfId="0" applyFont="1" applyBorder="1"/>
    <xf numFmtId="0" fontId="32" fillId="19" borderId="14" xfId="0" applyFont="1" applyFill="1" applyBorder="1" applyAlignment="1">
      <alignment vertical="center" wrapText="1"/>
    </xf>
    <xf numFmtId="0" fontId="32" fillId="19" borderId="14" xfId="0" applyFont="1" applyFill="1" applyBorder="1" applyAlignment="1">
      <alignment horizontal="right" vertical="center" wrapText="1"/>
    </xf>
    <xf numFmtId="2" fontId="29" fillId="0" borderId="14" xfId="0" applyNumberFormat="1" applyFont="1" applyBorder="1" applyAlignment="1">
      <alignment horizontal="right" vertical="center" wrapText="1"/>
    </xf>
    <xf numFmtId="0" fontId="28" fillId="0" borderId="5" xfId="0" applyFont="1" applyBorder="1"/>
    <xf numFmtId="8" fontId="29" fillId="0" borderId="14" xfId="0" applyNumberFormat="1" applyFont="1" applyBorder="1" applyAlignment="1">
      <alignment horizontal="right" vertical="center" wrapText="1"/>
    </xf>
    <xf numFmtId="0" fontId="32" fillId="19" borderId="14" xfId="0" applyFont="1" applyFill="1" applyBorder="1" applyAlignment="1">
      <alignment vertical="center"/>
    </xf>
    <xf numFmtId="0" fontId="28" fillId="17" borderId="0" xfId="0" applyFont="1" applyFill="1"/>
    <xf numFmtId="0" fontId="28" fillId="17" borderId="9" xfId="0" applyFont="1" applyFill="1" applyBorder="1"/>
    <xf numFmtId="164" fontId="29" fillId="0" borderId="14" xfId="0" applyNumberFormat="1" applyFont="1" applyBorder="1"/>
    <xf numFmtId="0" fontId="28" fillId="17" borderId="5" xfId="0" applyFont="1" applyFill="1" applyBorder="1"/>
    <xf numFmtId="0" fontId="28" fillId="17" borderId="11" xfId="0" applyFont="1" applyFill="1" applyBorder="1"/>
    <xf numFmtId="167" fontId="29" fillId="0" borderId="14" xfId="0" applyNumberFormat="1" applyFont="1" applyBorder="1" applyAlignment="1">
      <alignment horizontal="right"/>
    </xf>
    <xf numFmtId="0" fontId="29" fillId="0" borderId="146" xfId="0" applyFont="1" applyBorder="1" applyAlignment="1">
      <alignment vertical="center" wrapText="1"/>
    </xf>
    <xf numFmtId="6" fontId="29" fillId="0" borderId="8" xfId="0" applyNumberFormat="1" applyFont="1" applyBorder="1" applyAlignment="1">
      <alignment horizontal="right" vertical="center" wrapText="1"/>
    </xf>
    <xf numFmtId="6" fontId="29" fillId="0" borderId="9" xfId="0" applyNumberFormat="1" applyFont="1" applyBorder="1" applyAlignment="1">
      <alignment horizontal="right" vertical="center" wrapText="1"/>
    </xf>
    <xf numFmtId="0" fontId="28" fillId="0" borderId="0" xfId="0" applyFont="1" applyAlignment="1">
      <alignment wrapText="1"/>
    </xf>
    <xf numFmtId="0" fontId="29" fillId="0" borderId="14" xfId="0" applyFont="1" applyBorder="1" applyAlignment="1">
      <alignment horizontal="left" vertical="center" wrapText="1"/>
    </xf>
    <xf numFmtId="0" fontId="0" fillId="6" borderId="0" xfId="0" applyFill="1" applyAlignment="1">
      <alignment horizontal="left" vertical="top"/>
    </xf>
    <xf numFmtId="0" fontId="14" fillId="0" borderId="0" xfId="9"/>
    <xf numFmtId="0" fontId="29" fillId="0" borderId="14" xfId="0" applyFont="1" applyBorder="1" applyAlignment="1">
      <alignment vertical="top"/>
    </xf>
    <xf numFmtId="0" fontId="29" fillId="0" borderId="14" xfId="0" applyFont="1" applyBorder="1" applyAlignment="1">
      <alignment vertical="top" wrapText="1"/>
    </xf>
    <xf numFmtId="172" fontId="29" fillId="0" borderId="14" xfId="0" applyNumberFormat="1" applyFont="1" applyBorder="1"/>
    <xf numFmtId="0" fontId="28" fillId="0" borderId="105" xfId="0" applyFont="1" applyBorder="1"/>
    <xf numFmtId="0" fontId="29" fillId="0" borderId="143" xfId="0" applyFont="1" applyBorder="1"/>
    <xf numFmtId="0" fontId="29" fillId="0" borderId="105" xfId="0" applyFont="1" applyBorder="1"/>
    <xf numFmtId="0" fontId="29" fillId="0" borderId="14" xfId="0" applyFont="1" applyBorder="1" applyAlignment="1">
      <alignment vertical="center"/>
    </xf>
    <xf numFmtId="8" fontId="29" fillId="0" borderId="14" xfId="0" applyNumberFormat="1" applyFont="1" applyBorder="1" applyAlignment="1">
      <alignment horizontal="right" vertical="center"/>
    </xf>
    <xf numFmtId="0" fontId="29" fillId="0" borderId="14" xfId="0" applyFont="1" applyBorder="1" applyAlignment="1">
      <alignment horizontal="right" vertical="center"/>
    </xf>
    <xf numFmtId="0" fontId="0" fillId="0" borderId="146" xfId="0" applyBorder="1"/>
    <xf numFmtId="0" fontId="0" fillId="0" borderId="9" xfId="0" applyBorder="1"/>
    <xf numFmtId="0" fontId="32" fillId="19" borderId="14" xfId="0" applyFont="1" applyFill="1" applyBorder="1" applyAlignment="1">
      <alignment horizontal="right" vertical="top" wrapText="1"/>
    </xf>
    <xf numFmtId="0" fontId="0" fillId="0" borderId="67" xfId="0" applyBorder="1"/>
    <xf numFmtId="0" fontId="0" fillId="0" borderId="160" xfId="0" applyBorder="1"/>
    <xf numFmtId="168" fontId="29" fillId="0" borderId="14" xfId="0" applyNumberFormat="1" applyFont="1" applyBorder="1" applyAlignment="1">
      <alignment horizontal="right" vertical="center" wrapText="1"/>
    </xf>
    <xf numFmtId="174" fontId="29" fillId="0" borderId="14" xfId="0" applyNumberFormat="1" applyFont="1" applyBorder="1" applyAlignment="1">
      <alignment horizontal="right" vertical="center" wrapText="1"/>
    </xf>
    <xf numFmtId="0" fontId="0" fillId="0" borderId="0" xfId="0" applyAlignment="1">
      <alignment vertical="center"/>
    </xf>
    <xf numFmtId="0" fontId="8" fillId="0" borderId="0" xfId="0" applyFont="1" applyAlignment="1">
      <alignment vertical="center"/>
    </xf>
    <xf numFmtId="0" fontId="0" fillId="0" borderId="0" xfId="0" applyAlignment="1">
      <alignment vertical="center" wrapText="1"/>
    </xf>
    <xf numFmtId="0" fontId="0" fillId="0" borderId="14" xfId="0" applyBorder="1" applyAlignment="1">
      <alignment horizontal="center" vertical="center"/>
    </xf>
    <xf numFmtId="9" fontId="0" fillId="0" borderId="14" xfId="0" applyNumberFormat="1" applyBorder="1" applyAlignment="1">
      <alignment horizontal="center" vertical="center"/>
    </xf>
    <xf numFmtId="0" fontId="8" fillId="0" borderId="14" xfId="0" applyFont="1" applyBorder="1" applyAlignment="1">
      <alignment vertical="center" wrapText="1"/>
    </xf>
    <xf numFmtId="0" fontId="0" fillId="0" borderId="14" xfId="0" applyBorder="1" applyAlignment="1">
      <alignment vertical="center" wrapText="1"/>
    </xf>
    <xf numFmtId="9" fontId="0" fillId="0" borderId="14" xfId="0" applyNumberFormat="1" applyBorder="1" applyAlignment="1">
      <alignment horizontal="center" vertical="center" wrapText="1"/>
    </xf>
    <xf numFmtId="0" fontId="8" fillId="0" borderId="14" xfId="0" applyFont="1" applyBorder="1" applyAlignment="1">
      <alignment vertical="center"/>
    </xf>
    <xf numFmtId="0" fontId="39" fillId="20" borderId="14" xfId="0" applyFont="1" applyFill="1" applyBorder="1" applyAlignment="1">
      <alignment horizontal="center" vertical="center"/>
    </xf>
    <xf numFmtId="9" fontId="0" fillId="0" borderId="14" xfId="0" applyNumberFormat="1" applyBorder="1" applyAlignment="1">
      <alignment horizontal="center"/>
    </xf>
    <xf numFmtId="0" fontId="40" fillId="0" borderId="14" xfId="0" applyFont="1" applyBorder="1" applyAlignment="1">
      <alignment vertical="top" wrapText="1"/>
    </xf>
    <xf numFmtId="0" fontId="8" fillId="0" borderId="14" xfId="0" applyFont="1" applyBorder="1" applyAlignment="1">
      <alignment vertical="top" wrapText="1"/>
    </xf>
    <xf numFmtId="0" fontId="6" fillId="0" borderId="14" xfId="0" applyFont="1" applyBorder="1" applyAlignment="1">
      <alignment horizontal="center" vertical="top"/>
    </xf>
    <xf numFmtId="0" fontId="6" fillId="0" borderId="0" xfId="0" applyFont="1" applyAlignment="1">
      <alignment vertical="top"/>
    </xf>
    <xf numFmtId="0" fontId="9" fillId="0" borderId="14" xfId="0" applyFont="1" applyBorder="1" applyAlignment="1">
      <alignment horizontal="center" vertical="top"/>
    </xf>
    <xf numFmtId="0" fontId="11" fillId="0" borderId="0" xfId="0" applyFont="1"/>
    <xf numFmtId="0" fontId="7" fillId="0" borderId="0" xfId="0" applyFont="1" applyAlignment="1">
      <alignment horizontal="left"/>
    </xf>
    <xf numFmtId="9" fontId="7" fillId="0" borderId="0" xfId="0" applyNumberFormat="1" applyFont="1" applyAlignment="1">
      <alignment wrapText="1"/>
    </xf>
    <xf numFmtId="0" fontId="22" fillId="3" borderId="15" xfId="0" applyFont="1" applyFill="1" applyBorder="1" applyAlignment="1">
      <alignment horizontal="right"/>
    </xf>
    <xf numFmtId="6" fontId="22" fillId="3" borderId="104" xfId="0" applyNumberFormat="1" applyFont="1" applyFill="1" applyBorder="1"/>
    <xf numFmtId="6" fontId="22" fillId="3" borderId="14" xfId="0" applyNumberFormat="1" applyFont="1" applyFill="1" applyBorder="1"/>
    <xf numFmtId="0" fontId="7" fillId="12" borderId="7" xfId="0" applyFont="1" applyFill="1" applyBorder="1" applyAlignment="1">
      <alignment horizontal="right"/>
    </xf>
    <xf numFmtId="0" fontId="29" fillId="0" borderId="8" xfId="0" applyFont="1" applyBorder="1" applyAlignment="1">
      <alignment horizontal="left" vertical="center" wrapText="1"/>
    </xf>
    <xf numFmtId="0" fontId="29" fillId="0" borderId="9" xfId="0" applyFont="1" applyBorder="1" applyAlignment="1">
      <alignment horizontal="left" vertical="center" wrapText="1"/>
    </xf>
    <xf numFmtId="0" fontId="30" fillId="19" borderId="14" xfId="0" applyFont="1" applyFill="1" applyBorder="1" applyAlignment="1">
      <alignment vertical="center" wrapText="1"/>
    </xf>
    <xf numFmtId="0" fontId="29" fillId="0" borderId="143" xfId="0" applyFont="1" applyBorder="1" applyAlignment="1">
      <alignment horizontal="left" vertical="top" wrapText="1"/>
    </xf>
    <xf numFmtId="0" fontId="29" fillId="0" borderId="5" xfId="0" applyFont="1" applyBorder="1" applyAlignment="1">
      <alignment horizontal="left" vertical="top" wrapText="1"/>
    </xf>
    <xf numFmtId="0" fontId="29" fillId="0" borderId="143" xfId="0" applyFont="1" applyBorder="1" applyAlignment="1">
      <alignment vertical="top" wrapText="1"/>
    </xf>
    <xf numFmtId="0" fontId="29" fillId="0" borderId="5" xfId="0" applyFont="1" applyBorder="1" applyAlignment="1">
      <alignment vertical="top" wrapText="1"/>
    </xf>
    <xf numFmtId="0" fontId="29" fillId="0" borderId="52" xfId="0" applyFont="1" applyBorder="1" applyAlignment="1">
      <alignment vertical="top" wrapText="1"/>
    </xf>
    <xf numFmtId="0" fontId="29" fillId="0" borderId="11" xfId="0" applyFont="1" applyBorder="1" applyAlignment="1">
      <alignment vertical="top" wrapText="1"/>
    </xf>
    <xf numFmtId="0" fontId="29" fillId="0" borderId="52" xfId="0" applyFont="1" applyBorder="1" applyAlignment="1">
      <alignment horizontal="left" vertical="top" wrapText="1"/>
    </xf>
    <xf numFmtId="0" fontId="29" fillId="0" borderId="11" xfId="0" applyFont="1" applyBorder="1" applyAlignment="1">
      <alignment horizontal="left" vertical="top" wrapText="1"/>
    </xf>
    <xf numFmtId="0" fontId="32" fillId="19" borderId="89" xfId="0" applyFont="1" applyFill="1" applyBorder="1" applyAlignment="1">
      <alignment horizontal="center" vertical="center"/>
    </xf>
    <xf numFmtId="0" fontId="32" fillId="19" borderId="142" xfId="0" applyFont="1" applyFill="1" applyBorder="1" applyAlignment="1">
      <alignment horizontal="center" vertical="center"/>
    </xf>
    <xf numFmtId="0" fontId="32" fillId="19" borderId="15" xfId="0" applyFont="1" applyFill="1" applyBorder="1" applyAlignment="1">
      <alignment horizontal="center" vertical="center"/>
    </xf>
    <xf numFmtId="0" fontId="32" fillId="19" borderId="14" xfId="0" applyFont="1" applyFill="1" applyBorder="1" applyAlignment="1">
      <alignment vertical="center" wrapText="1"/>
    </xf>
    <xf numFmtId="0" fontId="32" fillId="19" borderId="14" xfId="0" applyFont="1" applyFill="1" applyBorder="1" applyAlignment="1">
      <alignment horizontal="center" vertical="center" wrapText="1"/>
    </xf>
    <xf numFmtId="0" fontId="29" fillId="0" borderId="10" xfId="0" applyFont="1" applyBorder="1" applyAlignment="1">
      <alignment horizontal="left" vertical="center" wrapText="1"/>
    </xf>
    <xf numFmtId="0" fontId="29" fillId="0" borderId="11" xfId="0" applyFont="1" applyBorder="1" applyAlignment="1">
      <alignment horizontal="left" vertical="center" wrapText="1"/>
    </xf>
    <xf numFmtId="0" fontId="29" fillId="0" borderId="143" xfId="0" applyFont="1" applyBorder="1" applyAlignment="1">
      <alignment horizontal="left" vertical="top"/>
    </xf>
    <xf numFmtId="0" fontId="29" fillId="0" borderId="0" xfId="0" applyFont="1" applyAlignment="1">
      <alignment horizontal="left" vertical="top"/>
    </xf>
    <xf numFmtId="0" fontId="29" fillId="0" borderId="5" xfId="0" applyFont="1" applyBorder="1" applyAlignment="1">
      <alignment horizontal="left" vertical="top"/>
    </xf>
    <xf numFmtId="0" fontId="29" fillId="0" borderId="52" xfId="0" applyFont="1" applyBorder="1" applyAlignment="1">
      <alignment horizontal="left" vertical="top"/>
    </xf>
    <xf numFmtId="0" fontId="29" fillId="0" borderId="10" xfId="0" applyFont="1" applyBorder="1" applyAlignment="1">
      <alignment horizontal="left" vertical="top"/>
    </xf>
    <xf numFmtId="0" fontId="29" fillId="0" borderId="11" xfId="0" applyFont="1" applyBorder="1" applyAlignment="1">
      <alignment horizontal="left" vertical="top"/>
    </xf>
    <xf numFmtId="0" fontId="29" fillId="0" borderId="10" xfId="0" applyFont="1" applyBorder="1" applyAlignment="1">
      <alignment horizontal="left" vertical="top" wrapText="1"/>
    </xf>
    <xf numFmtId="0" fontId="29" fillId="0" borderId="105" xfId="0" applyFont="1" applyBorder="1" applyAlignment="1">
      <alignment horizontal="left" vertical="top" wrapText="1"/>
    </xf>
    <xf numFmtId="0" fontId="29" fillId="0" borderId="159" xfId="0" applyFont="1" applyBorder="1" applyAlignment="1">
      <alignment horizontal="left" vertical="top" wrapText="1"/>
    </xf>
    <xf numFmtId="0" fontId="29" fillId="0" borderId="145" xfId="0" applyFont="1" applyBorder="1" applyAlignment="1">
      <alignment horizontal="left" vertical="top" wrapText="1"/>
    </xf>
    <xf numFmtId="0" fontId="0" fillId="0" borderId="0" xfId="0" applyAlignment="1">
      <alignment horizontal="left"/>
    </xf>
    <xf numFmtId="0" fontId="29" fillId="0" borderId="0" xfId="0" applyFont="1" applyAlignment="1">
      <alignment horizontal="left" vertical="top" wrapText="1"/>
    </xf>
    <xf numFmtId="0" fontId="32" fillId="19" borderId="52" xfId="0" applyFont="1" applyFill="1" applyBorder="1" applyAlignment="1">
      <alignment horizontal="center" vertical="center" wrapText="1"/>
    </xf>
    <xf numFmtId="0" fontId="32" fillId="19" borderId="10" xfId="0" applyFont="1" applyFill="1" applyBorder="1" applyAlignment="1">
      <alignment horizontal="center" vertical="center" wrapText="1"/>
    </xf>
    <xf numFmtId="0" fontId="5" fillId="12" borderId="142" xfId="0" applyFont="1" applyFill="1" applyBorder="1" applyAlignment="1">
      <alignment horizontal="center"/>
    </xf>
    <xf numFmtId="0" fontId="5" fillId="12" borderId="15" xfId="0" applyFont="1" applyFill="1" applyBorder="1" applyAlignment="1">
      <alignment horizontal="center"/>
    </xf>
    <xf numFmtId="0" fontId="5" fillId="12" borderId="89" xfId="0" applyFont="1" applyFill="1" applyBorder="1" applyAlignment="1">
      <alignment horizontal="center"/>
    </xf>
  </cellXfs>
  <cellStyles count="10">
    <cellStyle name="Comma" xfId="1" builtinId="3"/>
    <cellStyle name="Currency" xfId="2" builtinId="4"/>
    <cellStyle name="Heading 1" xfId="4" builtinId="16"/>
    <cellStyle name="Heading 2" xfId="5" builtinId="17"/>
    <cellStyle name="Heading 4" xfId="6" builtinId="19"/>
    <cellStyle name="Hyperlink" xfId="9" builtinId="8"/>
    <cellStyle name="Normal" xfId="0" builtinId="0"/>
    <cellStyle name="Normal 7" xfId="8" xr:uid="{05BF6EDB-A52D-459C-8DE4-E9FF46C08472}"/>
    <cellStyle name="Note" xfId="7" builtinId="10"/>
    <cellStyle name="Percent" xfId="3" builtinId="5"/>
  </cellStyles>
  <dxfs count="33">
    <dxf>
      <font>
        <b val="0"/>
        <i val="0"/>
        <strike val="0"/>
        <u val="none"/>
      </font>
      <fill>
        <patternFill>
          <bgColor rgb="FFBFBFBF"/>
        </patternFill>
      </fill>
    </dxf>
    <dxf>
      <font>
        <b val="0"/>
        <i val="0"/>
        <u val="none"/>
      </font>
      <fill>
        <patternFill>
          <bgColor theme="0" tint="-0.24994659260841701"/>
        </patternFill>
      </fill>
    </dxf>
    <dxf>
      <font>
        <b val="0"/>
        <i val="0"/>
        <u val="none"/>
      </font>
      <fill>
        <patternFill>
          <bgColor theme="0" tint="-0.24994659260841701"/>
        </patternFill>
      </fill>
    </dxf>
    <dxf>
      <font>
        <b val="0"/>
        <i val="0"/>
        <u val="none"/>
      </font>
      <fill>
        <patternFill>
          <bgColor theme="0" tint="-0.24994659260841701"/>
        </patternFill>
      </fill>
    </dxf>
    <dxf>
      <font>
        <b val="0"/>
        <i val="0"/>
        <u val="none"/>
      </font>
      <fill>
        <patternFill>
          <bgColor theme="0" tint="-0.24994659260841701"/>
        </patternFill>
      </fill>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fill>
        <patternFill>
          <bgColor theme="0" tint="-0.24994659260841701"/>
        </patternFill>
      </fill>
    </dxf>
    <dxf>
      <font>
        <b val="0"/>
        <i val="0"/>
      </font>
    </dxf>
    <dxf>
      <font>
        <b val="0"/>
        <i val="0"/>
        <u val="none"/>
      </font>
      <fill>
        <patternFill>
          <bgColor theme="0" tint="-0.24994659260841701"/>
        </patternFill>
      </fill>
    </dxf>
    <dxf>
      <font>
        <b val="0"/>
        <i/>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hyperlink" Target="https://www.txdot.gov/apps/statewide_mapping/StatewidePlanningMap.html" TargetMode="External"/><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hyperlink" Target="https://datalab.h-gac.com/ace/" TargetMode="External"/><Relationship Id="rId17" Type="http://schemas.openxmlformats.org/officeDocument/2006/relationships/image" Target="../media/image14.png"/><Relationship Id="rId2" Type="http://schemas.openxmlformats.org/officeDocument/2006/relationships/image" Target="../media/image2.png"/><Relationship Id="rId16" Type="http://schemas.openxmlformats.org/officeDocument/2006/relationships/image" Target="../media/image13.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hyperlink" Target="https://datalab.h-gac.com/crash/" TargetMode="External"/><Relationship Id="rId5" Type="http://schemas.openxmlformats.org/officeDocument/2006/relationships/image" Target="../media/image5.png"/><Relationship Id="rId15" Type="http://schemas.openxmlformats.org/officeDocument/2006/relationships/image" Target="../media/image12.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xdr:from>
      <xdr:col>0</xdr:col>
      <xdr:colOff>0</xdr:colOff>
      <xdr:row>22</xdr:row>
      <xdr:rowOff>173354</xdr:rowOff>
    </xdr:from>
    <xdr:to>
      <xdr:col>10</xdr:col>
      <xdr:colOff>212400</xdr:colOff>
      <xdr:row>129</xdr:row>
      <xdr:rowOff>66674</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0" y="11847194"/>
          <a:ext cx="11177580" cy="19461480"/>
        </a:xfrm>
        <a:prstGeom prst="rect">
          <a:avLst/>
        </a:prstGeom>
        <a:solidFill>
          <a:schemeClr val="bg1">
            <a:lumMod val="95000"/>
          </a:schemeClr>
        </a:solidFill>
        <a:ln>
          <a:solidFill>
            <a:schemeClr val="accent1">
              <a:lumMod val="50000"/>
            </a:schemeClr>
          </a:solidFill>
        </a:ln>
      </xdr:spPr>
      <xdr:style>
        <a:lnRef idx="2">
          <a:schemeClr val="accent2"/>
        </a:lnRef>
        <a:fillRef idx="1">
          <a:schemeClr val="lt1"/>
        </a:fillRef>
        <a:effectRef idx="0">
          <a:schemeClr val="accent2"/>
        </a:effectRef>
        <a:fontRef idx="minor">
          <a:schemeClr val="dk1"/>
        </a:fontRef>
      </xdr:style>
      <xdr:txBody>
        <a:bodyPr vertOverflow="clip" wrap="square" rtlCol="0" anchor="t"/>
        <a:lstStyle/>
        <a:p>
          <a:r>
            <a:rPr lang="en-US" sz="1100" b="1" i="1">
              <a:solidFill>
                <a:schemeClr val="dk1"/>
              </a:solidFill>
              <a:effectLst/>
              <a:latin typeface="+mn-lt"/>
              <a:ea typeface="+mn-ea"/>
              <a:cs typeface="+mn-cs"/>
            </a:rPr>
            <a:t>Facility Type</a:t>
          </a:r>
        </a:p>
        <a:p>
          <a:r>
            <a:rPr lang="en-US" sz="1100" b="1" i="1">
              <a:solidFill>
                <a:schemeClr val="dk1"/>
              </a:solidFill>
              <a:effectLst/>
              <a:latin typeface="+mn-lt"/>
              <a:ea typeface="+mn-ea"/>
              <a:cs typeface="+mn-cs"/>
            </a:rPr>
            <a:t>	</a:t>
          </a:r>
          <a:r>
            <a:rPr lang="en-US" sz="1100" b="0" i="0">
              <a:solidFill>
                <a:schemeClr val="dk1"/>
              </a:solidFill>
              <a:effectLst/>
              <a:latin typeface="+mn-lt"/>
              <a:ea typeface="+mn-ea"/>
              <a:cs typeface="+mn-cs"/>
            </a:rPr>
            <a:t>Open</a:t>
          </a:r>
          <a:r>
            <a:rPr lang="en-US" sz="1100" b="0" i="0" baseline="0">
              <a:solidFill>
                <a:schemeClr val="dk1"/>
              </a:solidFill>
              <a:effectLst/>
              <a:latin typeface="+mn-lt"/>
              <a:ea typeface="+mn-ea"/>
              <a:cs typeface="+mn-cs"/>
            </a:rPr>
            <a:t> TxDOT Statewide Planning Map (</a:t>
          </a:r>
          <a:r>
            <a:rPr lang="en-US">
              <a:hlinkClick xmlns:r="http://schemas.openxmlformats.org/officeDocument/2006/relationships" r:id=""/>
            </a:rPr>
            <a:t>TxDOT - Statewide Planning Map</a:t>
          </a:r>
          <a:r>
            <a:rPr lang="en-US"/>
            <a:t>). </a:t>
          </a:r>
          <a:endParaRPr lang="en-US" sz="1100" b="1" i="1">
            <a:solidFill>
              <a:schemeClr val="dk1"/>
            </a:solidFill>
            <a:effectLst/>
            <a:latin typeface="+mn-lt"/>
            <a:ea typeface="+mn-ea"/>
            <a:cs typeface="+mn-cs"/>
          </a:endParaRPr>
        </a:p>
        <a:p>
          <a:endParaRPr lang="en-US" sz="1100" b="1" i="1">
            <a:solidFill>
              <a:schemeClr val="dk1"/>
            </a:solidFill>
            <a:effectLst/>
            <a:latin typeface="+mn-lt"/>
            <a:ea typeface="+mn-ea"/>
            <a:cs typeface="+mn-cs"/>
          </a:endParaRPr>
        </a:p>
        <a:p>
          <a:endParaRPr lang="en-US" sz="1100" b="1" i="1">
            <a:solidFill>
              <a:schemeClr val="dk1"/>
            </a:solidFill>
            <a:effectLst/>
            <a:latin typeface="+mn-lt"/>
            <a:ea typeface="+mn-ea"/>
            <a:cs typeface="+mn-cs"/>
          </a:endParaRPr>
        </a:p>
        <a:p>
          <a:endParaRPr lang="en-US" sz="1100" b="1" i="1">
            <a:solidFill>
              <a:schemeClr val="dk1"/>
            </a:solidFill>
            <a:effectLst/>
            <a:latin typeface="+mn-lt"/>
            <a:ea typeface="+mn-ea"/>
            <a:cs typeface="+mn-cs"/>
          </a:endParaRPr>
        </a:p>
        <a:p>
          <a:endParaRPr lang="en-US" sz="1100" b="1" i="1">
            <a:solidFill>
              <a:schemeClr val="dk1"/>
            </a:solidFill>
            <a:effectLst/>
            <a:latin typeface="+mn-lt"/>
            <a:ea typeface="+mn-ea"/>
            <a:cs typeface="+mn-cs"/>
          </a:endParaRPr>
        </a:p>
        <a:p>
          <a:endParaRPr lang="en-US" sz="1100" b="1" i="1">
            <a:solidFill>
              <a:schemeClr val="dk1"/>
            </a:solidFill>
            <a:effectLst/>
            <a:latin typeface="+mn-lt"/>
            <a:ea typeface="+mn-ea"/>
            <a:cs typeface="+mn-cs"/>
          </a:endParaRPr>
        </a:p>
        <a:p>
          <a:endParaRPr lang="en-US" sz="1100" b="1" i="1">
            <a:solidFill>
              <a:schemeClr val="dk1"/>
            </a:solidFill>
            <a:effectLst/>
            <a:latin typeface="+mn-lt"/>
            <a:ea typeface="+mn-ea"/>
            <a:cs typeface="+mn-cs"/>
          </a:endParaRPr>
        </a:p>
        <a:p>
          <a:endParaRPr lang="en-US" sz="1100" b="1" i="1">
            <a:solidFill>
              <a:schemeClr val="dk1"/>
            </a:solidFill>
            <a:effectLst/>
            <a:latin typeface="+mn-lt"/>
            <a:ea typeface="+mn-ea"/>
            <a:cs typeface="+mn-cs"/>
          </a:endParaRPr>
        </a:p>
        <a:p>
          <a:endParaRPr lang="en-US" sz="1100" b="1" i="1">
            <a:solidFill>
              <a:schemeClr val="dk1"/>
            </a:solidFill>
            <a:effectLst/>
            <a:latin typeface="+mn-lt"/>
            <a:ea typeface="+mn-ea"/>
            <a:cs typeface="+mn-cs"/>
          </a:endParaRPr>
        </a:p>
        <a:p>
          <a:endParaRPr lang="en-US" sz="1100" b="1" i="1">
            <a:solidFill>
              <a:schemeClr val="dk1"/>
            </a:solidFill>
            <a:effectLst/>
            <a:latin typeface="+mn-lt"/>
            <a:ea typeface="+mn-ea"/>
            <a:cs typeface="+mn-cs"/>
          </a:endParaRPr>
        </a:p>
        <a:p>
          <a:endParaRPr lang="en-US" sz="1100" b="1" i="1">
            <a:solidFill>
              <a:schemeClr val="dk1"/>
            </a:solidFill>
            <a:effectLst/>
            <a:latin typeface="+mn-lt"/>
            <a:ea typeface="+mn-ea"/>
            <a:cs typeface="+mn-cs"/>
          </a:endParaRPr>
        </a:p>
        <a:p>
          <a:endParaRPr lang="en-US" sz="1100" b="1" i="1">
            <a:solidFill>
              <a:schemeClr val="dk1"/>
            </a:solidFill>
            <a:effectLst/>
            <a:latin typeface="+mn-lt"/>
            <a:ea typeface="+mn-ea"/>
            <a:cs typeface="+mn-cs"/>
          </a:endParaRPr>
        </a:p>
        <a:p>
          <a:endParaRPr lang="en-US" sz="1100" b="1" i="1">
            <a:solidFill>
              <a:schemeClr val="dk1"/>
            </a:solidFill>
            <a:effectLst/>
            <a:latin typeface="+mn-lt"/>
            <a:ea typeface="+mn-ea"/>
            <a:cs typeface="+mn-cs"/>
          </a:endParaRPr>
        </a:p>
        <a:p>
          <a:endParaRPr lang="en-US" sz="1100" b="1" i="1">
            <a:solidFill>
              <a:schemeClr val="dk1"/>
            </a:solidFill>
            <a:effectLst/>
            <a:latin typeface="+mn-lt"/>
            <a:ea typeface="+mn-ea"/>
            <a:cs typeface="+mn-cs"/>
          </a:endParaRPr>
        </a:p>
        <a:p>
          <a:endParaRPr lang="en-US" sz="1100" b="1" i="1">
            <a:solidFill>
              <a:schemeClr val="dk1"/>
            </a:solidFill>
            <a:effectLst/>
            <a:latin typeface="+mn-lt"/>
            <a:ea typeface="+mn-ea"/>
            <a:cs typeface="+mn-cs"/>
          </a:endParaRPr>
        </a:p>
        <a:p>
          <a:r>
            <a:rPr lang="en-US" sz="1100" b="1" i="1">
              <a:solidFill>
                <a:schemeClr val="dk1"/>
              </a:solidFill>
              <a:effectLst/>
              <a:latin typeface="+mn-lt"/>
              <a:ea typeface="+mn-ea"/>
              <a:cs typeface="+mn-cs"/>
            </a:rPr>
            <a:t>	</a:t>
          </a:r>
          <a:r>
            <a:rPr lang="en-US" sz="1100" b="0" i="0" baseline="0">
              <a:solidFill>
                <a:schemeClr val="dk1"/>
              </a:solidFill>
              <a:effectLst/>
              <a:latin typeface="+mn-lt"/>
              <a:ea typeface="+mn-ea"/>
              <a:cs typeface="+mn-cs"/>
            </a:rPr>
            <a:t>Click on Functional Classification &amp; Urban Areas on the left to turn the layer on. </a:t>
          </a:r>
        </a:p>
        <a:p>
          <a:r>
            <a:rPr lang="en-US" sz="1100" b="0" i="0" baseline="0">
              <a:solidFill>
                <a:schemeClr val="dk1"/>
              </a:solidFill>
              <a:effectLst/>
              <a:latin typeface="+mn-lt"/>
              <a:ea typeface="+mn-ea"/>
              <a:cs typeface="+mn-cs"/>
            </a:rPr>
            <a:t>	Click on the View Legend button             on the right to view the legend. </a:t>
          </a:r>
        </a:p>
        <a:p>
          <a:r>
            <a:rPr lang="en-US" sz="1100" b="0" i="0" baseline="0">
              <a:solidFill>
                <a:schemeClr val="dk1"/>
              </a:solidFill>
              <a:effectLst/>
              <a:latin typeface="+mn-lt"/>
              <a:ea typeface="+mn-ea"/>
              <a:cs typeface="+mn-cs"/>
            </a:rPr>
            <a:t>	Roadways under Interstate and Principal Arterial - (Other Freeways and Expressways) are restricted access. </a:t>
          </a:r>
        </a:p>
        <a:p>
          <a:r>
            <a:rPr lang="en-US" sz="1100" b="0" i="0" baseline="0">
              <a:solidFill>
                <a:schemeClr val="dk1"/>
              </a:solidFill>
              <a:effectLst/>
              <a:latin typeface="+mn-lt"/>
              <a:ea typeface="+mn-ea"/>
              <a:cs typeface="+mn-cs"/>
            </a:rPr>
            <a:t>	Roadways under other classes - Principal Arterial - Other, Minor Arterial, Major Arterial, Major Collector and Minor Collector are unrestricted access. </a:t>
          </a:r>
        </a:p>
        <a:p>
          <a:r>
            <a:rPr lang="en-US" sz="1100" b="0" i="0" baseline="0">
              <a:solidFill>
                <a:schemeClr val="dk1"/>
              </a:solidFill>
              <a:effectLst/>
              <a:latin typeface="+mn-lt"/>
              <a:ea typeface="+mn-ea"/>
              <a:cs typeface="+mn-cs"/>
            </a:rPr>
            <a:t>	Based on the location of the project corridor (urban or rural) and its  functional class, users can determine the facility type of the project. Choose one of the four options 	from the drop-down list for column C Facility Type in the Project Information Data.</a:t>
          </a:r>
          <a:endParaRPr lang="en-US" sz="1100" b="1" i="1">
            <a:solidFill>
              <a:schemeClr val="dk1"/>
            </a:solidFill>
            <a:effectLst/>
            <a:latin typeface="+mn-lt"/>
            <a:ea typeface="+mn-ea"/>
            <a:cs typeface="+mn-cs"/>
          </a:endParaRPr>
        </a:p>
        <a:p>
          <a:endParaRPr lang="en-US" sz="1100" b="1" i="1">
            <a:solidFill>
              <a:schemeClr val="dk1"/>
            </a:solidFill>
            <a:effectLst/>
            <a:latin typeface="+mn-lt"/>
            <a:ea typeface="+mn-ea"/>
            <a:cs typeface="+mn-cs"/>
          </a:endParaRPr>
        </a:p>
        <a:p>
          <a:r>
            <a:rPr lang="en-US" sz="1100" b="1" i="1">
              <a:solidFill>
                <a:schemeClr val="dk1"/>
              </a:solidFill>
              <a:effectLst/>
              <a:latin typeface="+mn-lt"/>
              <a:ea typeface="+mn-ea"/>
              <a:cs typeface="+mn-cs"/>
            </a:rPr>
            <a:t>Raw Crash data:</a:t>
          </a:r>
          <a:endParaRPr lang="en-US" sz="1100">
            <a:solidFill>
              <a:schemeClr val="dk1"/>
            </a:solidFill>
            <a:effectLst/>
            <a:latin typeface="+mn-lt"/>
            <a:ea typeface="+mn-ea"/>
            <a:cs typeface="+mn-cs"/>
          </a:endParaRPr>
        </a:p>
        <a:p>
          <a:r>
            <a:rPr lang="en-US" sz="1100" b="1" i="1">
              <a:solidFill>
                <a:schemeClr val="dk1"/>
              </a:solidFill>
              <a:effectLst/>
              <a:latin typeface="+mn-lt"/>
              <a:ea typeface="+mn-ea"/>
              <a:cs typeface="+mn-cs"/>
            </a:rPr>
            <a:t>	</a:t>
          </a:r>
          <a:r>
            <a:rPr lang="en-US" sz="1100" kern="300" spc="0" baseline="0">
              <a:solidFill>
                <a:schemeClr val="dk1"/>
              </a:solidFill>
              <a:effectLst/>
              <a:latin typeface="+mn-lt"/>
              <a:ea typeface="+mn-ea"/>
              <a:cs typeface="+mn-cs"/>
            </a:rPr>
            <a:t>Open Regional Crash data available here (</a:t>
          </a:r>
          <a:r>
            <a:rPr lang="en-US" sz="1100" kern="0" spc="0" baseline="0">
              <a:solidFill>
                <a:schemeClr val="dk1"/>
              </a:solidFill>
              <a:effectLst/>
              <a:latin typeface="+mn-lt"/>
              <a:ea typeface="+mn-ea"/>
              <a:cs typeface="+mn-cs"/>
            </a:rPr>
            <a:t>https://datalab.h-gac.com/crash/</a:t>
          </a:r>
          <a:r>
            <a:rPr lang="en-US" u="none">
              <a:solidFill>
                <a:sysClr val="windowText" lastClr="000000"/>
              </a:solidFill>
            </a:rPr>
            <a:t>)</a:t>
          </a:r>
          <a:r>
            <a:rPr lang="en-US" sz="1100" u="none" kern="300" spc="0" baseline="0">
              <a:solidFill>
                <a:sysClr val="windowText" lastClr="000000"/>
              </a:solidFill>
              <a:effectLst/>
              <a:latin typeface="+mn-lt"/>
              <a:ea typeface="+mn-ea"/>
              <a:cs typeface="+mn-cs"/>
            </a:rPr>
            <a:t>.</a:t>
          </a:r>
        </a:p>
        <a:p>
          <a:endParaRPr lang="en-US" sz="1100" kern="300" spc="0" baseline="0">
            <a:solidFill>
              <a:schemeClr val="dk1"/>
            </a:solidFill>
            <a:effectLst/>
            <a:latin typeface="+mn-lt"/>
            <a:ea typeface="+mn-ea"/>
            <a:cs typeface="+mn-cs"/>
          </a:endParaRPr>
        </a:p>
        <a:p>
          <a:r>
            <a:rPr lang="en-US" sz="1100" kern="300" spc="0" baseline="0">
              <a:solidFill>
                <a:schemeClr val="dk1"/>
              </a:solidFill>
              <a:effectLst/>
              <a:latin typeface="+mn-lt"/>
              <a:ea typeface="+mn-ea"/>
              <a:cs typeface="+mn-cs"/>
            </a:rPr>
            <a:t>	Open Crash Data Viewer tab</a:t>
          </a:r>
        </a:p>
        <a:p>
          <a:r>
            <a:rPr lang="en-US" sz="1100" kern="300" spc="0" baseline="0">
              <a:solidFill>
                <a:schemeClr val="dk1"/>
              </a:solidFill>
              <a:effectLst/>
              <a:latin typeface="+mn-lt"/>
              <a:ea typeface="+mn-ea"/>
              <a:cs typeface="+mn-cs"/>
            </a:rPr>
            <a:t>	Click on Location Analysis Widget </a:t>
          </a:r>
        </a:p>
        <a:p>
          <a:r>
            <a:rPr lang="en-US" sz="1100" kern="300" spc="0" baseline="0">
              <a:solidFill>
                <a:schemeClr val="dk1"/>
              </a:solidFill>
              <a:effectLst/>
              <a:latin typeface="+mn-lt"/>
              <a:ea typeface="+mn-ea"/>
              <a:cs typeface="+mn-cs"/>
            </a:rPr>
            <a:t>	Analysis </a:t>
          </a:r>
          <a:r>
            <a:rPr lang="en-US" sz="1100">
              <a:solidFill>
                <a:schemeClr val="dk1"/>
              </a:solidFill>
              <a:effectLst/>
              <a:latin typeface="+mn-lt"/>
              <a:ea typeface="+mn-ea"/>
              <a:cs typeface="+mn-cs"/>
            </a:rPr>
            <a:t>control panel appears at the bottom of the application.</a:t>
          </a:r>
        </a:p>
        <a:p>
          <a:r>
            <a:rPr lang="en-US" sz="1100">
              <a:solidFill>
                <a:schemeClr val="dk1"/>
              </a:solidFill>
              <a:effectLst/>
              <a:latin typeface="+mn-lt"/>
              <a:ea typeface="+mn-ea"/>
              <a:cs typeface="+mn-cs"/>
            </a:rPr>
            <a:t>               </a:t>
          </a: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For corridor projects click on Draw Line </a:t>
          </a:r>
        </a:p>
        <a:p>
          <a:r>
            <a:rPr lang="en-US" sz="1100">
              <a:solidFill>
                <a:schemeClr val="dk1"/>
              </a:solidFill>
              <a:effectLst/>
              <a:latin typeface="+mn-lt"/>
              <a:ea typeface="+mn-ea"/>
              <a:cs typeface="+mn-cs"/>
            </a:rPr>
            <a:t>	Locate your mouse point at project location and draw a line</a:t>
          </a:r>
        </a:p>
        <a:p>
          <a:r>
            <a:rPr lang="en-US" sz="1100">
              <a:solidFill>
                <a:schemeClr val="dk1"/>
              </a:solidFill>
              <a:effectLst/>
              <a:latin typeface="+mn-lt"/>
              <a:ea typeface="+mn-ea"/>
              <a:cs typeface="+mn-cs"/>
            </a:rPr>
            <a:t>	Create a buffer 0.02 miles (~100 feet) for divided highway set buffer distance that can capture both directions. If project dose not include improvements to frontage roads 	make sure to exclude frontage roads from selection.</a:t>
          </a: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Stay in the Locatio</a:t>
          </a:r>
          <a:r>
            <a:rPr lang="en-US" sz="1100" baseline="0">
              <a:solidFill>
                <a:schemeClr val="dk1"/>
              </a:solidFill>
              <a:effectLst/>
              <a:latin typeface="+mn-lt"/>
              <a:ea typeface="+mn-ea"/>
              <a:cs typeface="+mn-cs"/>
            </a:rPr>
            <a:t>n tab. </a:t>
          </a:r>
          <a:r>
            <a:rPr lang="en-US" sz="1100">
              <a:solidFill>
                <a:schemeClr val="dk1"/>
              </a:solidFill>
              <a:effectLst/>
              <a:latin typeface="+mn-lt"/>
              <a:ea typeface="+mn-ea"/>
              <a:cs typeface="+mn-cs"/>
            </a:rPr>
            <a:t>Click Download  </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data in.csv format.  Save the file. </a:t>
          </a:r>
        </a:p>
        <a:p>
          <a:r>
            <a:rPr lang="en-US" sz="1100">
              <a:solidFill>
                <a:schemeClr val="dk1"/>
              </a:solidFill>
              <a:effectLst/>
              <a:latin typeface="+mn-lt"/>
              <a:ea typeface="+mn-ea"/>
              <a:cs typeface="+mn-cs"/>
            </a:rPr>
            <a:t>	</a:t>
          </a:r>
          <a:r>
            <a:rPr lang="en-US" sz="1100" baseline="0">
              <a:solidFill>
                <a:schemeClr val="dk1"/>
              </a:solidFill>
              <a:effectLst/>
              <a:latin typeface="+mn-lt"/>
              <a:ea typeface="+mn-ea"/>
              <a:cs typeface="+mn-cs"/>
            </a:rPr>
            <a:t>Reorder the first 7 columns of downloaded file as following order: C</a:t>
          </a:r>
          <a:r>
            <a:rPr lang="en-US" sz="1100" b="0" i="0" u="none" strike="noStrike">
              <a:solidFill>
                <a:schemeClr val="dk1"/>
              </a:solidFill>
              <a:effectLst/>
              <a:latin typeface="+mn-lt"/>
              <a:ea typeface="+mn-ea"/>
              <a:cs typeface="+mn-cs"/>
            </a:rPr>
            <a:t>rash Not Injured Count,</a:t>
          </a:r>
          <a:r>
            <a:rPr lang="en-US" sz="1100" b="0" i="0" u="none" strike="noStrike" baseline="0">
              <a:solidFill>
                <a:schemeClr val="dk1"/>
              </a:solidFill>
              <a:effectLst/>
              <a:latin typeface="+mn-lt"/>
              <a:ea typeface="+mn-ea"/>
              <a:cs typeface="+mn-cs"/>
            </a:rPr>
            <a:t> </a:t>
          </a:r>
          <a:r>
            <a:rPr lang="en-US" sz="1100" b="0" i="0" u="none" strike="noStrike">
              <a:solidFill>
                <a:schemeClr val="dk1"/>
              </a:solidFill>
              <a:effectLst/>
              <a:latin typeface="+mn-lt"/>
              <a:ea typeface="+mn-ea"/>
              <a:cs typeface="+mn-cs"/>
            </a:rPr>
            <a:t>Crash Possible Injury Count,</a:t>
          </a:r>
          <a:r>
            <a:rPr lang="en-US" sz="1100" b="0" i="0" u="none" strike="noStrike" baseline="0">
              <a:solidFill>
                <a:schemeClr val="dk1"/>
              </a:solidFill>
              <a:effectLst/>
              <a:latin typeface="+mn-lt"/>
              <a:ea typeface="+mn-ea"/>
              <a:cs typeface="+mn-cs"/>
            </a:rPr>
            <a:t> </a:t>
          </a:r>
          <a:r>
            <a:rPr lang="en-US" sz="1100" b="0" i="0" u="none" strike="noStrike">
              <a:solidFill>
                <a:schemeClr val="dk1"/>
              </a:solidFill>
              <a:effectLst/>
              <a:latin typeface="+mn-lt"/>
              <a:ea typeface="+mn-ea"/>
              <a:cs typeface="+mn-cs"/>
            </a:rPr>
            <a:t>Crash Non-Suspected Serious Injury Count,</a:t>
          </a:r>
          <a:r>
            <a:rPr lang="en-US"/>
            <a:t> </a:t>
          </a:r>
        </a:p>
        <a:p>
          <a:r>
            <a:rPr lang="en-US" sz="1100" b="0" i="0" u="none" strike="noStrike">
              <a:solidFill>
                <a:schemeClr val="dk1"/>
              </a:solidFill>
              <a:effectLst/>
              <a:latin typeface="+mn-lt"/>
              <a:ea typeface="+mn-ea"/>
              <a:cs typeface="+mn-cs"/>
            </a:rPr>
            <a:t>	Crash Suspected Serious Injury Count,</a:t>
          </a:r>
          <a:r>
            <a:rPr lang="en-US"/>
            <a:t> </a:t>
          </a:r>
          <a:r>
            <a:rPr lang="en-US" sz="1100" b="0" i="0" u="none" strike="noStrike">
              <a:solidFill>
                <a:schemeClr val="dk1"/>
              </a:solidFill>
              <a:effectLst/>
              <a:latin typeface="+mn-lt"/>
              <a:ea typeface="+mn-ea"/>
              <a:cs typeface="+mn-cs"/>
            </a:rPr>
            <a:t>Crash Death Count,</a:t>
          </a:r>
          <a:r>
            <a:rPr lang="en-US"/>
            <a:t> </a:t>
          </a:r>
          <a:r>
            <a:rPr lang="en-US" sz="1100" b="0" i="0" u="none" strike="noStrike">
              <a:solidFill>
                <a:schemeClr val="dk1"/>
              </a:solidFill>
              <a:effectLst/>
              <a:latin typeface="+mn-lt"/>
              <a:ea typeface="+mn-ea"/>
              <a:cs typeface="+mn-cs"/>
            </a:rPr>
            <a:t>Intersection Related</a:t>
          </a:r>
          <a:r>
            <a:rPr lang="en-US" sz="1100" b="0" i="0" u="none" strike="noStrike" baseline="0">
              <a:solidFill>
                <a:schemeClr val="dk1"/>
              </a:solidFill>
              <a:effectLst/>
              <a:latin typeface="+mn-lt"/>
              <a:ea typeface="+mn-ea"/>
              <a:cs typeface="+mn-cs"/>
            </a:rPr>
            <a:t> and</a:t>
          </a:r>
          <a:r>
            <a:rPr lang="en-US"/>
            <a:t> </a:t>
          </a:r>
          <a:r>
            <a:rPr lang="en-US" sz="1100" b="0" i="0" u="none" strike="noStrike">
              <a:solidFill>
                <a:schemeClr val="dk1"/>
              </a:solidFill>
              <a:effectLst/>
              <a:latin typeface="+mn-lt"/>
              <a:ea typeface="+mn-ea"/>
              <a:cs typeface="+mn-cs"/>
            </a:rPr>
            <a:t>First Harmful Event. Insert one more column Project</a:t>
          </a:r>
          <a:r>
            <a:rPr lang="en-US" sz="1100" b="0" i="0" u="none" strike="noStrike" baseline="0">
              <a:solidFill>
                <a:schemeClr val="dk1"/>
              </a:solidFill>
              <a:effectLst/>
              <a:latin typeface="+mn-lt"/>
              <a:ea typeface="+mn-ea"/>
              <a:cs typeface="+mn-cs"/>
            </a:rPr>
            <a:t> ID as the first column and </a:t>
          </a:r>
        </a:p>
        <a:p>
          <a:r>
            <a:rPr lang="en-US" sz="1100" b="0" i="0" u="none" strike="noStrike" baseline="0">
              <a:solidFill>
                <a:schemeClr val="dk1"/>
              </a:solidFill>
              <a:effectLst/>
              <a:latin typeface="+mn-lt"/>
              <a:ea typeface="+mn-ea"/>
              <a:cs typeface="+mn-cs"/>
            </a:rPr>
            <a:t>	input the corresponding project ID in the file. In the end the order of the first 8 columns need to be the same as the first 8 columns in the Raw Crash Data sheet. The</a:t>
          </a:r>
        </a:p>
        <a:p>
          <a:r>
            <a:rPr lang="en-US" sz="1100" b="0" i="0" u="none" strike="noStrike" baseline="0">
              <a:solidFill>
                <a:schemeClr val="dk1"/>
              </a:solidFill>
              <a:effectLst/>
              <a:latin typeface="+mn-lt"/>
              <a:ea typeface="+mn-ea"/>
              <a:cs typeface="+mn-cs"/>
            </a:rPr>
            <a:t>	other columns can be ignored. Then copy and append the data into the Raw Crash Data Sheet.</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	For Intersection improvements, interchanges, grade separation click on Draw point </a:t>
          </a:r>
        </a:p>
        <a:p>
          <a:r>
            <a:rPr lang="en-US" sz="1100">
              <a:solidFill>
                <a:schemeClr val="dk1"/>
              </a:solidFill>
              <a:effectLst/>
              <a:latin typeface="+mn-lt"/>
              <a:ea typeface="+mn-ea"/>
              <a:cs typeface="+mn-cs"/>
            </a:rPr>
            <a:t>	Create a buffer 0.25 miles</a:t>
          </a: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Stay in the Locatio</a:t>
          </a:r>
          <a:r>
            <a:rPr lang="en-US" sz="1100" baseline="0">
              <a:solidFill>
                <a:schemeClr val="dk1"/>
              </a:solidFill>
              <a:effectLst/>
              <a:latin typeface="+mn-lt"/>
              <a:ea typeface="+mn-ea"/>
              <a:cs typeface="+mn-cs"/>
            </a:rPr>
            <a:t>n tab. </a:t>
          </a:r>
          <a:r>
            <a:rPr lang="en-US" sz="1100">
              <a:solidFill>
                <a:schemeClr val="dk1"/>
              </a:solidFill>
              <a:effectLst/>
              <a:latin typeface="+mn-lt"/>
              <a:ea typeface="+mn-ea"/>
              <a:cs typeface="+mn-cs"/>
            </a:rPr>
            <a:t>Click Download        in.csv format.  Save the file. </a:t>
          </a:r>
        </a:p>
        <a:p>
          <a:r>
            <a:rPr lang="en-US" sz="1100">
              <a:solidFill>
                <a:schemeClr val="dk1"/>
              </a:solidFill>
              <a:effectLst/>
              <a:latin typeface="+mn-lt"/>
              <a:ea typeface="+mn-ea"/>
              <a:cs typeface="+mn-cs"/>
            </a:rPr>
            <a:t>	</a:t>
          </a:r>
          <a:r>
            <a:rPr lang="en-US" sz="1100" baseline="0">
              <a:solidFill>
                <a:schemeClr val="dk1"/>
              </a:solidFill>
              <a:effectLst/>
              <a:latin typeface="+mn-lt"/>
              <a:ea typeface="+mn-ea"/>
              <a:cs typeface="+mn-cs"/>
            </a:rPr>
            <a:t>Reorder the first 7 columns of downloaded file as following order: C</a:t>
          </a:r>
          <a:r>
            <a:rPr lang="en-US" sz="1100" b="0" i="0">
              <a:solidFill>
                <a:schemeClr val="dk1"/>
              </a:solidFill>
              <a:effectLst/>
              <a:latin typeface="+mn-lt"/>
              <a:ea typeface="+mn-ea"/>
              <a:cs typeface="+mn-cs"/>
            </a:rPr>
            <a:t>rash Not Injured Count,</a:t>
          </a:r>
          <a:r>
            <a:rPr lang="en-US" sz="1100" b="0" i="0" baseline="0">
              <a:solidFill>
                <a:schemeClr val="dk1"/>
              </a:solidFill>
              <a:effectLst/>
              <a:latin typeface="+mn-lt"/>
              <a:ea typeface="+mn-ea"/>
              <a:cs typeface="+mn-cs"/>
            </a:rPr>
            <a:t> </a:t>
          </a:r>
          <a:r>
            <a:rPr lang="en-US" sz="1100" b="0" i="0">
              <a:solidFill>
                <a:schemeClr val="dk1"/>
              </a:solidFill>
              <a:effectLst/>
              <a:latin typeface="+mn-lt"/>
              <a:ea typeface="+mn-ea"/>
              <a:cs typeface="+mn-cs"/>
            </a:rPr>
            <a:t>Crash Possible Injury Count,</a:t>
          </a:r>
          <a:r>
            <a:rPr lang="en-US" sz="1100" b="0" i="0" baseline="0">
              <a:solidFill>
                <a:schemeClr val="dk1"/>
              </a:solidFill>
              <a:effectLst/>
              <a:latin typeface="+mn-lt"/>
              <a:ea typeface="+mn-ea"/>
              <a:cs typeface="+mn-cs"/>
            </a:rPr>
            <a:t> </a:t>
          </a:r>
          <a:r>
            <a:rPr lang="en-US" sz="1100" b="0" i="0">
              <a:solidFill>
                <a:schemeClr val="dk1"/>
              </a:solidFill>
              <a:effectLst/>
              <a:latin typeface="+mn-lt"/>
              <a:ea typeface="+mn-ea"/>
              <a:cs typeface="+mn-cs"/>
            </a:rPr>
            <a:t>Crash Non-Suspected Serious Injury Count,</a:t>
          </a:r>
          <a:r>
            <a:rPr lang="en-US" sz="1100">
              <a:solidFill>
                <a:schemeClr val="dk1"/>
              </a:solidFill>
              <a:effectLst/>
              <a:latin typeface="+mn-lt"/>
              <a:ea typeface="+mn-ea"/>
              <a:cs typeface="+mn-cs"/>
            </a:rPr>
            <a:t> </a:t>
          </a:r>
          <a:endParaRPr lang="en-US">
            <a:effectLst/>
          </a:endParaRPr>
        </a:p>
        <a:p>
          <a:r>
            <a:rPr lang="en-US" sz="1100" b="0" i="0">
              <a:solidFill>
                <a:schemeClr val="dk1"/>
              </a:solidFill>
              <a:effectLst/>
              <a:latin typeface="+mn-lt"/>
              <a:ea typeface="+mn-ea"/>
              <a:cs typeface="+mn-cs"/>
            </a:rPr>
            <a:t>	Crash Suspected Serious Injury Count,</a:t>
          </a:r>
          <a:r>
            <a:rPr lang="en-US" sz="1100">
              <a:solidFill>
                <a:schemeClr val="dk1"/>
              </a:solidFill>
              <a:effectLst/>
              <a:latin typeface="+mn-lt"/>
              <a:ea typeface="+mn-ea"/>
              <a:cs typeface="+mn-cs"/>
            </a:rPr>
            <a:t> </a:t>
          </a:r>
          <a:r>
            <a:rPr lang="en-US" sz="1100" b="0" i="0">
              <a:solidFill>
                <a:schemeClr val="dk1"/>
              </a:solidFill>
              <a:effectLst/>
              <a:latin typeface="+mn-lt"/>
              <a:ea typeface="+mn-ea"/>
              <a:cs typeface="+mn-cs"/>
            </a:rPr>
            <a:t>Crash Death Count,</a:t>
          </a:r>
          <a:r>
            <a:rPr lang="en-US" sz="1100">
              <a:solidFill>
                <a:schemeClr val="dk1"/>
              </a:solidFill>
              <a:effectLst/>
              <a:latin typeface="+mn-lt"/>
              <a:ea typeface="+mn-ea"/>
              <a:cs typeface="+mn-cs"/>
            </a:rPr>
            <a:t> </a:t>
          </a:r>
          <a:r>
            <a:rPr lang="en-US" sz="1100" b="0" i="0">
              <a:solidFill>
                <a:schemeClr val="dk1"/>
              </a:solidFill>
              <a:effectLst/>
              <a:latin typeface="+mn-lt"/>
              <a:ea typeface="+mn-ea"/>
              <a:cs typeface="+mn-cs"/>
            </a:rPr>
            <a:t>Intersection Related</a:t>
          </a:r>
          <a:r>
            <a:rPr lang="en-US" sz="1100" b="0" i="0" baseline="0">
              <a:solidFill>
                <a:schemeClr val="dk1"/>
              </a:solidFill>
              <a:effectLst/>
              <a:latin typeface="+mn-lt"/>
              <a:ea typeface="+mn-ea"/>
              <a:cs typeface="+mn-cs"/>
            </a:rPr>
            <a:t> and</a:t>
          </a:r>
          <a:r>
            <a:rPr lang="en-US" sz="1100">
              <a:solidFill>
                <a:schemeClr val="dk1"/>
              </a:solidFill>
              <a:effectLst/>
              <a:latin typeface="+mn-lt"/>
              <a:ea typeface="+mn-ea"/>
              <a:cs typeface="+mn-cs"/>
            </a:rPr>
            <a:t> </a:t>
          </a:r>
          <a:r>
            <a:rPr lang="en-US" sz="1100" b="0" i="0">
              <a:solidFill>
                <a:schemeClr val="dk1"/>
              </a:solidFill>
              <a:effectLst/>
              <a:latin typeface="+mn-lt"/>
              <a:ea typeface="+mn-ea"/>
              <a:cs typeface="+mn-cs"/>
            </a:rPr>
            <a:t>First Harmful Event. Insert one more column Project</a:t>
          </a:r>
          <a:r>
            <a:rPr lang="en-US" sz="1100" b="0" i="0" baseline="0">
              <a:solidFill>
                <a:schemeClr val="dk1"/>
              </a:solidFill>
              <a:effectLst/>
              <a:latin typeface="+mn-lt"/>
              <a:ea typeface="+mn-ea"/>
              <a:cs typeface="+mn-cs"/>
            </a:rPr>
            <a:t> ID as the first column and </a:t>
          </a:r>
          <a:endParaRPr lang="en-US">
            <a:effectLst/>
          </a:endParaRPr>
        </a:p>
        <a:p>
          <a:r>
            <a:rPr lang="en-US" sz="1100" b="0" i="0" baseline="0">
              <a:solidFill>
                <a:schemeClr val="dk1"/>
              </a:solidFill>
              <a:effectLst/>
              <a:latin typeface="+mn-lt"/>
              <a:ea typeface="+mn-ea"/>
              <a:cs typeface="+mn-cs"/>
            </a:rPr>
            <a:t>	input the corresponding project ID in the column. In the end, the order of the first 8 columns need to be the same as the first 8 columns in the Raw Crash Data sheet. The</a:t>
          </a:r>
          <a:endParaRPr lang="en-US">
            <a:effectLst/>
          </a:endParaRPr>
        </a:p>
        <a:p>
          <a:r>
            <a:rPr lang="en-US" sz="1100" b="0" i="0" baseline="0">
              <a:solidFill>
                <a:schemeClr val="dk1"/>
              </a:solidFill>
              <a:effectLst/>
              <a:latin typeface="+mn-lt"/>
              <a:ea typeface="+mn-ea"/>
              <a:cs typeface="+mn-cs"/>
            </a:rPr>
            <a:t>	other columns can be ignored. Then copy and append the data into the Raw Crash Data Sheet.</a:t>
          </a:r>
          <a:endParaRPr lang="en-US">
            <a:effectLst/>
          </a:endParaRPr>
        </a:p>
        <a:p>
          <a:r>
            <a:rPr lang="en-US" sz="1100" b="1" i="1">
              <a:solidFill>
                <a:schemeClr val="dk1"/>
              </a:solidFill>
              <a:effectLst/>
              <a:latin typeface="+mn-lt"/>
              <a:ea typeface="+mn-ea"/>
              <a:cs typeface="+mn-cs"/>
            </a:rPr>
            <a:t>Ped bike commuter analysis data</a:t>
          </a:r>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	</a:t>
          </a:r>
          <a:r>
            <a:rPr lang="en-US" sz="1100">
              <a:solidFill>
                <a:schemeClr val="dk1"/>
              </a:solidFill>
              <a:effectLst/>
              <a:latin typeface="+mn-lt"/>
              <a:ea typeface="+mn-ea"/>
              <a:cs typeface="+mn-cs"/>
            </a:rPr>
            <a:t>Open Activity-Connectivity Explorer – Advanced Viewer available .</a:t>
          </a:r>
        </a:p>
        <a:p>
          <a:r>
            <a:rPr lang="en-US" sz="1100">
              <a:solidFill>
                <a:schemeClr val="dk1"/>
              </a:solidFill>
              <a:effectLst/>
              <a:latin typeface="+mn-lt"/>
              <a:ea typeface="+mn-ea"/>
              <a:cs typeface="+mn-cs"/>
            </a:rPr>
            <a:t>	Click on Location Analysis Widget </a:t>
          </a:r>
        </a:p>
        <a:p>
          <a:r>
            <a:rPr lang="en-US" sz="1100">
              <a:solidFill>
                <a:schemeClr val="dk1"/>
              </a:solidFill>
              <a:effectLst/>
              <a:latin typeface="+mn-lt"/>
              <a:ea typeface="+mn-ea"/>
              <a:cs typeface="+mn-cs"/>
            </a:rPr>
            <a:t>	Analysis control panel appears at the bottom of the application here.</a:t>
          </a:r>
        </a:p>
        <a:p>
          <a:r>
            <a:rPr lang="en-US" sz="1100">
              <a:solidFill>
                <a:schemeClr val="dk1"/>
              </a:solidFill>
              <a:effectLst/>
              <a:latin typeface="+mn-lt"/>
              <a:ea typeface="+mn-ea"/>
              <a:cs typeface="+mn-cs"/>
            </a:rPr>
            <a:t>               </a:t>
          </a: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For corridor projects click on Draw Line </a:t>
          </a:r>
        </a:p>
        <a:p>
          <a:r>
            <a:rPr lang="en-US" sz="1100">
              <a:solidFill>
                <a:schemeClr val="dk1"/>
              </a:solidFill>
              <a:effectLst/>
              <a:latin typeface="+mn-lt"/>
              <a:ea typeface="+mn-ea"/>
              <a:cs typeface="+mn-cs"/>
            </a:rPr>
            <a:t>	Locate your mouse point at project location and draw a line</a:t>
          </a:r>
        </a:p>
        <a:p>
          <a:r>
            <a:rPr lang="en-US" sz="1100">
              <a:solidFill>
                <a:schemeClr val="dk1"/>
              </a:solidFill>
              <a:effectLst/>
              <a:latin typeface="+mn-lt"/>
              <a:ea typeface="+mn-ea"/>
              <a:cs typeface="+mn-cs"/>
            </a:rPr>
            <a:t>	Create a buffer 0.25 miles.</a:t>
          </a: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Click Ped-Bike Commuter Analysis tab to view results.</a:t>
          </a:r>
        </a:p>
        <a:p>
          <a:r>
            <a:rPr lang="en-US" sz="1100">
              <a:solidFill>
                <a:schemeClr val="dk1"/>
              </a:solidFill>
              <a:effectLst/>
              <a:latin typeface="+mn-lt"/>
              <a:ea typeface="+mn-ea"/>
              <a:cs typeface="+mn-cs"/>
            </a:rPr>
            <a:t>	Click Download        data in.csv format.  Save the file. </a:t>
          </a:r>
        </a:p>
        <a:p>
          <a:r>
            <a:rPr lang="en-US" sz="1100">
              <a:solidFill>
                <a:schemeClr val="dk1"/>
              </a:solidFill>
              <a:effectLst/>
              <a:latin typeface="+mn-lt"/>
              <a:ea typeface="+mn-ea"/>
              <a:cs typeface="+mn-cs"/>
            </a:rPr>
            <a:t>	</a:t>
          </a:r>
          <a:r>
            <a:rPr lang="en-US" sz="1100" b="0" i="0">
              <a:solidFill>
                <a:schemeClr val="dk1"/>
              </a:solidFill>
              <a:effectLst/>
              <a:latin typeface="+mn-lt"/>
              <a:ea typeface="+mn-ea"/>
              <a:cs typeface="+mn-cs"/>
            </a:rPr>
            <a:t>Insert one more column Project</a:t>
          </a:r>
          <a:r>
            <a:rPr lang="en-US" sz="1100" b="0" i="0" baseline="0">
              <a:solidFill>
                <a:schemeClr val="dk1"/>
              </a:solidFill>
              <a:effectLst/>
              <a:latin typeface="+mn-lt"/>
              <a:ea typeface="+mn-ea"/>
              <a:cs typeface="+mn-cs"/>
            </a:rPr>
            <a:t> ID as the first column and input the corresponding project ID in the column. </a:t>
          </a:r>
        </a:p>
        <a:p>
          <a:r>
            <a:rPr lang="en-US" sz="1100" b="0" i="0" baseline="0">
              <a:solidFill>
                <a:schemeClr val="dk1"/>
              </a:solidFill>
              <a:effectLst/>
              <a:latin typeface="+mn-lt"/>
              <a:ea typeface="+mn-ea"/>
              <a:cs typeface="+mn-cs"/>
            </a:rPr>
            <a:t>	Then c</a:t>
          </a:r>
          <a:r>
            <a:rPr lang="en-US" sz="1100">
              <a:solidFill>
                <a:schemeClr val="dk1"/>
              </a:solidFill>
              <a:effectLst/>
              <a:latin typeface="+mn-lt"/>
              <a:ea typeface="+mn-ea"/>
              <a:cs typeface="+mn-cs"/>
            </a:rPr>
            <a:t>opy and</a:t>
          </a:r>
          <a:r>
            <a:rPr lang="en-US" sz="1100" baseline="0">
              <a:solidFill>
                <a:schemeClr val="dk1"/>
              </a:solidFill>
              <a:effectLst/>
              <a:latin typeface="+mn-lt"/>
              <a:ea typeface="+mn-ea"/>
              <a:cs typeface="+mn-cs"/>
            </a:rPr>
            <a:t> append the entire data (skip headers) </a:t>
          </a:r>
          <a:r>
            <a:rPr lang="en-US" sz="1100">
              <a:solidFill>
                <a:schemeClr val="dk1"/>
              </a:solidFill>
              <a:effectLst/>
              <a:latin typeface="+mn-lt"/>
              <a:ea typeface="+mn-ea"/>
              <a:cs typeface="+mn-cs"/>
            </a:rPr>
            <a:t>to Raw</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Bike_Ped</a:t>
          </a:r>
          <a:r>
            <a:rPr lang="en-US" sz="1100" baseline="0">
              <a:solidFill>
                <a:schemeClr val="dk1"/>
              </a:solidFill>
              <a:effectLst/>
              <a:latin typeface="+mn-lt"/>
              <a:ea typeface="+mn-ea"/>
              <a:cs typeface="+mn-cs"/>
            </a:rPr>
            <a:t> Data</a:t>
          </a:r>
          <a:r>
            <a:rPr lang="en-US" sz="1100">
              <a:solidFill>
                <a:schemeClr val="dk1"/>
              </a:solidFill>
              <a:effectLst/>
              <a:latin typeface="+mn-lt"/>
              <a:ea typeface="+mn-ea"/>
              <a:cs typeface="+mn-cs"/>
            </a:rPr>
            <a:t> tab. </a:t>
          </a:r>
        </a:p>
        <a:p>
          <a:r>
            <a:rPr lang="en-US" sz="1100">
              <a:solidFill>
                <a:schemeClr val="dk1"/>
              </a:solidFill>
              <a:effectLst/>
              <a:latin typeface="+mn-lt"/>
              <a:ea typeface="+mn-ea"/>
              <a:cs typeface="+mn-cs"/>
            </a:rPr>
            <a:t> </a:t>
          </a:r>
        </a:p>
        <a:p>
          <a:endParaRPr lang="en-US" sz="1100">
            <a:solidFill>
              <a:schemeClr val="dk1"/>
            </a:solidFill>
            <a:effectLst/>
            <a:latin typeface="+mn-lt"/>
            <a:ea typeface="+mn-ea"/>
            <a:cs typeface="+mn-cs"/>
          </a:endParaRPr>
        </a:p>
      </xdr:txBody>
    </xdr:sp>
    <xdr:clientData/>
  </xdr:twoCellAnchor>
  <xdr:twoCellAnchor>
    <xdr:from>
      <xdr:col>0</xdr:col>
      <xdr:colOff>815340</xdr:colOff>
      <xdr:row>45</xdr:row>
      <xdr:rowOff>106680</xdr:rowOff>
    </xdr:from>
    <xdr:to>
      <xdr:col>2</xdr:col>
      <xdr:colOff>53741</xdr:colOff>
      <xdr:row>126</xdr:row>
      <xdr:rowOff>30543</xdr:rowOff>
    </xdr:to>
    <xdr:grpSp>
      <xdr:nvGrpSpPr>
        <xdr:cNvPr id="3" name="Group 2">
          <a:extLst>
            <a:ext uri="{FF2B5EF4-FFF2-40B4-BE49-F238E27FC236}">
              <a16:creationId xmlns:a16="http://schemas.microsoft.com/office/drawing/2014/main" id="{00000000-0008-0000-0000-000003000000}"/>
            </a:ext>
          </a:extLst>
        </xdr:cNvPr>
        <xdr:cNvGrpSpPr/>
      </xdr:nvGrpSpPr>
      <xdr:grpSpPr>
        <a:xfrm>
          <a:off x="815340" y="15708630"/>
          <a:ext cx="5436001" cy="14840013"/>
          <a:chOff x="941070" y="8869684"/>
          <a:chExt cx="4995311" cy="14559974"/>
        </a:xfrm>
      </xdr:grpSpPr>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32232" y="9273540"/>
            <a:ext cx="832418" cy="182567"/>
          </a:xfrm>
          <a:prstGeom prst="rect">
            <a:avLst/>
          </a:prstGeom>
        </xdr:spPr>
      </xdr:pic>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79566" y="9455749"/>
            <a:ext cx="198168" cy="165659"/>
          </a:xfrm>
          <a:prstGeom prst="rect">
            <a:avLst/>
          </a:prstGeom>
        </xdr:spPr>
      </xdr:pic>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stretch>
            <a:fillRect/>
          </a:stretch>
        </xdr:blipFill>
        <xdr:spPr>
          <a:xfrm>
            <a:off x="941070" y="9830932"/>
            <a:ext cx="2242753" cy="695681"/>
          </a:xfrm>
          <a:prstGeom prst="rect">
            <a:avLst/>
          </a:prstGeom>
        </xdr:spPr>
      </xdr:pic>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4"/>
          <a:stretch>
            <a:fillRect/>
          </a:stretch>
        </xdr:blipFill>
        <xdr:spPr>
          <a:xfrm>
            <a:off x="3303933" y="10658132"/>
            <a:ext cx="161925" cy="162039"/>
          </a:xfrm>
          <a:prstGeom prst="rect">
            <a:avLst/>
          </a:prstGeom>
        </xdr:spPr>
      </xdr:pic>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5"/>
          <a:stretch>
            <a:fillRect/>
          </a:stretch>
        </xdr:blipFill>
        <xdr:spPr>
          <a:xfrm>
            <a:off x="3317712" y="13700267"/>
            <a:ext cx="245110" cy="174739"/>
          </a:xfrm>
          <a:prstGeom prst="rect">
            <a:avLst/>
          </a:prstGeom>
        </xdr:spPr>
      </xdr:pic>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6"/>
          <a:stretch>
            <a:fillRect/>
          </a:stretch>
        </xdr:blipFill>
        <xdr:spPr>
          <a:xfrm>
            <a:off x="5740801" y="14742524"/>
            <a:ext cx="195580" cy="186169"/>
          </a:xfrm>
          <a:prstGeom prst="rect">
            <a:avLst/>
          </a:prstGeom>
        </xdr:spPr>
      </xdr:pic>
      <xdr:pic>
        <xdr:nvPicPr>
          <xdr:cNvPr id="10" name="Pictur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5"/>
          <a:stretch>
            <a:fillRect/>
          </a:stretch>
        </xdr:blipFill>
        <xdr:spPr>
          <a:xfrm>
            <a:off x="3293316" y="17424243"/>
            <a:ext cx="233680" cy="197599"/>
          </a:xfrm>
          <a:prstGeom prst="rect">
            <a:avLst/>
          </a:prstGeom>
        </xdr:spPr>
      </xdr:pic>
      <xdr:pic>
        <xdr:nvPicPr>
          <xdr:cNvPr id="11" name="Pictur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7"/>
          <a:stretch>
            <a:fillRect/>
          </a:stretch>
        </xdr:blipFill>
        <xdr:spPr>
          <a:xfrm>
            <a:off x="2925167" y="18656244"/>
            <a:ext cx="159385" cy="149338"/>
          </a:xfrm>
          <a:prstGeom prst="rect">
            <a:avLst/>
          </a:prstGeom>
        </xdr:spPr>
      </xdr:pic>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3"/>
          <a:stretch>
            <a:fillRect/>
          </a:stretch>
        </xdr:blipFill>
        <xdr:spPr>
          <a:xfrm>
            <a:off x="1003468" y="19098037"/>
            <a:ext cx="2741832" cy="831149"/>
          </a:xfrm>
          <a:prstGeom prst="rect">
            <a:avLst/>
          </a:prstGeom>
        </xdr:spPr>
      </xdr:pic>
      <xdr:pic>
        <xdr:nvPicPr>
          <xdr:cNvPr id="13" name="Picture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8"/>
          <a:stretch>
            <a:fillRect/>
          </a:stretch>
        </xdr:blipFill>
        <xdr:spPr>
          <a:xfrm>
            <a:off x="991994" y="20785771"/>
            <a:ext cx="4092456" cy="1998795"/>
          </a:xfrm>
          <a:prstGeom prst="rect">
            <a:avLst/>
          </a:prstGeom>
        </xdr:spPr>
      </xdr:pic>
      <xdr:pic>
        <xdr:nvPicPr>
          <xdr:cNvPr id="14" name="Picture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5"/>
          <a:stretch>
            <a:fillRect/>
          </a:stretch>
        </xdr:blipFill>
        <xdr:spPr>
          <a:xfrm>
            <a:off x="1888897" y="23256825"/>
            <a:ext cx="231775" cy="172833"/>
          </a:xfrm>
          <a:prstGeom prst="rect">
            <a:avLst/>
          </a:prstGeom>
        </xdr:spPr>
      </xdr:pic>
      <xdr:pic>
        <xdr:nvPicPr>
          <xdr:cNvPr id="15" name="Picture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9"/>
          <a:stretch>
            <a:fillRect/>
          </a:stretch>
        </xdr:blipFill>
        <xdr:spPr>
          <a:xfrm>
            <a:off x="973457" y="11378566"/>
            <a:ext cx="4386042" cy="2240280"/>
          </a:xfrm>
          <a:prstGeom prst="rect">
            <a:avLst/>
          </a:prstGeom>
        </xdr:spPr>
      </xdr:pic>
      <xdr:pic>
        <xdr:nvPicPr>
          <xdr:cNvPr id="16" name="Picture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0"/>
          <a:stretch>
            <a:fillRect/>
          </a:stretch>
        </xdr:blipFill>
        <xdr:spPr>
          <a:xfrm>
            <a:off x="973456" y="15127606"/>
            <a:ext cx="4387214" cy="2266814"/>
          </a:xfrm>
          <a:prstGeom prst="rect">
            <a:avLst/>
          </a:prstGeom>
        </xdr:spPr>
      </xdr:pic>
      <xdr:sp macro="" textlink="">
        <xdr:nvSpPr>
          <xdr:cNvPr id="17" name="TextBox 16">
            <a:hlinkClick xmlns:r="http://schemas.openxmlformats.org/officeDocument/2006/relationships" r:id="rId11"/>
            <a:extLst>
              <a:ext uri="{FF2B5EF4-FFF2-40B4-BE49-F238E27FC236}">
                <a16:creationId xmlns:a16="http://schemas.microsoft.com/office/drawing/2014/main" id="{00000000-0008-0000-0000-000011000000}"/>
              </a:ext>
            </a:extLst>
          </xdr:cNvPr>
          <xdr:cNvSpPr txBox="1"/>
        </xdr:nvSpPr>
        <xdr:spPr>
          <a:xfrm>
            <a:off x="2926047" y="8869684"/>
            <a:ext cx="44839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u="sng">
                <a:solidFill>
                  <a:schemeClr val="accent1"/>
                </a:solidFill>
              </a:rPr>
              <a:t>here</a:t>
            </a:r>
          </a:p>
        </xdr:txBody>
      </xdr:sp>
      <xdr:sp macro="" textlink="">
        <xdr:nvSpPr>
          <xdr:cNvPr id="18" name="TextBox 17">
            <a:hlinkClick xmlns:r="http://schemas.openxmlformats.org/officeDocument/2006/relationships" r:id="rId12"/>
            <a:extLst>
              <a:ext uri="{FF2B5EF4-FFF2-40B4-BE49-F238E27FC236}">
                <a16:creationId xmlns:a16="http://schemas.microsoft.com/office/drawing/2014/main" id="{00000000-0008-0000-0000-000012000000}"/>
              </a:ext>
            </a:extLst>
          </xdr:cNvPr>
          <xdr:cNvSpPr txBox="1"/>
        </xdr:nvSpPr>
        <xdr:spPr>
          <a:xfrm>
            <a:off x="4531995" y="18766155"/>
            <a:ext cx="44839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u="sng">
                <a:solidFill>
                  <a:schemeClr val="accent1"/>
                </a:solidFill>
                <a:effectLst/>
                <a:latin typeface="+mn-lt"/>
                <a:ea typeface="+mn-ea"/>
                <a:cs typeface="+mn-cs"/>
              </a:rPr>
              <a:t>here</a:t>
            </a:r>
            <a:endParaRPr lang="en-US" sz="1100">
              <a:solidFill>
                <a:schemeClr val="accent1"/>
              </a:solidFill>
            </a:endParaRPr>
          </a:p>
        </xdr:txBody>
      </xdr:sp>
    </xdr:grpSp>
    <xdr:clientData/>
  </xdr:twoCellAnchor>
  <xdr:oneCellAnchor>
    <xdr:from>
      <xdr:col>0</xdr:col>
      <xdr:colOff>3120390</xdr:colOff>
      <xdr:row>23</xdr:row>
      <xdr:rowOff>158115</xdr:rowOff>
    </xdr:from>
    <xdr:ext cx="2065245" cy="264560"/>
    <xdr:sp macro="" textlink="">
      <xdr:nvSpPr>
        <xdr:cNvPr id="19" name="TextBox 18">
          <a:hlinkClick xmlns:r="http://schemas.openxmlformats.org/officeDocument/2006/relationships" r:id="rId13"/>
          <a:extLst>
            <a:ext uri="{FF2B5EF4-FFF2-40B4-BE49-F238E27FC236}">
              <a16:creationId xmlns:a16="http://schemas.microsoft.com/office/drawing/2014/main" id="{00000000-0008-0000-0000-000013000000}"/>
            </a:ext>
          </a:extLst>
        </xdr:cNvPr>
        <xdr:cNvSpPr txBox="1"/>
      </xdr:nvSpPr>
      <xdr:spPr>
        <a:xfrm>
          <a:off x="3120390" y="12014835"/>
          <a:ext cx="206524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solidFill>
                <a:schemeClr val="accent1"/>
              </a:solidFill>
              <a:effectLst/>
              <a:latin typeface="+mn-lt"/>
              <a:ea typeface="+mn-ea"/>
              <a:cs typeface="+mn-cs"/>
            </a:rPr>
            <a:t>TxDOT - Statewide Planning Map</a:t>
          </a:r>
          <a:endParaRPr lang="en-US" sz="1100">
            <a:solidFill>
              <a:schemeClr val="accent1"/>
            </a:solidFill>
          </a:endParaRPr>
        </a:p>
      </xdr:txBody>
    </xdr:sp>
    <xdr:clientData/>
  </xdr:oneCellAnchor>
  <xdr:twoCellAnchor editAs="oneCell">
    <xdr:from>
      <xdr:col>0</xdr:col>
      <xdr:colOff>1005841</xdr:colOff>
      <xdr:row>25</xdr:row>
      <xdr:rowOff>55768</xdr:rowOff>
    </xdr:from>
    <xdr:to>
      <xdr:col>1</xdr:col>
      <xdr:colOff>249555</xdr:colOff>
      <xdr:row>37</xdr:row>
      <xdr:rowOff>130246</xdr:rowOff>
    </xdr:to>
    <xdr:pic>
      <xdr:nvPicPr>
        <xdr:cNvPr id="20" name="Picture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14"/>
        <a:stretch>
          <a:fillRect/>
        </a:stretch>
      </xdr:blipFill>
      <xdr:spPr>
        <a:xfrm>
          <a:off x="1005841" y="12278248"/>
          <a:ext cx="4356734" cy="2269038"/>
        </a:xfrm>
        <a:prstGeom prst="rect">
          <a:avLst/>
        </a:prstGeom>
      </xdr:spPr>
    </xdr:pic>
    <xdr:clientData/>
  </xdr:twoCellAnchor>
  <xdr:twoCellAnchor editAs="oneCell">
    <xdr:from>
      <xdr:col>0</xdr:col>
      <xdr:colOff>2868929</xdr:colOff>
      <xdr:row>38</xdr:row>
      <xdr:rowOff>179070</xdr:rowOff>
    </xdr:from>
    <xdr:to>
      <xdr:col>0</xdr:col>
      <xdr:colOff>3181383</xdr:colOff>
      <xdr:row>40</xdr:row>
      <xdr:rowOff>59416</xdr:rowOff>
    </xdr:to>
    <xdr:pic>
      <xdr:nvPicPr>
        <xdr:cNvPr id="21" name="Picture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15"/>
        <a:stretch>
          <a:fillRect/>
        </a:stretch>
      </xdr:blipFill>
      <xdr:spPr>
        <a:xfrm>
          <a:off x="2868929" y="14778990"/>
          <a:ext cx="312454" cy="246106"/>
        </a:xfrm>
        <a:prstGeom prst="rect">
          <a:avLst/>
        </a:prstGeom>
      </xdr:spPr>
    </xdr:pic>
    <xdr:clientData/>
  </xdr:twoCellAnchor>
  <xdr:twoCellAnchor editAs="oneCell">
    <xdr:from>
      <xdr:col>8</xdr:col>
      <xdr:colOff>243840</xdr:colOff>
      <xdr:row>3</xdr:row>
      <xdr:rowOff>87630</xdr:rowOff>
    </xdr:from>
    <xdr:to>
      <xdr:col>20</xdr:col>
      <xdr:colOff>434990</xdr:colOff>
      <xdr:row>13</xdr:row>
      <xdr:rowOff>512909</xdr:rowOff>
    </xdr:to>
    <xdr:pic>
      <xdr:nvPicPr>
        <xdr:cNvPr id="22" name="Picture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16"/>
        <a:stretch>
          <a:fillRect/>
        </a:stretch>
      </xdr:blipFill>
      <xdr:spPr>
        <a:xfrm>
          <a:off x="9989820" y="4659630"/>
          <a:ext cx="7506350" cy="5332559"/>
        </a:xfrm>
        <a:prstGeom prst="rect">
          <a:avLst/>
        </a:prstGeom>
      </xdr:spPr>
    </xdr:pic>
    <xdr:clientData/>
  </xdr:twoCellAnchor>
  <xdr:twoCellAnchor editAs="oneCell">
    <xdr:from>
      <xdr:col>1</xdr:col>
      <xdr:colOff>192405</xdr:colOff>
      <xdr:row>3</xdr:row>
      <xdr:rowOff>139065</xdr:rowOff>
    </xdr:from>
    <xdr:to>
      <xdr:col>8</xdr:col>
      <xdr:colOff>160177</xdr:colOff>
      <xdr:row>13</xdr:row>
      <xdr:rowOff>518562</xdr:rowOff>
    </xdr:to>
    <xdr:pic>
      <xdr:nvPicPr>
        <xdr:cNvPr id="23" name="Picture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5305425" y="4711065"/>
          <a:ext cx="4600732" cy="52867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368300</xdr:colOff>
          <xdr:row>0</xdr:row>
          <xdr:rowOff>38100</xdr:rowOff>
        </xdr:from>
        <xdr:to>
          <xdr:col>2</xdr:col>
          <xdr:colOff>1270000</xdr:colOff>
          <xdr:row>0</xdr:row>
          <xdr:rowOff>241300</xdr:rowOff>
        </xdr:to>
        <xdr:sp macro="" textlink="">
          <xdr:nvSpPr>
            <xdr:cNvPr id="3073" name="Button 1" hidden="1">
              <a:extLst>
                <a:ext uri="{63B3BB69-23CF-44E3-9099-C40C66FF867C}">
                  <a14:compatExt spid="_x0000_s3073"/>
                </a:ext>
                <a:ext uri="{FF2B5EF4-FFF2-40B4-BE49-F238E27FC236}">
                  <a16:creationId xmlns:a16="http://schemas.microsoft.com/office/drawing/2014/main" id="{00000000-0008-0000-0400-0000010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cs typeface="Calibri"/>
                </a:rPr>
                <a:t>Calculate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1384300</xdr:colOff>
          <xdr:row>0</xdr:row>
          <xdr:rowOff>38100</xdr:rowOff>
        </xdr:from>
        <xdr:to>
          <xdr:col>3</xdr:col>
          <xdr:colOff>723900</xdr:colOff>
          <xdr:row>0</xdr:row>
          <xdr:rowOff>241300</xdr:rowOff>
        </xdr:to>
        <xdr:sp macro="" textlink="">
          <xdr:nvSpPr>
            <xdr:cNvPr id="3074" name="Button 2" hidden="1">
              <a:extLst>
                <a:ext uri="{63B3BB69-23CF-44E3-9099-C40C66FF867C}">
                  <a14:compatExt spid="_x0000_s3074"/>
                </a:ext>
                <a:ext uri="{FF2B5EF4-FFF2-40B4-BE49-F238E27FC236}">
                  <a16:creationId xmlns:a16="http://schemas.microsoft.com/office/drawing/2014/main" id="{00000000-0008-0000-0400-0000020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cs typeface="Calibri"/>
                </a:rPr>
                <a:t>Calculate All</a:t>
              </a:r>
            </a:p>
          </xdr:txBody>
        </xdr:sp>
        <xdr:clientData fPrintsWithSheet="0"/>
      </xdr:twoCellAnchor>
    </mc:Choice>
    <mc:Fallback/>
  </mc:AlternateContent>
  <xdr:twoCellAnchor>
    <xdr:from>
      <xdr:col>4</xdr:col>
      <xdr:colOff>172720</xdr:colOff>
      <xdr:row>0</xdr:row>
      <xdr:rowOff>22860</xdr:rowOff>
    </xdr:from>
    <xdr:to>
      <xdr:col>6</xdr:col>
      <xdr:colOff>426720</xdr:colOff>
      <xdr:row>0</xdr:row>
      <xdr:rowOff>266699</xdr:rowOff>
    </xdr:to>
    <xdr:sp macro="[0]!getProjectInformationDataClick" textlink="">
      <xdr:nvSpPr>
        <xdr:cNvPr id="2" name="TextBox 1">
          <a:extLst>
            <a:ext uri="{FF2B5EF4-FFF2-40B4-BE49-F238E27FC236}">
              <a16:creationId xmlns:a16="http://schemas.microsoft.com/office/drawing/2014/main" id="{00000000-0008-0000-0400-000002000000}"/>
            </a:ext>
          </a:extLst>
        </xdr:cNvPr>
        <xdr:cNvSpPr txBox="1"/>
      </xdr:nvSpPr>
      <xdr:spPr>
        <a:xfrm>
          <a:off x="5400040" y="22860"/>
          <a:ext cx="2418080" cy="243839"/>
        </a:xfrm>
        <a:prstGeom prst="rect">
          <a:avLst/>
        </a:prstGeom>
        <a:ln/>
        <a:scene3d>
          <a:camera prst="orthographicFront"/>
          <a:lightRig rig="threePt" dir="t"/>
        </a:scene3d>
        <a:sp3d extrusionH="6350">
          <a:bevelT w="25400" h="82550"/>
          <a:bevelB w="25400" h="82550"/>
        </a:sp3d>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t"/>
        <a:lstStyle/>
        <a:p>
          <a:r>
            <a:rPr lang="en-US" sz="1100"/>
            <a:t>Get</a:t>
          </a:r>
          <a:r>
            <a:rPr lang="en-US" sz="1100" baseline="0"/>
            <a:t> Project Information &amp; Traffic Data</a:t>
          </a:r>
        </a:p>
        <a:p>
          <a:endParaRPr lang="en-US" sz="1100"/>
        </a:p>
      </xdr:txBody>
    </xdr:sp>
    <xdr:clientData/>
  </xdr:twoCellAnchor>
  <xdr:twoCellAnchor>
    <xdr:from>
      <xdr:col>6</xdr:col>
      <xdr:colOff>562186</xdr:colOff>
      <xdr:row>0</xdr:row>
      <xdr:rowOff>22860</xdr:rowOff>
    </xdr:from>
    <xdr:to>
      <xdr:col>8</xdr:col>
      <xdr:colOff>164253</xdr:colOff>
      <xdr:row>0</xdr:row>
      <xdr:rowOff>268393</xdr:rowOff>
    </xdr:to>
    <xdr:sp macro="[0]!getAndCalculateCrashDataClick" textlink="">
      <xdr:nvSpPr>
        <xdr:cNvPr id="3" name="TextBox 2">
          <a:extLst>
            <a:ext uri="{FF2B5EF4-FFF2-40B4-BE49-F238E27FC236}">
              <a16:creationId xmlns:a16="http://schemas.microsoft.com/office/drawing/2014/main" id="{00000000-0008-0000-0400-000003000000}"/>
            </a:ext>
          </a:extLst>
        </xdr:cNvPr>
        <xdr:cNvSpPr txBox="1"/>
      </xdr:nvSpPr>
      <xdr:spPr>
        <a:xfrm>
          <a:off x="7953586" y="22860"/>
          <a:ext cx="1766147" cy="245533"/>
        </a:xfrm>
        <a:prstGeom prst="rect">
          <a:avLst/>
        </a:prstGeom>
        <a:ln/>
      </xdr:spPr>
      <xdr:style>
        <a:lnRef idx="1">
          <a:schemeClr val="accent6"/>
        </a:lnRef>
        <a:fillRef idx="2">
          <a:schemeClr val="accent6"/>
        </a:fillRef>
        <a:effectRef idx="1">
          <a:schemeClr val="accent6"/>
        </a:effectRef>
        <a:fontRef idx="minor">
          <a:schemeClr val="dk1"/>
        </a:fontRef>
      </xdr:style>
      <xdr:txBody>
        <a:bodyPr vertOverflow="clip" horzOverflow="clip" wrap="square" rtlCol="0" anchor="t"/>
        <a:lstStyle/>
        <a:p>
          <a:r>
            <a:rPr lang="en-US" sz="1100"/>
            <a:t>Get</a:t>
          </a:r>
          <a:r>
            <a:rPr lang="en-US" sz="1100" baseline="0"/>
            <a:t> &amp; Calculate Crash Data</a:t>
          </a:r>
          <a:endParaRPr lang="en-US" sz="1100"/>
        </a:p>
      </xdr:txBody>
    </xdr:sp>
    <xdr:clientData/>
  </xdr:twoCellAnchor>
  <xdr:twoCellAnchor>
    <xdr:from>
      <xdr:col>8</xdr:col>
      <xdr:colOff>265004</xdr:colOff>
      <xdr:row>0</xdr:row>
      <xdr:rowOff>15240</xdr:rowOff>
    </xdr:from>
    <xdr:to>
      <xdr:col>10</xdr:col>
      <xdr:colOff>11006</xdr:colOff>
      <xdr:row>0</xdr:row>
      <xdr:rowOff>277707</xdr:rowOff>
    </xdr:to>
    <xdr:sp macro="[0]!getBikePedTripData_Click" textlink="">
      <xdr:nvSpPr>
        <xdr:cNvPr id="4" name="TextBox 3">
          <a:extLst>
            <a:ext uri="{FF2B5EF4-FFF2-40B4-BE49-F238E27FC236}">
              <a16:creationId xmlns:a16="http://schemas.microsoft.com/office/drawing/2014/main" id="{00000000-0008-0000-0400-000004000000}"/>
            </a:ext>
          </a:extLst>
        </xdr:cNvPr>
        <xdr:cNvSpPr txBox="1"/>
      </xdr:nvSpPr>
      <xdr:spPr>
        <a:xfrm>
          <a:off x="9820484" y="15240"/>
          <a:ext cx="1910082" cy="262467"/>
        </a:xfrm>
        <a:prstGeom prst="rect">
          <a:avLst/>
        </a:prstGeom>
        <a:solidFill>
          <a:schemeClr val="accent6">
            <a:lumMod val="60000"/>
            <a:lumOff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Get</a:t>
          </a:r>
          <a:r>
            <a:rPr lang="en-US" sz="1100" baseline="0"/>
            <a:t> &amp; Calculate Bike/Ped Data</a:t>
          </a:r>
          <a:endParaRPr lang="en-US" sz="1100"/>
        </a:p>
      </xdr:txBody>
    </xdr:sp>
    <xdr:clientData/>
  </xdr:twoCellAnchor>
  <mc:AlternateContent xmlns:mc="http://schemas.openxmlformats.org/markup-compatibility/2006">
    <mc:Choice xmlns:a14="http://schemas.microsoft.com/office/drawing/2010/main" Requires="a14">
      <xdr:twoCellAnchor>
        <xdr:from>
          <xdr:col>10</xdr:col>
          <xdr:colOff>292100</xdr:colOff>
          <xdr:row>0</xdr:row>
          <xdr:rowOff>31750</xdr:rowOff>
        </xdr:from>
        <xdr:to>
          <xdr:col>11</xdr:col>
          <xdr:colOff>215900</xdr:colOff>
          <xdr:row>0</xdr:row>
          <xdr:rowOff>254000</xdr:rowOff>
        </xdr:to>
        <xdr:sp macro="" textlink="">
          <xdr:nvSpPr>
            <xdr:cNvPr id="3075" name="Button 3" hidden="1">
              <a:extLst>
                <a:ext uri="{63B3BB69-23CF-44E3-9099-C40C66FF867C}">
                  <a14:compatExt spid="_x0000_s3075"/>
                </a:ext>
                <a:ext uri="{FF2B5EF4-FFF2-40B4-BE49-F238E27FC236}">
                  <a16:creationId xmlns:a16="http://schemas.microsoft.com/office/drawing/2014/main" id="{00000000-0008-0000-0400-0000030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cs typeface="Calibri"/>
                </a:rPr>
                <a:t>Export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520700</xdr:colOff>
          <xdr:row>0</xdr:row>
          <xdr:rowOff>38100</xdr:rowOff>
        </xdr:from>
        <xdr:to>
          <xdr:col>12</xdr:col>
          <xdr:colOff>349250</xdr:colOff>
          <xdr:row>0</xdr:row>
          <xdr:rowOff>254000</xdr:rowOff>
        </xdr:to>
        <xdr:sp macro="" textlink="">
          <xdr:nvSpPr>
            <xdr:cNvPr id="3076" name="Button 4" hidden="1">
              <a:extLst>
                <a:ext uri="{63B3BB69-23CF-44E3-9099-C40C66FF867C}">
                  <a14:compatExt spid="_x0000_s3076"/>
                </a:ext>
                <a:ext uri="{FF2B5EF4-FFF2-40B4-BE49-F238E27FC236}">
                  <a16:creationId xmlns:a16="http://schemas.microsoft.com/office/drawing/2014/main" id="{00000000-0008-0000-0400-0000040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0" i="0" u="none" strike="noStrike" baseline="0">
                  <a:solidFill>
                    <a:srgbClr val="000000"/>
                  </a:solidFill>
                  <a:latin typeface="Calibri"/>
                  <a:cs typeface="Calibri"/>
                </a:rPr>
                <a:t>Export All</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Work\BCA%20Final%20Results\BCA%20Spreadsheet%20Template%20CFP%20Selected%20Projects%20(8-22).xlsm" TargetMode="External"/><Relationship Id="rId1" Type="http://schemas.openxmlformats.org/officeDocument/2006/relationships/externalLinkPath" Target="/Work/BCA%20Final%20Results/BCA%20Spreadsheet%20Template%20CFP%20Selected%20Projects%20(8-2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
      <sheetName val="Project Information Data"/>
      <sheetName val="Raw Crash Data"/>
      <sheetName val="Raw Bike_Ped Data"/>
      <sheetName val="Overview"/>
      <sheetName val="Output"/>
      <sheetName val="Summary"/>
      <sheetName val="Final BCR"/>
      <sheetName val="User Volumes"/>
      <sheetName val="Capital Costs"/>
      <sheetName val="Operations and Maintenance"/>
      <sheetName val="Safety"/>
      <sheetName val="Travel Time Savings"/>
      <sheetName val="Emissions Reduction"/>
      <sheetName val="Vehicle Operating Cost Savings"/>
      <sheetName val="Other Highway Use Externalities"/>
      <sheetName val="Amenity Benefits"/>
      <sheetName val="Health Benefits"/>
      <sheetName val="Residual Value"/>
      <sheetName val="Project Information"/>
      <sheetName val="Parameter Values"/>
      <sheetName val="Emission Factors"/>
      <sheetName val="Other Benefit 1"/>
      <sheetName val="Other Benefit 2"/>
      <sheetName val="Other Benefit 3"/>
      <sheetName val="Other Benefit 4"/>
      <sheetName val="BCA Spreadsheet Template CFP Se"/>
    </sheetNames>
    <definedNames>
      <definedName name="Module2.exportAllClick"/>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Set>
  </externalBook>
</externalLink>
</file>

<file path=xl/persons/person.xml><?xml version="1.0" encoding="utf-8"?>
<personList xmlns="http://schemas.microsoft.com/office/spreadsheetml/2018/threadedcomments" xmlns:x="http://schemas.openxmlformats.org/spreadsheetml/2006/main">
  <person displayName="Liu, Haiqing" id="{56730019-2E44-4A58-8D1C-0B9C5ED30B22}" userId="S::Haiqing.Liu@aecom.com::c9c4a449-fa2c-4631-b3fa-e648242e7fd0" providerId="AD"/>
</personList>
</file>

<file path=xl/theme/theme1.xml><?xml version="1.0" encoding="utf-8"?>
<a:theme xmlns:a="http://schemas.openxmlformats.org/drawingml/2006/main" name="Office Theme">
  <a:themeElements>
    <a:clrScheme name="Office">
      <a:dk1>
        <a:srgbClr val="000000"/>
      </a:dk1>
      <a:lt1>
        <a:srgbClr val="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A1" dT="2024-03-21T20:35:24.00" personId="{56730019-2E44-4A58-8D1C-0B9C5ED30B22}" id="{A6ADB9EC-C326-4C02-801B-FBD4D0B365B9}">
    <text xml:space="preserve">Operations &amp; Maintenance Cost data is not yet provided. Adjustments will be made to template and calculations upon availability of this information. Currently scores do not include this category. </text>
  </threadedComment>
</ThreadedComments>
</file>

<file path=xl/threadedComments/threadedComment2.xml><?xml version="1.0" encoding="utf-8"?>
<ThreadedComments xmlns="http://schemas.microsoft.com/office/spreadsheetml/2018/threadedcomments" xmlns:x="http://schemas.openxmlformats.org/spreadsheetml/2006/main">
  <threadedComment ref="A1" dT="2024-03-22T19:30:17.54" personId="{56730019-2E44-4A58-8D1C-0B9C5ED30B22}" id="{D4AE46EF-163E-4DFD-A547-86296F23E0D8}">
    <text>I do not think we have data to calculate this benefit. Leaving blank for now.</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3" Type="http://schemas.microsoft.com/office/2017/10/relationships/threadedComment" Target="../threadedComments/threadedComment2.xml"/><Relationship Id="rId2" Type="http://schemas.openxmlformats.org/officeDocument/2006/relationships/comments" Target="../comments2.xml"/><Relationship Id="rId1" Type="http://schemas.openxmlformats.org/officeDocument/2006/relationships/vmlDrawing" Target="../drawings/vmlDrawing3.v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s://apps.bea.gov/iTable/?isuri=1&amp;reqid=19&amp;step=4&amp;categories=flatfiles&amp;nipa_table_list=1" TargetMode="External"/><Relationship Id="rId1" Type="http://schemas.openxmlformats.org/officeDocument/2006/relationships/hyperlink" Target="https://www.transportation.gov/mission/office-secretary/office-policy/transportation-policy/benefit-cost-analysis-guidance"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6BC7E-1C0C-440C-86B9-DC3B79F45AB7}">
  <sheetPr codeName="Sheet24"/>
  <dimension ref="A1:B20"/>
  <sheetViews>
    <sheetView topLeftCell="A3" workbookViewId="0">
      <selection activeCell="B15" sqref="B15"/>
    </sheetView>
  </sheetViews>
  <sheetFormatPr defaultRowHeight="14.5" x14ac:dyDescent="0.35"/>
  <cols>
    <col min="1" max="1" width="74.54296875" customWidth="1"/>
    <col min="2" max="2" width="14.1796875" customWidth="1"/>
  </cols>
  <sheetData>
    <row r="1" spans="1:1" x14ac:dyDescent="0.35">
      <c r="A1" s="1" t="s">
        <v>0</v>
      </c>
    </row>
    <row r="2" spans="1:1" ht="304.5" x14ac:dyDescent="0.35">
      <c r="A2" s="2" t="s">
        <v>1</v>
      </c>
    </row>
    <row r="3" spans="1:1" ht="29" x14ac:dyDescent="0.35">
      <c r="A3" s="3" t="s">
        <v>2</v>
      </c>
    </row>
    <row r="4" spans="1:1" ht="54.65" customHeight="1" x14ac:dyDescent="0.35">
      <c r="A4" s="4" t="s">
        <v>3</v>
      </c>
    </row>
    <row r="5" spans="1:1" ht="29" x14ac:dyDescent="0.35">
      <c r="A5" s="5" t="s">
        <v>4</v>
      </c>
    </row>
    <row r="6" spans="1:1" ht="28.25" customHeight="1" x14ac:dyDescent="0.35">
      <c r="A6" s="6" t="s">
        <v>5</v>
      </c>
    </row>
    <row r="7" spans="1:1" ht="28.25" customHeight="1" x14ac:dyDescent="0.35">
      <c r="A7" s="6" t="s">
        <v>6</v>
      </c>
    </row>
    <row r="8" spans="1:1" ht="43.5" x14ac:dyDescent="0.35">
      <c r="A8" s="7" t="s">
        <v>7</v>
      </c>
    </row>
    <row r="9" spans="1:1" ht="29" x14ac:dyDescent="0.35">
      <c r="A9" s="8" t="s">
        <v>8</v>
      </c>
    </row>
    <row r="10" spans="1:1" ht="45" customHeight="1" x14ac:dyDescent="0.35">
      <c r="A10" s="8" t="s">
        <v>9</v>
      </c>
    </row>
    <row r="11" spans="1:1" ht="72.5" x14ac:dyDescent="0.35">
      <c r="A11" s="8" t="s">
        <v>10</v>
      </c>
    </row>
    <row r="12" spans="1:1" ht="43.5" x14ac:dyDescent="0.35">
      <c r="A12" s="8" t="s">
        <v>11</v>
      </c>
    </row>
    <row r="13" spans="1:1" x14ac:dyDescent="0.35">
      <c r="A13" s="8" t="s">
        <v>12</v>
      </c>
    </row>
    <row r="14" spans="1:1" ht="43.5" x14ac:dyDescent="0.35">
      <c r="A14" s="9" t="s">
        <v>13</v>
      </c>
    </row>
    <row r="19" spans="1:2" x14ac:dyDescent="0.35">
      <c r="A19" s="10" t="s">
        <v>14</v>
      </c>
      <c r="B19" s="11">
        <v>2022</v>
      </c>
    </row>
    <row r="20" spans="1:2" x14ac:dyDescent="0.35">
      <c r="A20" s="12" t="s">
        <v>15</v>
      </c>
      <c r="B20" s="13">
        <v>45516</v>
      </c>
    </row>
  </sheetData>
  <sheetProtection algorithmName="SHA-512" hashValue="Bk2mOmyUTO2OOn9BTa1GeBFkAEnxE1cijjx7X23ZKzAZMhqw4Xw9ipbI2BnyVmOX6ov4gGHCbFGZFt6k4nWXlw==" saltValue="2+fHibn/AGos8nuRZs3PuQ==" spinCount="100000" sheet="1" objects="1" scenarios="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1CBC48-EE6B-480C-9E75-D75A521C27E8}">
  <sheetPr codeName="Sheet7">
    <tabColor theme="5" tint="0.59999389629810485"/>
  </sheetPr>
  <dimension ref="A1:BB119"/>
  <sheetViews>
    <sheetView topLeftCell="G27" zoomScale="106" zoomScaleNormal="106" workbookViewId="0">
      <selection activeCell="G36" sqref="G36"/>
    </sheetView>
  </sheetViews>
  <sheetFormatPr defaultColWidth="9.1796875" defaultRowHeight="14.5" x14ac:dyDescent="0.35"/>
  <cols>
    <col min="1" max="1" width="38.453125" style="42" customWidth="1"/>
    <col min="2" max="2" width="25.1796875" style="42" customWidth="1"/>
    <col min="3" max="3" width="32.54296875" style="42" customWidth="1"/>
    <col min="4" max="4" width="22.81640625" style="42" customWidth="1"/>
    <col min="5" max="5" width="11.81640625" style="42" bestFit="1" customWidth="1"/>
    <col min="6" max="6" width="9.1796875" style="42"/>
    <col min="7" max="7" width="47" style="42" customWidth="1"/>
    <col min="8" max="8" width="32.453125" style="42" customWidth="1"/>
    <col min="9" max="9" width="22.1796875" style="42" customWidth="1"/>
    <col min="10" max="10" width="15.1796875" style="42" customWidth="1"/>
    <col min="11" max="11" width="38.453125" style="42" customWidth="1"/>
    <col min="12" max="12" width="34.81640625" style="42" bestFit="1" customWidth="1"/>
    <col min="13" max="13" width="29.1796875" style="42" customWidth="1"/>
    <col min="14" max="14" width="33.81640625" style="42" customWidth="1"/>
    <col min="15" max="15" width="19" style="42" customWidth="1"/>
    <col min="16" max="16" width="14.81640625" style="42" customWidth="1"/>
    <col min="17" max="17" width="40" style="42" bestFit="1" customWidth="1"/>
    <col min="18" max="18" width="40.1796875" style="42" customWidth="1"/>
    <col min="19" max="19" width="37.1796875" style="42" customWidth="1"/>
    <col min="20" max="20" width="11.81640625" style="42" bestFit="1" customWidth="1"/>
    <col min="21" max="21" width="44.81640625" style="42" customWidth="1"/>
    <col min="22" max="22" width="32.1796875" style="42" bestFit="1" customWidth="1"/>
    <col min="23" max="23" width="13.54296875" style="42" customWidth="1"/>
    <col min="24" max="24" width="16.453125" style="42" customWidth="1"/>
    <col min="25" max="25" width="40" style="42" bestFit="1" customWidth="1"/>
    <col min="26" max="27" width="9.1796875" style="42"/>
    <col min="28" max="28" width="44.81640625" style="42" customWidth="1"/>
    <col min="29" max="29" width="32.1796875" style="42" bestFit="1" customWidth="1"/>
    <col min="30" max="30" width="16.81640625" style="42" customWidth="1"/>
    <col min="31" max="31" width="12.1796875" style="42" customWidth="1"/>
    <col min="32" max="32" width="40" style="42" bestFit="1" customWidth="1"/>
    <col min="33" max="33" width="12.81640625" style="42" customWidth="1"/>
    <col min="34" max="16384" width="9.1796875" style="42"/>
  </cols>
  <sheetData>
    <row r="1" spans="1:9" ht="20" thickBot="1" x14ac:dyDescent="0.5">
      <c r="A1" s="316" t="s">
        <v>121</v>
      </c>
      <c r="D1" s="340"/>
    </row>
    <row r="2" spans="1:9" ht="15" thickTop="1" x14ac:dyDescent="0.35">
      <c r="A2" s="403"/>
      <c r="B2" s="385"/>
      <c r="C2" s="385"/>
      <c r="D2" s="404"/>
      <c r="E2" s="385"/>
      <c r="F2" s="385"/>
      <c r="G2" s="386"/>
      <c r="H2" s="386"/>
      <c r="I2" s="386"/>
    </row>
    <row r="3" spans="1:9" x14ac:dyDescent="0.35">
      <c r="A3" s="386" t="s">
        <v>171</v>
      </c>
      <c r="B3" s="386"/>
      <c r="C3" s="386"/>
      <c r="D3" s="405"/>
      <c r="E3" s="386"/>
      <c r="F3" s="386"/>
      <c r="G3" s="386"/>
      <c r="H3" s="386"/>
      <c r="I3" s="386"/>
    </row>
    <row r="4" spans="1:9" x14ac:dyDescent="0.35">
      <c r="A4" s="387"/>
      <c r="B4" s="385"/>
      <c r="C4" s="385"/>
      <c r="D4" s="404"/>
      <c r="E4" s="385"/>
      <c r="F4" s="385"/>
      <c r="G4" s="385"/>
      <c r="H4" s="385"/>
      <c r="I4" s="385"/>
    </row>
    <row r="5" spans="1:9" x14ac:dyDescent="0.35">
      <c r="A5" s="363" t="s">
        <v>171</v>
      </c>
      <c r="D5" s="340"/>
    </row>
    <row r="6" spans="1:9" x14ac:dyDescent="0.35">
      <c r="A6" s="318" t="s">
        <v>223</v>
      </c>
      <c r="D6" s="340"/>
    </row>
    <row r="7" spans="1:9" x14ac:dyDescent="0.35">
      <c r="A7" s="406" t="s">
        <v>224</v>
      </c>
      <c r="B7" s="406" t="str">
        <f>'Parameter Values'!B6</f>
        <v>Monetized Value (2022 $)</v>
      </c>
      <c r="D7" s="340"/>
    </row>
    <row r="8" spans="1:9" x14ac:dyDescent="0.35">
      <c r="A8" s="407" t="s">
        <v>225</v>
      </c>
      <c r="B8" s="408">
        <f>'Parameter Values'!B7</f>
        <v>5000</v>
      </c>
      <c r="D8" s="340"/>
      <c r="E8" s="338"/>
    </row>
    <row r="9" spans="1:9" x14ac:dyDescent="0.35">
      <c r="A9" s="407" t="s">
        <v>226</v>
      </c>
      <c r="B9" s="408">
        <f>'Parameter Values'!B8</f>
        <v>111700</v>
      </c>
      <c r="D9" s="340"/>
    </row>
    <row r="10" spans="1:9" x14ac:dyDescent="0.35">
      <c r="A10" s="407" t="s">
        <v>227</v>
      </c>
      <c r="B10" s="408">
        <f>'Parameter Values'!B9</f>
        <v>233800</v>
      </c>
      <c r="D10" s="340"/>
    </row>
    <row r="11" spans="1:9" x14ac:dyDescent="0.35">
      <c r="A11" s="407" t="s">
        <v>228</v>
      </c>
      <c r="B11" s="408">
        <f>'Parameter Values'!B10</f>
        <v>1188200</v>
      </c>
    </row>
    <row r="12" spans="1:9" x14ac:dyDescent="0.35">
      <c r="A12" s="407" t="s">
        <v>229</v>
      </c>
      <c r="B12" s="408">
        <f>'Parameter Values'!B11</f>
        <v>12500000</v>
      </c>
    </row>
    <row r="13" spans="1:9" x14ac:dyDescent="0.35">
      <c r="A13" s="407" t="s">
        <v>230</v>
      </c>
      <c r="B13" s="408">
        <f>'Parameter Values'!B12</f>
        <v>217600</v>
      </c>
    </row>
    <row r="14" spans="1:9" x14ac:dyDescent="0.35">
      <c r="A14" s="409" t="s">
        <v>171</v>
      </c>
      <c r="B14" s="410"/>
    </row>
    <row r="15" spans="1:9" x14ac:dyDescent="0.35">
      <c r="A15" s="407" t="s">
        <v>231</v>
      </c>
    </row>
    <row r="16" spans="1:9" x14ac:dyDescent="0.35">
      <c r="A16" s="407" t="s">
        <v>232</v>
      </c>
      <c r="B16" s="408">
        <f>'Parameter Values'!B15</f>
        <v>9100</v>
      </c>
    </row>
    <row r="17" spans="1:54" x14ac:dyDescent="0.35">
      <c r="A17" s="407" t="s">
        <v>233</v>
      </c>
      <c r="B17" s="408">
        <f>'Parameter Values'!B16</f>
        <v>313000</v>
      </c>
    </row>
    <row r="18" spans="1:54" x14ac:dyDescent="0.35">
      <c r="A18" s="407" t="s">
        <v>234</v>
      </c>
      <c r="B18" s="408">
        <f>'Parameter Values'!B17</f>
        <v>14022900</v>
      </c>
    </row>
    <row r="19" spans="1:54" x14ac:dyDescent="0.35">
      <c r="A19" s="42" t="s">
        <v>171</v>
      </c>
    </row>
    <row r="20" spans="1:54" ht="15" thickBot="1" x14ac:dyDescent="0.4">
      <c r="A20" s="318" t="s">
        <v>235</v>
      </c>
    </row>
    <row r="21" spans="1:54" x14ac:dyDescent="0.35">
      <c r="A21" s="321" t="s">
        <v>173</v>
      </c>
      <c r="B21" s="334" t="s">
        <v>236</v>
      </c>
      <c r="C21" s="334" t="s">
        <v>237</v>
      </c>
      <c r="D21" s="411" t="s">
        <v>235</v>
      </c>
      <c r="G21" s="347" t="s">
        <v>211</v>
      </c>
      <c r="H21" s="348"/>
      <c r="I21" s="348"/>
      <c r="J21" s="348"/>
      <c r="K21" s="348"/>
      <c r="L21" s="348"/>
      <c r="M21" s="348"/>
      <c r="N21" s="348"/>
      <c r="O21" s="348"/>
      <c r="P21" s="348"/>
      <c r="Q21" s="348"/>
      <c r="R21" s="348"/>
      <c r="S21" s="348"/>
      <c r="T21" s="348"/>
      <c r="U21" s="348"/>
      <c r="V21" s="348"/>
      <c r="W21" s="348"/>
      <c r="X21" s="348"/>
      <c r="Y21" s="348"/>
      <c r="Z21" s="348"/>
      <c r="AA21" s="348"/>
      <c r="AB21" s="348"/>
      <c r="AC21" s="348"/>
      <c r="AD21" s="348"/>
      <c r="AE21" s="348"/>
      <c r="AF21" s="348"/>
      <c r="AG21" s="348"/>
      <c r="AH21" s="348"/>
      <c r="AI21" s="348"/>
      <c r="AJ21" s="348"/>
      <c r="AK21" s="348"/>
      <c r="AL21" s="348"/>
      <c r="AM21" s="348"/>
      <c r="AN21" s="348"/>
      <c r="AO21" s="348"/>
      <c r="AP21" s="348"/>
      <c r="AQ21" s="348"/>
      <c r="AR21" s="348"/>
      <c r="AS21" s="348"/>
      <c r="AT21" s="348"/>
      <c r="AU21" s="348"/>
      <c r="AV21" s="348"/>
      <c r="AW21" s="348"/>
      <c r="AX21" s="348"/>
      <c r="AY21" s="348"/>
      <c r="AZ21" s="348"/>
      <c r="BA21" s="348"/>
      <c r="BB21" s="349"/>
    </row>
    <row r="22" spans="1:54" x14ac:dyDescent="0.35">
      <c r="A22" s="10">
        <f>'Project Information'!$B$9</f>
        <v>2030</v>
      </c>
      <c r="B22" s="368">
        <v>0</v>
      </c>
      <c r="C22" s="368">
        <f t="shared" ref="C22:C51" si="0">IF(A22="",0, -K84)</f>
        <v>-17787834.403616644</v>
      </c>
      <c r="D22" s="389">
        <f>B22-C22</f>
        <v>17787834.403616644</v>
      </c>
      <c r="G22" s="35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s="353"/>
    </row>
    <row r="23" spans="1:54" x14ac:dyDescent="0.35">
      <c r="A23" s="326">
        <f>IF(A22&lt;'Project Information'!B$11,A22+1,"")</f>
        <v>2031</v>
      </c>
      <c r="B23" s="368">
        <v>0</v>
      </c>
      <c r="C23" s="368">
        <f t="shared" si="0"/>
        <v>-18276999.849716105</v>
      </c>
      <c r="D23" s="325">
        <f t="shared" ref="D23:D51" si="1">B23-C23</f>
        <v>18276999.849716105</v>
      </c>
      <c r="F23" s="356"/>
      <c r="G23" s="412" t="s">
        <v>212</v>
      </c>
      <c r="H23" s="372">
        <f>Project_ID</f>
        <v>1057</v>
      </c>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s="353"/>
    </row>
    <row r="24" spans="1:54" ht="15.65" customHeight="1" x14ac:dyDescent="0.35">
      <c r="A24" s="326">
        <f>IF(A23&lt;'Project Information'!B$11,A23+1,"")</f>
        <v>2032</v>
      </c>
      <c r="B24" s="368">
        <v>0</v>
      </c>
      <c r="C24" s="368">
        <f t="shared" si="0"/>
        <v>-18756097.35384487</v>
      </c>
      <c r="D24" s="325">
        <f t="shared" si="1"/>
        <v>18756097.35384487</v>
      </c>
      <c r="F24" s="356"/>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s="353"/>
    </row>
    <row r="25" spans="1:54" x14ac:dyDescent="0.35">
      <c r="A25" s="326">
        <f>IF(A24&lt;'Project Information'!B$11,A24+1,"")</f>
        <v>2033</v>
      </c>
      <c r="B25" s="368">
        <v>0</v>
      </c>
      <c r="C25" s="368">
        <f t="shared" si="0"/>
        <v>-19271890.031075604</v>
      </c>
      <c r="D25" s="325">
        <f t="shared" si="1"/>
        <v>19271890.031075604</v>
      </c>
      <c r="F25" s="356"/>
      <c r="G25" s="413" t="s">
        <v>238</v>
      </c>
      <c r="H25" s="414">
        <f>Build_Project_Length</f>
        <v>2.7</v>
      </c>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s="353"/>
    </row>
    <row r="26" spans="1:54" x14ac:dyDescent="0.35">
      <c r="A26" s="326">
        <f>IF(A25&lt;'Project Information'!B$11,A25+1,"")</f>
        <v>2034</v>
      </c>
      <c r="B26" s="368">
        <v>0</v>
      </c>
      <c r="C26" s="368">
        <f t="shared" si="0"/>
        <v>-19791091.699835982</v>
      </c>
      <c r="D26" s="325">
        <f t="shared" si="1"/>
        <v>19791091.699835982</v>
      </c>
      <c r="G26" s="413" t="s">
        <v>239</v>
      </c>
      <c r="H26" s="414">
        <f>Base_Year_AADT</f>
        <v>104119</v>
      </c>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s="353"/>
    </row>
    <row r="27" spans="1:54" x14ac:dyDescent="0.35">
      <c r="A27" s="326">
        <f>IF(A26&lt;'Project Information'!B$11,A26+1,"")</f>
        <v>2035</v>
      </c>
      <c r="B27" s="368">
        <v>0</v>
      </c>
      <c r="C27" s="368">
        <f t="shared" si="0"/>
        <v>-20335346.721581474</v>
      </c>
      <c r="D27" s="325">
        <f t="shared" si="1"/>
        <v>20335346.721581474</v>
      </c>
      <c r="G27" s="413" t="s">
        <v>240</v>
      </c>
      <c r="H27" s="415">
        <f>Growth_Rate</f>
        <v>2.75E-2</v>
      </c>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s="353"/>
    </row>
    <row r="28" spans="1:54" x14ac:dyDescent="0.35">
      <c r="A28" s="326">
        <f>IF(A27&lt;'Project Information'!B$11,A27+1,"")</f>
        <v>2036</v>
      </c>
      <c r="B28" s="368">
        <v>0</v>
      </c>
      <c r="C28" s="368">
        <f t="shared" si="0"/>
        <v>-20856927.256317109</v>
      </c>
      <c r="D28" s="325">
        <f t="shared" si="1"/>
        <v>20856927.256317109</v>
      </c>
      <c r="F28" s="356"/>
      <c r="G28" s="413" t="s">
        <v>241</v>
      </c>
      <c r="H28" s="345">
        <f>No_Build_Start_AADT</f>
        <v>129355.42068721089</v>
      </c>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s="353"/>
    </row>
    <row r="29" spans="1:54" x14ac:dyDescent="0.35">
      <c r="A29" s="326">
        <f>IF(A28&lt;'Project Information'!B$11,A28+1,"")</f>
        <v>2037</v>
      </c>
      <c r="B29" s="368">
        <v>0</v>
      </c>
      <c r="C29" s="368">
        <f t="shared" si="0"/>
        <v>-21430492.755865827</v>
      </c>
      <c r="D29" s="325">
        <f t="shared" si="1"/>
        <v>21430492.755865827</v>
      </c>
      <c r="F29" s="356"/>
      <c r="G29" s="413" t="s">
        <v>242</v>
      </c>
      <c r="H29" s="416">
        <f>No_Build_Start_Annual_VMT</f>
        <v>127479767.08724634</v>
      </c>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s="353"/>
    </row>
    <row r="30" spans="1:54" x14ac:dyDescent="0.35">
      <c r="A30" s="326">
        <f>IF(A29&lt;'Project Information'!B$11,A29+1,"")</f>
        <v>2038</v>
      </c>
      <c r="B30" s="368">
        <v>0</v>
      </c>
      <c r="C30" s="368">
        <f t="shared" si="0"/>
        <v>-22019831.30665214</v>
      </c>
      <c r="D30" s="325">
        <f t="shared" si="1"/>
        <v>22019831.30665214</v>
      </c>
      <c r="F30" s="356"/>
      <c r="G30" s="413" t="s">
        <v>243</v>
      </c>
      <c r="H30" s="417">
        <f>IF(_xlfn.XLOOKUP(Project_ID,Output!A:A,Output!AD:AD,0,0) = 0,Base_Year_Daily_Walking_Trips+Base_Year_Daily_Cycling_Trips)</f>
        <v>68</v>
      </c>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s="353"/>
    </row>
    <row r="31" spans="1:54" x14ac:dyDescent="0.35">
      <c r="A31" s="326">
        <f>IF(A30&lt;'Project Information'!B$11,A30+1,"")</f>
        <v>2039</v>
      </c>
      <c r="B31" s="368">
        <v>0</v>
      </c>
      <c r="C31" s="368">
        <f t="shared" si="0"/>
        <v>-22625376.667585075</v>
      </c>
      <c r="D31" s="325">
        <f t="shared" si="1"/>
        <v>22625376.667585075</v>
      </c>
      <c r="F31" s="356"/>
      <c r="G31" s="413" t="s">
        <v>244</v>
      </c>
      <c r="H31" s="415">
        <f>BikePed_GR</f>
        <v>0</v>
      </c>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s="353"/>
    </row>
    <row r="32" spans="1:54" x14ac:dyDescent="0.35">
      <c r="A32" s="326">
        <f>IF(A31&lt;'Project Information'!B$11,A31+1,"")</f>
        <v>2040</v>
      </c>
      <c r="B32" s="368">
        <v>0</v>
      </c>
      <c r="C32" s="368">
        <f t="shared" si="0"/>
        <v>-21884188.98886228</v>
      </c>
      <c r="D32" s="325">
        <f t="shared" si="1"/>
        <v>21884188.98886228</v>
      </c>
      <c r="F32" s="356"/>
      <c r="G32" s="418" t="s">
        <v>245</v>
      </c>
      <c r="H32" s="419">
        <f>No_Build_Start_Daily_Bike_Ped_Trips</f>
        <v>68</v>
      </c>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s="353"/>
    </row>
    <row r="33" spans="1:54" x14ac:dyDescent="0.35">
      <c r="A33" s="326">
        <f>IF(A32&lt;'Project Information'!B$11,A32+1,"")</f>
        <v>2041</v>
      </c>
      <c r="B33" s="368">
        <v>0</v>
      </c>
      <c r="C33" s="368">
        <f t="shared" si="0"/>
        <v>-22486004.186055992</v>
      </c>
      <c r="D33" s="325">
        <f t="shared" si="1"/>
        <v>22486004.186055992</v>
      </c>
      <c r="F33" s="356"/>
      <c r="G33" s="418" t="s">
        <v>246</v>
      </c>
      <c r="H33" s="419">
        <f>Build_Start_Daily_Bike_Ped_Trips</f>
        <v>68</v>
      </c>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s="353"/>
    </row>
    <row r="34" spans="1:54" x14ac:dyDescent="0.35">
      <c r="A34" s="326">
        <f>IF(A33&lt;'Project Information'!B$11,A33+1,"")</f>
        <v>2042</v>
      </c>
      <c r="B34" s="368">
        <v>0</v>
      </c>
      <c r="C34" s="368">
        <f t="shared" si="0"/>
        <v>-23104369.301172532</v>
      </c>
      <c r="D34" s="325">
        <f t="shared" si="1"/>
        <v>23104369.301172532</v>
      </c>
      <c r="F34" s="356"/>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s="353"/>
    </row>
    <row r="35" spans="1:54" x14ac:dyDescent="0.35">
      <c r="A35" s="326">
        <f>IF(A34&lt;'Project Information'!B$11,A34+1,"")</f>
        <v>2043</v>
      </c>
      <c r="B35" s="368">
        <v>0</v>
      </c>
      <c r="C35" s="368">
        <f t="shared" si="0"/>
        <v>-23739739.456954781</v>
      </c>
      <c r="D35" s="325">
        <f t="shared" si="1"/>
        <v>23739739.456954781</v>
      </c>
      <c r="F35" s="356"/>
      <c r="G35" s="420" t="s">
        <v>29</v>
      </c>
      <c r="H35" s="421" t="s">
        <v>247</v>
      </c>
      <c r="I35" s="421" t="s">
        <v>248</v>
      </c>
      <c r="J35" s="422" t="s">
        <v>249</v>
      </c>
      <c r="K35" s="423" t="s">
        <v>250</v>
      </c>
      <c r="L35" s="422" t="s">
        <v>251</v>
      </c>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s="353"/>
    </row>
    <row r="36" spans="1:54" x14ac:dyDescent="0.35">
      <c r="A36" s="326">
        <f>IF(A35&lt;'Project Information'!B$11,A35+1,"")</f>
        <v>2044</v>
      </c>
      <c r="B36" s="368">
        <v>0</v>
      </c>
      <c r="C36" s="368">
        <f t="shared" si="0"/>
        <v>-24392582.29202104</v>
      </c>
      <c r="D36" s="325">
        <f t="shared" si="1"/>
        <v>24392582.29202104</v>
      </c>
      <c r="F36" s="356"/>
      <c r="G36" s="424" cm="1">
        <f t="array" ref="G36:G48">IF(ISBLANK(Project_ID),"",IFERROR(INT(_xlfn.TEXTSPLIT(INDEX(Output!$A:$AN,_xlfn.XMATCH(Project_ID,Output!$A:$A),_xlfn.XMATCH(G35,Output!$A$3:$AO$3)),,", ")), ""))</f>
        <v>201</v>
      </c>
      <c r="H36" s="425">
        <f>_xlfn.XLOOKUP($G36,'Parameter Values'!$B$249:$B$319,'Parameter Values'!$C$249:$C$319,"", 0)</f>
        <v>0.75</v>
      </c>
      <c r="I36" s="425">
        <f t="shared" ref="I36:I52" si="2">IF(H36 = "", "",1-H36)</f>
        <v>0.25</v>
      </c>
      <c r="J36" s="426">
        <f>_xlfn.XLOOKUP($G36,'Parameter Values'!$B$249:$B$319,'Parameter Values'!$D$249:$D$319,"",0)</f>
        <v>15</v>
      </c>
      <c r="K36" s="426" t="str">
        <f>_xlfn.XLOOKUP($G36,'Parameter Values'!$B$249:$B$319,'Parameter Values'!$E$249:$E$319,"",0)</f>
        <v>Non-Intersection related (Roadway Related)</v>
      </c>
      <c r="L36" s="426" t="str">
        <f>_xlfn.XLOOKUP($G36,'Parameter Values'!$B$249:$B$319,'Parameter Values'!$A$249:$A$319,"",0)</f>
        <v>Install Median Barrier</v>
      </c>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s="353"/>
    </row>
    <row r="37" spans="1:54" x14ac:dyDescent="0.35">
      <c r="A37" s="326">
        <f>IF(A36&lt;'Project Information'!B$11,A36+1,"")</f>
        <v>2045</v>
      </c>
      <c r="B37" s="368">
        <v>0</v>
      </c>
      <c r="C37" s="368">
        <f t="shared" si="0"/>
        <v>-13464777.926523849</v>
      </c>
      <c r="D37" s="325">
        <f t="shared" si="1"/>
        <v>13464777.926523849</v>
      </c>
      <c r="F37" s="356"/>
      <c r="G37" s="424">
        <v>304</v>
      </c>
      <c r="H37" s="425">
        <f>_xlfn.XLOOKUP($G37,'Parameter Values'!$B$249:$B$319,'Parameter Values'!$C$249:$C$319,"", 0)</f>
        <v>0.49</v>
      </c>
      <c r="I37" s="425">
        <f t="shared" si="2"/>
        <v>0.51</v>
      </c>
      <c r="J37" s="426">
        <f>_xlfn.XLOOKUP($G37,'Parameter Values'!$B$249:$B$319,'Parameter Values'!$D$249:$D$319,"",0)</f>
        <v>15</v>
      </c>
      <c r="K37" s="426" t="str">
        <f>_xlfn.XLOOKUP($G37,'Parameter Values'!$B$249:$B$319,'Parameter Values'!$E$249:$E$319,"",0)</f>
        <v>Non-Intersection related (Roadway Related)</v>
      </c>
      <c r="L37" s="426" t="str">
        <f>_xlfn.XLOOKUP($G37,'Parameter Values'!$B$249:$B$319,'Parameter Values'!$A$249:$A$319,"",0)</f>
        <v>Safety Lighting</v>
      </c>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s="353"/>
    </row>
    <row r="38" spans="1:54" x14ac:dyDescent="0.35">
      <c r="A38" s="326">
        <f>IF(A37&lt;'Project Information'!B$11,A37+1,"")</f>
        <v>2046</v>
      </c>
      <c r="B38" s="368">
        <v>0</v>
      </c>
      <c r="C38" s="368">
        <f t="shared" si="0"/>
        <v>-13835059.319503255</v>
      </c>
      <c r="D38" s="325">
        <f t="shared" si="1"/>
        <v>13835059.319503255</v>
      </c>
      <c r="F38" s="356"/>
      <c r="G38" s="424">
        <v>401</v>
      </c>
      <c r="H38" s="425">
        <f>_xlfn.XLOOKUP($G38,'Parameter Values'!$B$249:$B$319,'Parameter Values'!$C$249:$C$319,"", 0)</f>
        <v>0.2</v>
      </c>
      <c r="I38" s="425">
        <f t="shared" si="2"/>
        <v>0.8</v>
      </c>
      <c r="J38" s="426">
        <f>_xlfn.XLOOKUP($G38,'Parameter Values'!$B$249:$B$319,'Parameter Values'!$D$249:$D$319,"",0)</f>
        <v>2</v>
      </c>
      <c r="K38" s="426" t="str">
        <f>_xlfn.XLOOKUP($G38,'Parameter Values'!$B$249:$B$319,'Parameter Values'!$E$249:$E$319,"",0)</f>
        <v>Non-Intersection related (Roadway Related)</v>
      </c>
      <c r="L38" s="426" t="str">
        <f>_xlfn.XLOOKUP($G38,'Parameter Values'!$B$249:$B$319,'Parameter Values'!$A$249:$A$319,"",0)</f>
        <v>Install Pavement Markings</v>
      </c>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s="353"/>
    </row>
    <row r="39" spans="1:54" x14ac:dyDescent="0.35">
      <c r="A39" s="326">
        <f>IF(A38&lt;'Project Information'!B$11,A38+1,"")</f>
        <v>2047</v>
      </c>
      <c r="B39" s="368">
        <v>0</v>
      </c>
      <c r="C39" s="368">
        <f t="shared" si="0"/>
        <v>-14215523.450789595</v>
      </c>
      <c r="D39" s="325">
        <f t="shared" si="1"/>
        <v>14215523.450789595</v>
      </c>
      <c r="F39" s="356"/>
      <c r="G39" s="424">
        <v>536</v>
      </c>
      <c r="H39" s="425">
        <f>_xlfn.XLOOKUP($G39,'Parameter Values'!$B$249:$B$319,'Parameter Values'!$C$249:$C$319,"", 0)</f>
        <v>0.31</v>
      </c>
      <c r="I39" s="425">
        <f t="shared" si="2"/>
        <v>0.69</v>
      </c>
      <c r="J39" s="426">
        <f>_xlfn.XLOOKUP($G39,'Parameter Values'!$B$249:$B$319,'Parameter Values'!$D$249:$D$319,"",0)</f>
        <v>20</v>
      </c>
      <c r="K39" s="426" t="str">
        <f>_xlfn.XLOOKUP($G39,'Parameter Values'!$B$249:$B$319,'Parameter Values'!$E$249:$E$319,"",0)</f>
        <v>Non-Intersection related (Roadway Related)</v>
      </c>
      <c r="L39" s="426" t="str">
        <f>_xlfn.XLOOKUP($G39,'Parameter Values'!$B$249:$B$319,'Parameter Values'!$A$249:$A$319,"",0)</f>
        <v>Widen Paved Shoulders (to &gt; 5 ft.)</v>
      </c>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s="353"/>
    </row>
    <row r="40" spans="1:54" x14ac:dyDescent="0.35">
      <c r="A40" s="326">
        <f>IF(A39&lt;'Project Information'!B$11,A39+1,"")</f>
        <v>2048</v>
      </c>
      <c r="B40" s="368">
        <v>0</v>
      </c>
      <c r="C40" s="368">
        <f t="shared" si="0"/>
        <v>-14606450.345686311</v>
      </c>
      <c r="D40" s="325">
        <f t="shared" si="1"/>
        <v>14606450.345686311</v>
      </c>
      <c r="F40" s="356"/>
      <c r="G40" s="424">
        <v>505</v>
      </c>
      <c r="H40" s="425">
        <f>_xlfn.XLOOKUP($G40,'Parameter Values'!$B$249:$B$319,'Parameter Values'!$C$249:$C$319,"", 0)</f>
        <v>0.5</v>
      </c>
      <c r="I40" s="425">
        <f t="shared" si="2"/>
        <v>0.5</v>
      </c>
      <c r="J40" s="426">
        <f>_xlfn.XLOOKUP($G40,'Parameter Values'!$B$249:$B$319,'Parameter Values'!$D$249:$D$319,"",0)</f>
        <v>10</v>
      </c>
      <c r="K40" s="426" t="str">
        <f>_xlfn.XLOOKUP($G40,'Parameter Values'!$B$249:$B$319,'Parameter Values'!$E$249:$E$319,"",0)</f>
        <v>Non-Intersection related (Roadway Related)</v>
      </c>
      <c r="L40" s="426" t="str">
        <f>_xlfn.XLOOKUP($G40,'Parameter Values'!$B$249:$B$319,'Parameter Values'!$A$249:$A$319,"",0)</f>
        <v>Improve Vertical Alignment</v>
      </c>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s="353"/>
    </row>
    <row r="41" spans="1:54" x14ac:dyDescent="0.35">
      <c r="A41" s="326">
        <f>IF(A40&lt;'Project Information'!B$11,A40+1,"")</f>
        <v>2049</v>
      </c>
      <c r="B41" s="368">
        <v>0</v>
      </c>
      <c r="C41" s="368">
        <f t="shared" si="0"/>
        <v>-15008127.730192684</v>
      </c>
      <c r="D41" s="325">
        <f t="shared" si="1"/>
        <v>15008127.730192684</v>
      </c>
      <c r="F41" s="356"/>
      <c r="G41" s="424">
        <v>506</v>
      </c>
      <c r="H41" s="425">
        <f>_xlfn.XLOOKUP($G41,'Parameter Values'!$B$249:$B$319,'Parameter Values'!$C$249:$C$319,"", 0)</f>
        <v>0.55000000000000004</v>
      </c>
      <c r="I41" s="425">
        <f t="shared" si="2"/>
        <v>0.44999999999999996</v>
      </c>
      <c r="J41" s="426">
        <f>_xlfn.XLOOKUP($G41,'Parameter Values'!$B$249:$B$319,'Parameter Values'!$D$249:$D$319,"",0)</f>
        <v>10</v>
      </c>
      <c r="K41" s="426" t="str">
        <f>_xlfn.XLOOKUP($G41,'Parameter Values'!$B$249:$B$319,'Parameter Values'!$E$249:$E$319,"",0)</f>
        <v>Non-Intersection related (Roadway Related)</v>
      </c>
      <c r="L41" s="426" t="str">
        <f>_xlfn.XLOOKUP($G41,'Parameter Values'!$B$249:$B$319,'Parameter Values'!$A$249:$A$319,"",0)</f>
        <v>Improve Horizontal Alignment</v>
      </c>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s="353"/>
    </row>
    <row r="42" spans="1:54" x14ac:dyDescent="0.35">
      <c r="A42" s="326">
        <f>IF(A41&lt;'Project Information'!B$11,A41+1,"")</f>
        <v>2050</v>
      </c>
      <c r="B42" s="368">
        <v>0</v>
      </c>
      <c r="C42" s="368">
        <f t="shared" si="0"/>
        <v>0</v>
      </c>
      <c r="D42" s="325">
        <f t="shared" si="1"/>
        <v>0</v>
      </c>
      <c r="F42" s="356"/>
      <c r="G42" s="424">
        <v>507</v>
      </c>
      <c r="H42" s="425">
        <f>_xlfn.XLOOKUP($G42,'Parameter Values'!$B$249:$B$319,'Parameter Values'!$C$249:$C$319,"", 0)</f>
        <v>0.65</v>
      </c>
      <c r="I42" s="425">
        <f t="shared" si="2"/>
        <v>0.35</v>
      </c>
      <c r="J42" s="426">
        <f>_xlfn.XLOOKUP($G42,'Parameter Values'!$B$249:$B$319,'Parameter Values'!$D$249:$D$319,"",0)</f>
        <v>10</v>
      </c>
      <c r="K42" s="426" t="str">
        <f>_xlfn.XLOOKUP($G42,'Parameter Values'!$B$249:$B$319,'Parameter Values'!$E$249:$E$319,"",0)</f>
        <v>Non-Intersection related (Roadway Related)</v>
      </c>
      <c r="L42" s="426" t="str">
        <f>_xlfn.XLOOKUP($G42,'Parameter Values'!$B$249:$B$319,'Parameter Values'!$A$249:$A$319,"",0)</f>
        <v>Increase Superelevation</v>
      </c>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s="353"/>
    </row>
    <row r="43" spans="1:54" x14ac:dyDescent="0.35">
      <c r="A43" s="326">
        <f>IF(A42&lt;'Project Information'!B$11,A42+1,"")</f>
        <v>2051</v>
      </c>
      <c r="B43" s="368">
        <v>0</v>
      </c>
      <c r="C43" s="368">
        <f t="shared" si="0"/>
        <v>0</v>
      </c>
      <c r="D43" s="325">
        <f t="shared" si="1"/>
        <v>0</v>
      </c>
      <c r="F43" s="356"/>
      <c r="G43" s="424">
        <v>517</v>
      </c>
      <c r="H43" s="425">
        <f>_xlfn.XLOOKUP($G43,'Parameter Values'!$B$249:$B$319,'Parameter Values'!$C$249:$C$319,"", 0)</f>
        <v>0.28000000000000003</v>
      </c>
      <c r="I43" s="425">
        <f t="shared" si="2"/>
        <v>0.72</v>
      </c>
      <c r="J43" s="426">
        <f>_xlfn.XLOOKUP($G43,'Parameter Values'!$B$249:$B$319,'Parameter Values'!$D$249:$D$319,"",0)</f>
        <v>20</v>
      </c>
      <c r="K43" s="426" t="str">
        <f>_xlfn.XLOOKUP($G43,'Parameter Values'!$B$249:$B$319,'Parameter Values'!$E$249:$E$319,"",0)</f>
        <v>Non-Intersection related (Roadway Related)</v>
      </c>
      <c r="L43" s="426" t="str">
        <f>_xlfn.XLOOKUP($G43,'Parameter Values'!$B$249:$B$319,'Parameter Values'!$A$249:$A$319,"",0)</f>
        <v>Add Through Lane</v>
      </c>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s="353"/>
    </row>
    <row r="44" spans="1:54" x14ac:dyDescent="0.35">
      <c r="A44" s="326">
        <f>IF(A43&lt;'Project Information'!B$11,A43+1,"")</f>
        <v>2052</v>
      </c>
      <c r="B44" s="368">
        <v>0</v>
      </c>
      <c r="C44" s="368">
        <f t="shared" si="0"/>
        <v>0</v>
      </c>
      <c r="D44" s="325">
        <f t="shared" si="1"/>
        <v>0</v>
      </c>
      <c r="F44" s="356"/>
      <c r="G44" s="424">
        <v>402</v>
      </c>
      <c r="H44" s="425">
        <f>_xlfn.XLOOKUP($G44,'Parameter Values'!$B$249:$B$319,'Parameter Values'!$C$249:$C$319,"", 0)</f>
        <v>0.25</v>
      </c>
      <c r="I44" s="425">
        <f t="shared" si="2"/>
        <v>0.75</v>
      </c>
      <c r="J44" s="426">
        <f>_xlfn.XLOOKUP($G44,'Parameter Values'!$B$249:$B$319,'Parameter Values'!$D$249:$D$319,"",0)</f>
        <v>2</v>
      </c>
      <c r="K44" s="426" t="str">
        <f>_xlfn.XLOOKUP($G44,'Parameter Values'!$B$249:$B$319,'Parameter Values'!$E$249:$E$319,"",0)</f>
        <v>Non-Intersection related (Roadway Related)</v>
      </c>
      <c r="L44" s="426" t="str">
        <f>_xlfn.XLOOKUP($G44,'Parameter Values'!$B$249:$B$319,'Parameter Values'!$A$249:$A$319,"",0)</f>
        <v>Install Edge Marking</v>
      </c>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s="353"/>
    </row>
    <row r="45" spans="1:54" x14ac:dyDescent="0.35">
      <c r="A45" s="326">
        <f>IF(A44&lt;'Project Information'!B$11,A44+1,"")</f>
        <v>2053</v>
      </c>
      <c r="B45" s="368">
        <v>0</v>
      </c>
      <c r="C45" s="368">
        <f t="shared" si="0"/>
        <v>0</v>
      </c>
      <c r="D45" s="325">
        <f t="shared" si="1"/>
        <v>0</v>
      </c>
      <c r="F45" s="356"/>
      <c r="G45" s="424">
        <v>113</v>
      </c>
      <c r="H45" s="425">
        <f>_xlfn.XLOOKUP($G45,'Parameter Values'!$B$249:$B$319,'Parameter Values'!$C$249:$C$319,"", 0)</f>
        <v>0.12</v>
      </c>
      <c r="I45" s="425">
        <f t="shared" si="2"/>
        <v>0.88</v>
      </c>
      <c r="J45" s="426">
        <f>_xlfn.XLOOKUP($G45,'Parameter Values'!$B$249:$B$319,'Parameter Values'!$D$249:$D$319,"",0)</f>
        <v>2</v>
      </c>
      <c r="K45" s="426" t="str">
        <f>_xlfn.XLOOKUP($G45,'Parameter Values'!$B$249:$B$319,'Parameter Values'!$E$249:$E$319,"",0)</f>
        <v>Non-Intersection related (Roadway Related)</v>
      </c>
      <c r="L45" s="426" t="str">
        <f>_xlfn.XLOOKUP($G45,'Parameter Values'!$B$249:$B$319,'Parameter Values'!$A$249:$A$319,"",0)</f>
        <v>Install Delineators</v>
      </c>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s="353"/>
    </row>
    <row r="46" spans="1:54" x14ac:dyDescent="0.35">
      <c r="A46" s="326">
        <f>IF(A45&lt;'Project Information'!B$11,A45+1,"")</f>
        <v>2054</v>
      </c>
      <c r="B46" s="368">
        <v>0</v>
      </c>
      <c r="C46" s="368">
        <f t="shared" si="0"/>
        <v>0</v>
      </c>
      <c r="D46" s="325">
        <f t="shared" si="1"/>
        <v>0</v>
      </c>
      <c r="F46" s="356"/>
      <c r="G46" s="424">
        <v>101</v>
      </c>
      <c r="H46" s="425">
        <f>_xlfn.XLOOKUP($G46,'Parameter Values'!$B$249:$B$319,'Parameter Values'!$C$249:$C$319,"", 0)</f>
        <v>0.2</v>
      </c>
      <c r="I46" s="425">
        <f t="shared" si="2"/>
        <v>0.8</v>
      </c>
      <c r="J46" s="426">
        <f>_xlfn.XLOOKUP($G46,'Parameter Values'!$B$249:$B$319,'Parameter Values'!$D$249:$D$319,"",0)</f>
        <v>6</v>
      </c>
      <c r="K46" s="426" t="str">
        <f>_xlfn.XLOOKUP($G46,'Parameter Values'!$B$249:$B$319,'Parameter Values'!$E$249:$E$319,"",0)</f>
        <v>Non-Intersection related (Roadway Related)</v>
      </c>
      <c r="L46" s="426" t="str">
        <f>_xlfn.XLOOKUP($G46,'Parameter Values'!$B$249:$B$319,'Parameter Values'!$A$249:$A$319,"",0)</f>
        <v>Install Warning/Guide Signs</v>
      </c>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s="353"/>
    </row>
    <row r="47" spans="1:54" x14ac:dyDescent="0.35">
      <c r="A47" s="326" t="str">
        <f>IF(A46&lt;'Project Information'!B$11,A46+1,"")</f>
        <v/>
      </c>
      <c r="B47" s="368">
        <v>0</v>
      </c>
      <c r="C47" s="368">
        <f t="shared" si="0"/>
        <v>0</v>
      </c>
      <c r="D47" s="325">
        <f t="shared" si="1"/>
        <v>0</v>
      </c>
      <c r="F47" s="356"/>
      <c r="G47" s="424">
        <v>119</v>
      </c>
      <c r="H47" s="425">
        <f>_xlfn.XLOOKUP($G47,'Parameter Values'!$B$249:$B$319,'Parameter Values'!$C$249:$C$319,"", 0)</f>
        <v>0.2</v>
      </c>
      <c r="I47" s="425">
        <f t="shared" si="2"/>
        <v>0.8</v>
      </c>
      <c r="J47" s="426">
        <f>_xlfn.XLOOKUP($G47,'Parameter Values'!$B$249:$B$319,'Parameter Values'!$D$249:$D$319,"",0)</f>
        <v>6</v>
      </c>
      <c r="K47" s="426" t="str">
        <f>_xlfn.XLOOKUP($G47,'Parameter Values'!$B$249:$B$319,'Parameter Values'!$E$249:$E$319,"",0)</f>
        <v>Non-Intersection related (Roadway Related)</v>
      </c>
      <c r="L47" s="426" t="str">
        <f>_xlfn.XLOOKUP($G47,'Parameter Values'!$B$249:$B$319,'Parameter Values'!$A$249:$A$319,"",0)</f>
        <v>Install Overhead Signs</v>
      </c>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s="353"/>
    </row>
    <row r="48" spans="1:54" x14ac:dyDescent="0.35">
      <c r="A48" s="326" t="str">
        <f>IF(A47&lt;'Project Information'!B$11,A47+1,"")</f>
        <v/>
      </c>
      <c r="B48" s="368">
        <v>0</v>
      </c>
      <c r="C48" s="368">
        <f t="shared" si="0"/>
        <v>0</v>
      </c>
      <c r="D48" s="325">
        <f t="shared" si="1"/>
        <v>0</v>
      </c>
      <c r="F48" s="356"/>
      <c r="G48" s="424">
        <v>534</v>
      </c>
      <c r="H48" s="425">
        <f>_xlfn.XLOOKUP($G48,'Parameter Values'!$B$249:$B$319,'Parameter Values'!$C$249:$C$319,"", 0)</f>
        <v>0.17</v>
      </c>
      <c r="I48" s="425">
        <f t="shared" si="2"/>
        <v>0.83</v>
      </c>
      <c r="J48" s="426">
        <f>_xlfn.XLOOKUP($G48,'Parameter Values'!$B$249:$B$319,'Parameter Values'!$D$249:$D$319,"",0)</f>
        <v>4</v>
      </c>
      <c r="K48" s="426" t="str">
        <f>_xlfn.XLOOKUP($G48,'Parameter Values'!$B$249:$B$319,'Parameter Values'!$E$249:$E$319,"",0)</f>
        <v>Non-Intersection related (Roadway Related)</v>
      </c>
      <c r="L48" s="426" t="str">
        <f>_xlfn.XLOOKUP($G48,'Parameter Values'!$B$249:$B$319,'Parameter Values'!$A$249:$A$319,"",0)</f>
        <v xml:space="preserve">Raised Edge line Rumble Strips </v>
      </c>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s="353"/>
    </row>
    <row r="49" spans="1:54" x14ac:dyDescent="0.35">
      <c r="A49" s="326" t="str">
        <f>IF(A48&lt;'Project Information'!B$11,A48+1,"")</f>
        <v/>
      </c>
      <c r="B49" s="368">
        <v>0</v>
      </c>
      <c r="C49" s="368">
        <f t="shared" si="0"/>
        <v>0</v>
      </c>
      <c r="D49" s="325">
        <f t="shared" si="1"/>
        <v>0</v>
      </c>
      <c r="F49" s="356"/>
      <c r="G49" s="424"/>
      <c r="H49" s="425" t="str">
        <f>_xlfn.XLOOKUP($G49,'Parameter Values'!$B$249:$B$319,'Parameter Values'!$C$249:$C$319,"", 0)</f>
        <v/>
      </c>
      <c r="I49" s="425" t="str">
        <f t="shared" si="2"/>
        <v/>
      </c>
      <c r="J49" s="426" t="str">
        <f>_xlfn.XLOOKUP($G49,'Parameter Values'!$B$249:$B$319,'Parameter Values'!$D$249:$D$319,"",0)</f>
        <v/>
      </c>
      <c r="K49" s="426" t="str">
        <f>_xlfn.XLOOKUP($G49,'Parameter Values'!$B$249:$B$319,'Parameter Values'!$E$249:$E$319,"",0)</f>
        <v/>
      </c>
      <c r="L49" s="426" t="str">
        <f>_xlfn.XLOOKUP($G49,'Parameter Values'!$B$249:$B$319,'Parameter Values'!$A$249:$A$319,"",0)</f>
        <v/>
      </c>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s="353"/>
    </row>
    <row r="50" spans="1:54" x14ac:dyDescent="0.35">
      <c r="A50" s="326" t="str">
        <f>IF(A49&lt;'Project Information'!B$11,A49+1,"")</f>
        <v/>
      </c>
      <c r="B50" s="368">
        <v>0</v>
      </c>
      <c r="C50" s="368">
        <f t="shared" si="0"/>
        <v>0</v>
      </c>
      <c r="D50" s="325">
        <f t="shared" si="1"/>
        <v>0</v>
      </c>
      <c r="F50" s="356"/>
      <c r="G50" s="372"/>
      <c r="H50" s="425" t="str">
        <f>_xlfn.XLOOKUP($G50,'Parameter Values'!$B$249:$B$319,'Parameter Values'!$C$249:$C$319,"", 0)</f>
        <v/>
      </c>
      <c r="I50" s="425" t="str">
        <f t="shared" si="2"/>
        <v/>
      </c>
      <c r="J50" s="426" t="str">
        <f>_xlfn.XLOOKUP($G50,'Parameter Values'!$B$249:$B$319,'Parameter Values'!$D$249:$D$319,"",0)</f>
        <v/>
      </c>
      <c r="K50" s="426" t="str">
        <f>_xlfn.XLOOKUP($G50,'Parameter Values'!$B$249:$B$319,'Parameter Values'!$E$249:$E$319,"",0)</f>
        <v/>
      </c>
      <c r="L50" s="426" t="str">
        <f>_xlfn.XLOOKUP($G50,'Parameter Values'!$B$249:$B$319,'Parameter Values'!$A$249:$A$319,"",0)</f>
        <v/>
      </c>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s="353"/>
    </row>
    <row r="51" spans="1:54" x14ac:dyDescent="0.35">
      <c r="A51" s="326" t="str">
        <f>IF(A50&lt;'Project Information'!B$11,A50+1,"")</f>
        <v/>
      </c>
      <c r="B51" s="368">
        <v>0</v>
      </c>
      <c r="C51" s="368">
        <f t="shared" si="0"/>
        <v>0</v>
      </c>
      <c r="D51" s="396">
        <f t="shared" si="1"/>
        <v>0</v>
      </c>
      <c r="F51" s="356"/>
      <c r="G51" s="372"/>
      <c r="H51" s="425" t="str">
        <f>_xlfn.XLOOKUP($G51,'Parameter Values'!$B$249:$B$319,'Parameter Values'!$C$249:$C$319,"", 0)</f>
        <v/>
      </c>
      <c r="I51" s="425" t="str">
        <f t="shared" si="2"/>
        <v/>
      </c>
      <c r="J51" s="426" t="str">
        <f>_xlfn.XLOOKUP($G51,'Parameter Values'!$B$249:$B$319,'Parameter Values'!$D$249:$D$319,"",0)</f>
        <v/>
      </c>
      <c r="K51" s="426" t="str">
        <f>_xlfn.XLOOKUP($G51,'Parameter Values'!$B$249:$B$319,'Parameter Values'!$E$249:$E$319,"",0)</f>
        <v/>
      </c>
      <c r="L51" s="426" t="str">
        <f>_xlfn.XLOOKUP($G51,'Parameter Values'!$B$249:$B$319,'Parameter Values'!$A$249:$A$319,"",0)</f>
        <v/>
      </c>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s="353"/>
    </row>
    <row r="52" spans="1:54" ht="14" customHeight="1" x14ac:dyDescent="0.35">
      <c r="A52" s="427" t="s">
        <v>252</v>
      </c>
      <c r="B52" s="395">
        <f>SUM(B22:B51)</f>
        <v>0</v>
      </c>
      <c r="C52" s="395">
        <f>SUM(C22:C51)</f>
        <v>-387888711.04385304</v>
      </c>
      <c r="D52" s="395">
        <f>SUM(D22:D51)</f>
        <v>387888711.04385304</v>
      </c>
      <c r="F52" s="356"/>
      <c r="G52" s="372"/>
      <c r="H52" s="425" t="str">
        <f>_xlfn.XLOOKUP($G52,'Parameter Values'!$B$249:$B$319,'Parameter Values'!$C$249:$C$319,"", 0)</f>
        <v/>
      </c>
      <c r="I52" s="425" t="str">
        <f t="shared" si="2"/>
        <v/>
      </c>
      <c r="J52" s="426" t="str">
        <f>_xlfn.XLOOKUP($G52,'Parameter Values'!$B$249:$B$319,'Parameter Values'!$D$249:$D$319,"",0)</f>
        <v/>
      </c>
      <c r="K52" s="426" t="str">
        <f>_xlfn.XLOOKUP($G52,'Parameter Values'!$B$249:$B$319,'Parameter Values'!$E$249:$E$319,"",0)</f>
        <v/>
      </c>
      <c r="L52" s="426" t="str">
        <f>_xlfn.XLOOKUP($G52,'Parameter Values'!$B$249:$B$319,'Parameter Values'!$A$249:$A$319,"",0)</f>
        <v/>
      </c>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s="353"/>
    </row>
    <row r="53" spans="1:54" x14ac:dyDescent="0.35">
      <c r="A53" s="427" t="s">
        <v>184</v>
      </c>
      <c r="B53" s="399">
        <f>NPV(0.031,B22:B51)/(1.02^($A$22-Base_Year-1))</f>
        <v>0</v>
      </c>
      <c r="C53" s="399">
        <f>NPV(0.031,C22:C51)/(1.031^($A$22-Base_Year-1))</f>
        <v>-232811177.24895644</v>
      </c>
      <c r="D53" s="399">
        <f>NPV(0.031,D22:D51)/(1.031^($A$22-Base_Year-1))</f>
        <v>232811177.24895644</v>
      </c>
      <c r="F53" s="356"/>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s="353"/>
    </row>
    <row r="54" spans="1:54" x14ac:dyDescent="0.35">
      <c r="B54" s="381"/>
      <c r="C54" s="381"/>
      <c r="D54" s="340"/>
      <c r="F54" s="356"/>
      <c r="G54" s="420" t="s">
        <v>250</v>
      </c>
      <c r="H54" s="421" t="s">
        <v>253</v>
      </c>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s="353"/>
    </row>
    <row r="55" spans="1:54" ht="16.5" x14ac:dyDescent="0.45">
      <c r="B55" s="381"/>
      <c r="C55" s="381"/>
      <c r="D55" s="340"/>
      <c r="F55" s="356"/>
      <c r="G55" s="428" t="s">
        <v>254</v>
      </c>
      <c r="H55" s="425" cm="1">
        <f t="array" ref="H55">IF(ISBLANK($G$36),0,1-PRODUCT(_xlfn._xlws.FILTER($I$36:$I$52,$K$36:$K$52=G55,1)))</f>
        <v>0.998600946496768</v>
      </c>
      <c r="I55" t="s">
        <v>255</v>
      </c>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s="353"/>
    </row>
    <row r="56" spans="1:54" ht="21" customHeight="1" x14ac:dyDescent="0.35">
      <c r="B56" s="381"/>
      <c r="C56" s="381"/>
      <c r="D56" s="340"/>
      <c r="F56" s="356"/>
      <c r="G56" s="428" t="s">
        <v>62</v>
      </c>
      <c r="H56" s="425" cm="1">
        <f t="array" ref="H56">IF(ISBLANK($G$36),0,1-PRODUCT(_xlfn._xlws.FILTER($I$36:$I$52,$K$36:$K$52=G56,1)))</f>
        <v>0</v>
      </c>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s="353"/>
    </row>
    <row r="57" spans="1:54" ht="20.5" customHeight="1" x14ac:dyDescent="0.35">
      <c r="B57" s="381"/>
      <c r="C57" s="381"/>
      <c r="D57" s="340"/>
      <c r="F57" s="356"/>
      <c r="G57" s="429" t="s">
        <v>256</v>
      </c>
      <c r="H57" s="425" cm="1">
        <f t="array" ref="H57">IF(ISBLANK($G$36),0,1-PRODUCT(_xlfn._xlws.FILTER($I$36:$I$52,$K$36:$K$52=G57,1)))</f>
        <v>0</v>
      </c>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s="353"/>
    </row>
    <row r="58" spans="1:54" ht="19.25" customHeight="1" x14ac:dyDescent="0.35">
      <c r="B58" s="381"/>
      <c r="C58" s="381"/>
      <c r="D58" s="340"/>
      <c r="F58" s="356"/>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s="353"/>
    </row>
    <row r="59" spans="1:54" ht="58" x14ac:dyDescent="0.35">
      <c r="B59" s="381"/>
      <c r="C59" s="381"/>
      <c r="D59" s="340"/>
      <c r="F59" s="356"/>
      <c r="G59" s="430" t="s">
        <v>257</v>
      </c>
      <c r="H59" s="421" t="s">
        <v>258</v>
      </c>
      <c r="I59" s="421" t="s">
        <v>259</v>
      </c>
      <c r="J59" s="431" t="s">
        <v>260</v>
      </c>
      <c r="K59" s="431" t="s">
        <v>261</v>
      </c>
      <c r="L59" s="431" t="s">
        <v>262</v>
      </c>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s="353"/>
    </row>
    <row r="60" spans="1:54" ht="89.5" customHeight="1" x14ac:dyDescent="0.35">
      <c r="B60" s="381"/>
      <c r="C60" s="381"/>
      <c r="D60" s="340"/>
      <c r="F60" s="356"/>
      <c r="G60" s="432" t="str">
        <f>$A$8</f>
        <v>O - No Injury</v>
      </c>
      <c r="H60" s="372">
        <f>_xlfn.XLOOKUP(Project_ID, Output!$A:$A, Output!$O:$O)</f>
        <v>1104</v>
      </c>
      <c r="I60" s="433">
        <f>IFERROR((H60*100*10^6)/(5*365*No_Build_Project_Length*Base_Year_AADT), 0)</f>
        <v>215.18522675062866</v>
      </c>
      <c r="J60" s="345">
        <f>(I60*No_Build_Start_Annual_VMT)/(100*10^6)</f>
        <v>274.31762586786436</v>
      </c>
      <c r="K60" s="345">
        <f>J60*H$55</f>
        <v>273.93384083239562</v>
      </c>
      <c r="L60" s="344">
        <f t="shared" ref="L60:L64" si="3">K60*VLOOKUP(G60,$A$8:$B$18,2, FALSE)</f>
        <v>1369669.2041619781</v>
      </c>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s="353"/>
    </row>
    <row r="61" spans="1:54" x14ac:dyDescent="0.35">
      <c r="B61" s="381"/>
      <c r="C61" s="381"/>
      <c r="D61" s="340"/>
      <c r="F61" s="356"/>
      <c r="G61" s="432" t="str">
        <f>$A$9</f>
        <v>C - Possible Injury</v>
      </c>
      <c r="H61" s="372">
        <f>_xlfn.XLOOKUP(Project_ID, Output!$A:$A,  Output!$P:$P)</f>
        <v>88</v>
      </c>
      <c r="I61" s="433">
        <f>IFERROR((H61*100*10^6)/(5*365*No_Build_Project_Length*Base_Year_AADT), 0)</f>
        <v>17.152445610557358</v>
      </c>
      <c r="J61" s="345">
        <f>(I61*No_Build_Start_Annual_VMT)/(100*10^6)</f>
        <v>21.865897714105131</v>
      </c>
      <c r="K61" s="345">
        <f t="shared" ref="K61:K64" si="4">J61*H$55</f>
        <v>21.835306153306899</v>
      </c>
      <c r="L61" s="344">
        <f t="shared" si="3"/>
        <v>2439003.6973243807</v>
      </c>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s="353"/>
    </row>
    <row r="62" spans="1:54" x14ac:dyDescent="0.35">
      <c r="F62" s="356"/>
      <c r="G62" s="432" t="str">
        <f>$A$10</f>
        <v>B - Non-incapacitating</v>
      </c>
      <c r="H62" s="372">
        <f>_xlfn.XLOOKUP(Project_ID, Output!$A:$A,  Output!$Q:$Q)</f>
        <v>45</v>
      </c>
      <c r="I62" s="433">
        <f>IFERROR((H62*100*10^6)/(5*365*No_Build_Project_Length*Base_Year_AADT), 0)</f>
        <v>8.7711369599441031</v>
      </c>
      <c r="J62" s="345">
        <f>(I62*No_Build_Start_Annual_VMT)/(100*10^6)</f>
        <v>11.181424967440121</v>
      </c>
      <c r="K62" s="345">
        <f t="shared" si="4"/>
        <v>11.165781555668298</v>
      </c>
      <c r="L62" s="344">
        <f t="shared" si="3"/>
        <v>2610559.7277152482</v>
      </c>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s="353"/>
    </row>
    <row r="63" spans="1:54" ht="16.25" customHeight="1" x14ac:dyDescent="0.35">
      <c r="F63" s="356"/>
      <c r="G63" s="432" t="str">
        <f>$A$11</f>
        <v>A - Incapacitating</v>
      </c>
      <c r="H63" s="372">
        <f>_xlfn.XLOOKUP(Project_ID, Output!$A:$A,  Output!$R:$R)</f>
        <v>7</v>
      </c>
      <c r="I63" s="433">
        <f>IFERROR((H63*100*10^6)/(5*365*No_Build_Project_Length*Base_Year_AADT), 0)</f>
        <v>1.3643990826579717</v>
      </c>
      <c r="J63" s="345">
        <f>(I63*No_Build_Start_Annual_VMT)/(100*10^6)</f>
        <v>1.739332772712908</v>
      </c>
      <c r="K63" s="345">
        <f t="shared" si="4"/>
        <v>1.7368993531039578</v>
      </c>
      <c r="L63" s="344">
        <f t="shared" si="3"/>
        <v>2063783.8113581226</v>
      </c>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s="353"/>
    </row>
    <row r="64" spans="1:54" x14ac:dyDescent="0.35">
      <c r="F64" s="356"/>
      <c r="G64" s="432" t="str">
        <f>$A$12</f>
        <v>K - Killed</v>
      </c>
      <c r="H64" s="372">
        <f>_xlfn.XLOOKUP(Project_ID, Output!$A:$A,  Output!$S:$S)</f>
        <v>3</v>
      </c>
      <c r="I64" s="433">
        <f>IFERROR((H64*100*10^6)/(5*365*No_Build_Project_Length*Base_Year_AADT), 0)</f>
        <v>0.5847424639962735</v>
      </c>
      <c r="J64" s="345">
        <f>(I64*No_Build_Start_Annual_VMT)/(100*10^6)</f>
        <v>0.74542833116267471</v>
      </c>
      <c r="K64" s="345">
        <f t="shared" si="4"/>
        <v>0.74438543704455318</v>
      </c>
      <c r="L64" s="344">
        <f t="shared" si="3"/>
        <v>9304817.9630569145</v>
      </c>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s="353"/>
    </row>
    <row r="65" spans="6:54" ht="17" customHeight="1" x14ac:dyDescent="0.35">
      <c r="F65" s="356"/>
      <c r="G65" s="434" t="s">
        <v>263</v>
      </c>
      <c r="H65" s="435" t="s">
        <v>171</v>
      </c>
      <c r="I65" s="435" t="s">
        <v>171</v>
      </c>
      <c r="J65" s="436" t="s">
        <v>171</v>
      </c>
      <c r="K65" s="436" t="s">
        <v>171</v>
      </c>
      <c r="L65" s="344">
        <f>SUM(L60:L64)</f>
        <v>17787834.403616644</v>
      </c>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s="353"/>
    </row>
    <row r="66" spans="6:54" ht="58" x14ac:dyDescent="0.35">
      <c r="F66" s="356"/>
      <c r="G66" s="430" t="s">
        <v>264</v>
      </c>
      <c r="H66" s="421" t="s">
        <v>258</v>
      </c>
      <c r="I66" s="421" t="s">
        <v>259</v>
      </c>
      <c r="J66" s="431" t="s">
        <v>260</v>
      </c>
      <c r="K66" s="431" t="s">
        <v>261</v>
      </c>
      <c r="L66" s="431" t="s">
        <v>265</v>
      </c>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s="353"/>
    </row>
    <row r="67" spans="6:54" x14ac:dyDescent="0.35">
      <c r="F67" s="356"/>
      <c r="G67" s="432" t="str">
        <f>$A$8</f>
        <v>O - No Injury</v>
      </c>
      <c r="H67" s="372">
        <f>_xlfn.XLOOKUP(Project_ID, Output!$A:$A,  Output!$T:$T)</f>
        <v>515</v>
      </c>
      <c r="I67" s="433">
        <f>IFERROR((H67*100*10^6)/(5*365*No_Build_Project_Length*Base_Year_AADT), 0)</f>
        <v>100.38078965269362</v>
      </c>
      <c r="J67" s="345">
        <f>(I67*No_Build_Start_Annual_VMT)/(100*10^6)</f>
        <v>127.96519684959252</v>
      </c>
      <c r="K67" s="345">
        <f>J67*H$56</f>
        <v>0</v>
      </c>
      <c r="L67" s="344">
        <f t="shared" ref="L67:L71" si="5">K67*VLOOKUP(G67,$A$8:$B$18,2, FALSE)</f>
        <v>0</v>
      </c>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s="353"/>
    </row>
    <row r="68" spans="6:54" x14ac:dyDescent="0.35">
      <c r="F68" s="356"/>
      <c r="G68" s="432" t="str">
        <f>$A$9</f>
        <v>C - Possible Injury</v>
      </c>
      <c r="H68" s="372">
        <f>_xlfn.XLOOKUP(Project_ID, Output!$A:$A, Output!$U:$U)</f>
        <v>20</v>
      </c>
      <c r="I68" s="433">
        <f>IFERROR((H68*100*10^6)/(5*365*No_Build_Project_Length*Base_Year_AADT), 0)</f>
        <v>3.8982830933084904</v>
      </c>
      <c r="J68" s="345">
        <f>(I68*No_Build_Start_Annual_VMT)/(100*10^6)</f>
        <v>4.969522207751166</v>
      </c>
      <c r="K68" s="345">
        <f t="shared" ref="K68:K71" si="6">J68*H$56</f>
        <v>0</v>
      </c>
      <c r="L68" s="344">
        <f t="shared" si="5"/>
        <v>0</v>
      </c>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s="353"/>
    </row>
    <row r="69" spans="6:54" x14ac:dyDescent="0.35">
      <c r="F69" s="356"/>
      <c r="G69" s="432" t="str">
        <f>$A$10</f>
        <v>B - Non-incapacitating</v>
      </c>
      <c r="H69" s="372">
        <f>_xlfn.XLOOKUP(Project_ID, Output!$A:$A,  Output!$V:$V)</f>
        <v>4</v>
      </c>
      <c r="I69" s="433">
        <f>IFERROR((H69*100*10^6)/(5*365*No_Build_Project_Length*Base_Year_AADT), 0)</f>
        <v>0.77965661866169811</v>
      </c>
      <c r="J69" s="345">
        <f>(I69*No_Build_Start_Annual_VMT)/(100*10^6)</f>
        <v>0.99390444155023316</v>
      </c>
      <c r="K69" s="345">
        <f t="shared" si="6"/>
        <v>0</v>
      </c>
      <c r="L69" s="344">
        <f t="shared" si="5"/>
        <v>0</v>
      </c>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s="353"/>
    </row>
    <row r="70" spans="6:54" ht="14.5" customHeight="1" x14ac:dyDescent="0.35">
      <c r="F70" s="356"/>
      <c r="G70" s="432" t="str">
        <f>$A$11</f>
        <v>A - Incapacitating</v>
      </c>
      <c r="H70" s="372">
        <f>_xlfn.XLOOKUP(Project_ID, Output!$A:$A,  Output!$W:$W)</f>
        <v>3</v>
      </c>
      <c r="I70" s="433">
        <f>IFERROR((H70*100*10^6)/(5*365*No_Build_Project_Length*Base_Year_AADT), 0)</f>
        <v>0.5847424639962735</v>
      </c>
      <c r="J70" s="345">
        <f>(I70*No_Build_Start_Annual_VMT)/(100*10^6)</f>
        <v>0.74542833116267471</v>
      </c>
      <c r="K70" s="343">
        <f t="shared" si="6"/>
        <v>0</v>
      </c>
      <c r="L70" s="344">
        <f t="shared" si="5"/>
        <v>0</v>
      </c>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s="353"/>
    </row>
    <row r="71" spans="6:54" x14ac:dyDescent="0.35">
      <c r="F71" s="356"/>
      <c r="G71" s="432" t="str">
        <f>$A$12</f>
        <v>K - Killed</v>
      </c>
      <c r="H71" s="372">
        <f>_xlfn.XLOOKUP(Project_ID, Output!$A:$A,  Output!$X:$X)</f>
        <v>0</v>
      </c>
      <c r="I71" s="433">
        <f>IFERROR((H71*100*10^6)/(5*365*No_Build_Project_Length*Base_Year_AADT), 0)</f>
        <v>0</v>
      </c>
      <c r="J71" s="345">
        <f>(I71*No_Build_Start_Annual_VMT)/(100*10^6)</f>
        <v>0</v>
      </c>
      <c r="K71" s="343">
        <f t="shared" si="6"/>
        <v>0</v>
      </c>
      <c r="L71" s="344">
        <f t="shared" si="5"/>
        <v>0</v>
      </c>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s="353"/>
    </row>
    <row r="72" spans="6:54" ht="14.5" customHeight="1" x14ac:dyDescent="0.35">
      <c r="F72" s="356"/>
      <c r="G72" s="434" t="s">
        <v>263</v>
      </c>
      <c r="H72" s="436" t="s">
        <v>171</v>
      </c>
      <c r="I72" s="436" t="s">
        <v>171</v>
      </c>
      <c r="J72" s="436" t="s">
        <v>171</v>
      </c>
      <c r="K72" s="436" t="s">
        <v>171</v>
      </c>
      <c r="L72" s="344">
        <f>SUM(L67:L71)</f>
        <v>0</v>
      </c>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s="353"/>
    </row>
    <row r="73" spans="6:54" ht="58" x14ac:dyDescent="0.35">
      <c r="F73" s="356"/>
      <c r="G73" s="430" t="s">
        <v>266</v>
      </c>
      <c r="H73" s="437" t="s">
        <v>258</v>
      </c>
      <c r="I73" s="421" t="s">
        <v>267</v>
      </c>
      <c r="J73" s="431" t="s">
        <v>260</v>
      </c>
      <c r="K73" s="431" t="s">
        <v>261</v>
      </c>
      <c r="L73" s="431" t="s">
        <v>265</v>
      </c>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s="353"/>
    </row>
    <row r="74" spans="6:54" x14ac:dyDescent="0.35">
      <c r="F74" s="356"/>
      <c r="G74" s="432" t="str">
        <f>$A$8</f>
        <v>O - No Injury</v>
      </c>
      <c r="H74" s="372">
        <f>_xlfn.XLOOKUP(Project_ID, Output!$A:$A,  Output!$Y:$Y)</f>
        <v>5</v>
      </c>
      <c r="I74" s="433">
        <f>IFERROR((H74*10^6)/(5*365*($H$30)), 0)</f>
        <v>40.290088638195002</v>
      </c>
      <c r="J74" s="345">
        <f>(I74*No_Build_Start_Daily_Bike_Ped_Trips*365)/10^6</f>
        <v>1</v>
      </c>
      <c r="K74" s="345">
        <f>J74 - ((I74*Build_Start_Daily_Bike_Ped_Trips*365)/10^6)*(1 - H$57)</f>
        <v>0</v>
      </c>
      <c r="L74" s="344">
        <f t="shared" ref="L74:L78" si="7">K74*VLOOKUP(G74,$A$8:$B$18,2, FALSE)</f>
        <v>0</v>
      </c>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s="353"/>
    </row>
    <row r="75" spans="6:54" x14ac:dyDescent="0.35">
      <c r="F75" s="356"/>
      <c r="G75" s="432" t="str">
        <f>$A$9</f>
        <v>C - Possible Injury</v>
      </c>
      <c r="H75" s="372">
        <f>_xlfn.XLOOKUP(Project_ID, Output!$A:$A, Output!$Z:$Z)</f>
        <v>1</v>
      </c>
      <c r="I75" s="433">
        <f>IFERROR((H75*10^6)/(5*365*($H$30)), 0)</f>
        <v>8.058017727639001</v>
      </c>
      <c r="J75" s="345">
        <f>(I75*No_Build_Start_Daily_Bike_Ped_Trips*365)/10^6</f>
        <v>0.2</v>
      </c>
      <c r="K75" s="345">
        <f>J75 - ((I75*Build_Start_Daily_Bike_Ped_Trips*365)/10^6)*(1 - H$57)</f>
        <v>0</v>
      </c>
      <c r="L75" s="344">
        <f t="shared" si="7"/>
        <v>0</v>
      </c>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s="353"/>
    </row>
    <row r="76" spans="6:54" x14ac:dyDescent="0.35">
      <c r="F76" s="356"/>
      <c r="G76" s="432" t="str">
        <f>$A$10</f>
        <v>B - Non-incapacitating</v>
      </c>
      <c r="H76" s="372">
        <f>_xlfn.XLOOKUP(Project_ID, Output!$A:$A, Output!$AA:$AA)</f>
        <v>0</v>
      </c>
      <c r="I76" s="433">
        <f>IFERROR((H76*10^6)/(5*365*($H$30)), 0)</f>
        <v>0</v>
      </c>
      <c r="J76" s="345">
        <f>(I76*No_Build_Start_Daily_Bike_Ped_Trips*365)/10^6</f>
        <v>0</v>
      </c>
      <c r="K76" s="345">
        <f>J76 - ((I76*Build_Start_Daily_Bike_Ped_Trips*365)/10^6)*(1 - H$57)</f>
        <v>0</v>
      </c>
      <c r="L76" s="344">
        <f t="shared" si="7"/>
        <v>0</v>
      </c>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s="353"/>
    </row>
    <row r="77" spans="6:54" x14ac:dyDescent="0.35">
      <c r="F77" s="356"/>
      <c r="G77" s="432" t="str">
        <f>$A$11</f>
        <v>A - Incapacitating</v>
      </c>
      <c r="H77" s="372">
        <f>_xlfn.XLOOKUP(Project_ID, Output!$A:$A, Output!$AB:$AB)</f>
        <v>0</v>
      </c>
      <c r="I77" s="433">
        <f>IFERROR((H77*10^6)/(5*365*($H$30)), 0)</f>
        <v>0</v>
      </c>
      <c r="J77" s="345">
        <f>(I77*No_Build_Start_Daily_Bike_Ped_Trips*365)/10^6</f>
        <v>0</v>
      </c>
      <c r="K77" s="345">
        <f>J77 - ((I77*Build_Start_Daily_Bike_Ped_Trips*365)/10^6)*(1 - H$57)</f>
        <v>0</v>
      </c>
      <c r="L77" s="344">
        <f t="shared" si="7"/>
        <v>0</v>
      </c>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s="353"/>
    </row>
    <row r="78" spans="6:54" x14ac:dyDescent="0.35">
      <c r="F78" s="356"/>
      <c r="G78" s="438" t="str">
        <f>$A$12</f>
        <v>K - Killed</v>
      </c>
      <c r="H78" s="372">
        <f>_xlfn.XLOOKUP(Project_ID, Output!$A:$A,  Output!$AC:$AC)</f>
        <v>1</v>
      </c>
      <c r="I78" s="433">
        <f>IFERROR((H78*10^6)/(5*365*($H$30)), 0)</f>
        <v>8.058017727639001</v>
      </c>
      <c r="J78" s="345">
        <f>(I78*No_Build_Start_Daily_Bike_Ped_Trips*365)/10^6</f>
        <v>0.2</v>
      </c>
      <c r="K78" s="345">
        <f>J78 - ((I78*Build_Start_Daily_Bike_Ped_Trips*365)/10^6)*(1 - H$57)</f>
        <v>0</v>
      </c>
      <c r="L78" s="344">
        <f t="shared" si="7"/>
        <v>0</v>
      </c>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s="353"/>
    </row>
    <row r="79" spans="6:54" x14ac:dyDescent="0.35">
      <c r="F79" s="356"/>
      <c r="G79" s="439" t="s">
        <v>263</v>
      </c>
      <c r="H79" s="436" t="s">
        <v>171</v>
      </c>
      <c r="I79" s="436" t="s">
        <v>171</v>
      </c>
      <c r="J79" s="436" t="s">
        <v>171</v>
      </c>
      <c r="K79" s="436" t="s">
        <v>171</v>
      </c>
      <c r="L79" s="344">
        <f>SUM(L74:L78)</f>
        <v>0</v>
      </c>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s="353"/>
    </row>
    <row r="80" spans="6:54" ht="14.5" customHeight="1" x14ac:dyDescent="0.35">
      <c r="F80" s="356"/>
      <c r="G80" s="440" t="s">
        <v>252</v>
      </c>
      <c r="H80" s="436" t="s">
        <v>171</v>
      </c>
      <c r="I80" s="436" t="s">
        <v>171</v>
      </c>
      <c r="J80" s="436" t="s">
        <v>171</v>
      </c>
      <c r="K80" s="436" t="s">
        <v>171</v>
      </c>
      <c r="L80" s="441">
        <f>L65+L72+L79</f>
        <v>17787834.403616644</v>
      </c>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s="353"/>
    </row>
    <row r="81" spans="6:54" x14ac:dyDescent="0.35">
      <c r="F81" s="356"/>
      <c r="G81" s="352" t="s">
        <v>268</v>
      </c>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s="353"/>
    </row>
    <row r="82" spans="6:54" x14ac:dyDescent="0.35">
      <c r="F82" s="356"/>
      <c r="G82" s="352"/>
      <c r="H82"/>
      <c r="I82"/>
      <c r="J82"/>
      <c r="K82"/>
      <c r="L82"/>
      <c r="M82" s="44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s="353"/>
    </row>
    <row r="83" spans="6:54" ht="29" x14ac:dyDescent="0.35">
      <c r="F83" s="356"/>
      <c r="G83" s="334" t="s">
        <v>173</v>
      </c>
      <c r="H83" s="443" t="s">
        <v>269</v>
      </c>
      <c r="I83" s="443" t="s">
        <v>270</v>
      </c>
      <c r="J83" s="444" t="s">
        <v>271</v>
      </c>
      <c r="K83" s="411" t="s">
        <v>235</v>
      </c>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s="353"/>
    </row>
    <row r="84" spans="6:54" x14ac:dyDescent="0.35">
      <c r="F84" s="356"/>
      <c r="G84" s="10">
        <f>'Project Information'!$B$9</f>
        <v>2030</v>
      </c>
      <c r="H84" s="368" cm="1">
        <f t="array" ref="H84">IFERROR(SUMPRODUCT(J$60:J$64,$B$8:$B$12)*(1-PRODUCT(_xlfn._xlws.FILTER(I$36:I$52,(K$36:K$52=G$55)*(J$36:J$52&gt;(G84-Opening_Year))))) * (1 + Growth_Rate) ^(G84-Opening_Year), 0)</f>
        <v>17787834.403616644</v>
      </c>
      <c r="I84" s="368" cm="1">
        <f t="array" ref="I84">IFERROR(SUMPRODUCT(J$67:J$71,$B$8:$B$12)*(1-PRODUCT(_xlfn._xlws.FILTER(I$36:I$52,(K$36:K$52=G$56)*(J$36:J$52&gt;(G84-Opening_Year))))) * (1 + Growth_Rate) ^(G84-Opening_Year), 0)</f>
        <v>0</v>
      </c>
      <c r="J84" s="368" cm="1">
        <f t="array" ref="J84">IFERROR((SUMPRODUCT(J$74:J$78,$B$8:$B$12)- SUMPRODUCT(I$74:I$78, $B$8:$B$12) * (Build_Start_Daily_Bike_Ped_Trips * 365/10^6) *(PRODUCT(_xlfn._xlws.FILTER(I$36:I$52,(K$36:K$52=G$57)*(J$36:J$52&gt;(G84-Opening_Year))))))* (1 + BikePed_GR) ^(G84-Opening_Year), 0)</f>
        <v>0</v>
      </c>
      <c r="K84" s="389">
        <f>SUM(H84:J84)</f>
        <v>17787834.403616644</v>
      </c>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s="353"/>
    </row>
    <row r="85" spans="6:54" x14ac:dyDescent="0.35">
      <c r="F85" s="356"/>
      <c r="G85" s="326">
        <f>IF(G84&lt;'Project Information'!$B$11,G84+1,"")</f>
        <v>2031</v>
      </c>
      <c r="H85" s="368" cm="1">
        <f t="array" ref="H85">IFERROR(SUMPRODUCT(J$60:J$64,$B$8:$B$12)*(1-PRODUCT(_xlfn._xlws.FILTER(I$36:I$52,(K$36:K$52=G$55)*(J$36:J$52&gt;(G85-Opening_Year))))) * (1 + Growth_Rate) ^(G85-Opening_Year), 0)</f>
        <v>18276999.849716105</v>
      </c>
      <c r="I85" s="368" cm="1">
        <f t="array" ref="I85">IFERROR(SUMPRODUCT(J$67:J$71,$B$8:$B$12)*(1-PRODUCT(_xlfn._xlws.FILTER(I$36:I$52,(K$36:K$52=G$56)*(J$36:J$52&gt;(G85-Opening_Year))))) * (1 + Growth_Rate) ^(G85-Opening_Year), 0)</f>
        <v>0</v>
      </c>
      <c r="J85" s="368" cm="1">
        <f t="array" ref="J85">IFERROR((SUMPRODUCT(J$74:J$78,$B$8:$B$12)- SUMPRODUCT(I$74:I$78, $B$8:$B$12) * (Build_Start_Daily_Bike_Ped_Trips * 365/10^6) *(PRODUCT(_xlfn._xlws.FILTER(I$36:I$52,(K$36:K$52=G$57)*(J$36:J$52&gt;(G85-Opening_Year))))))* (1 + BikePed_GR) ^(G85-Opening_Year), 0)</f>
        <v>0</v>
      </c>
      <c r="K85" s="389">
        <f t="shared" ref="K85:K113" si="8">SUM(H85:J85)</f>
        <v>18276999.849716105</v>
      </c>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s="353"/>
    </row>
    <row r="86" spans="6:54" x14ac:dyDescent="0.35">
      <c r="F86" s="356"/>
      <c r="G86" s="326">
        <f>IF(G85&lt;'Project Information'!$B$11,G85+1,"")</f>
        <v>2032</v>
      </c>
      <c r="H86" s="368" cm="1">
        <f t="array" ref="H86">IFERROR(SUMPRODUCT(J$60:J$64,$B$8:$B$12)*(1-PRODUCT(_xlfn._xlws.FILTER(I$36:I$52,(K$36:K$52=G$55)*(J$36:J$52&gt;(G86-Opening_Year))))) * (1 + Growth_Rate) ^(G86-Opening_Year), 0)</f>
        <v>18756097.35384487</v>
      </c>
      <c r="I86" s="368" cm="1">
        <f t="array" ref="I86">IFERROR(SUMPRODUCT(J$67:J$71,$B$8:$B$12)*(1-PRODUCT(_xlfn._xlws.FILTER(I$36:I$52,(K$36:K$52=G$56)*(J$36:J$52&gt;(G86-Opening_Year))))) * (1 + Growth_Rate) ^(G86-Opening_Year), 0)</f>
        <v>0</v>
      </c>
      <c r="J86" s="368" cm="1">
        <f t="array" ref="J86">IFERROR((SUMPRODUCT(J$74:J$78,$B$8:$B$12)- SUMPRODUCT(I$74:I$78, $B$8:$B$12) * (Build_Start_Daily_Bike_Ped_Trips * 365/10^6) *(PRODUCT(_xlfn._xlws.FILTER(I$36:I$52,(K$36:K$52=G$57)*(J$36:J$52&gt;(G86-Opening_Year))))))* (1 + BikePed_GR) ^(G86-Opening_Year), 0)</f>
        <v>0</v>
      </c>
      <c r="K86" s="389">
        <f t="shared" si="8"/>
        <v>18756097.35384487</v>
      </c>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s="353"/>
    </row>
    <row r="87" spans="6:54" x14ac:dyDescent="0.35">
      <c r="F87" s="356"/>
      <c r="G87" s="326">
        <f>IF(G86&lt;'Project Information'!$B$11,G86+1,"")</f>
        <v>2033</v>
      </c>
      <c r="H87" s="368" cm="1">
        <f t="array" ref="H87">IFERROR(SUMPRODUCT(J$60:J$64,$B$8:$B$12)*(1-PRODUCT(_xlfn._xlws.FILTER(I$36:I$52,(K$36:K$52=G$55)*(J$36:J$52&gt;(G87-Opening_Year))))) * (1 + Growth_Rate) ^(G87-Opening_Year), 0)</f>
        <v>19271890.031075604</v>
      </c>
      <c r="I87" s="368" cm="1">
        <f t="array" ref="I87">IFERROR(SUMPRODUCT(J$67:J$71,$B$8:$B$12)*(1-PRODUCT(_xlfn._xlws.FILTER(I$36:I$52,(K$36:K$52=G$56)*(J$36:J$52&gt;(G87-Opening_Year))))) * (1 + Growth_Rate) ^(G87-Opening_Year), 0)</f>
        <v>0</v>
      </c>
      <c r="J87" s="368" cm="1">
        <f t="array" ref="J87">IFERROR((SUMPRODUCT(J$74:J$78,$B$8:$B$12)- SUMPRODUCT(I$74:I$78, $B$8:$B$12) * (Build_Start_Daily_Bike_Ped_Trips * 365/10^6) *(PRODUCT(_xlfn._xlws.FILTER(I$36:I$52,(K$36:K$52=G$57)*(J$36:J$52&gt;(G87-Opening_Year))))))* (1 + BikePed_GR) ^(G87-Opening_Year), 0)</f>
        <v>0</v>
      </c>
      <c r="K87" s="389">
        <f t="shared" si="8"/>
        <v>19271890.031075604</v>
      </c>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s="353"/>
    </row>
    <row r="88" spans="6:54" x14ac:dyDescent="0.35">
      <c r="F88" s="356"/>
      <c r="G88" s="326">
        <f>IF(G87&lt;'Project Information'!$B$11,G87+1,"")</f>
        <v>2034</v>
      </c>
      <c r="H88" s="368" cm="1">
        <f t="array" ref="H88">IFERROR(SUMPRODUCT(J$60:J$64,$B$8:$B$12)*(1-PRODUCT(_xlfn._xlws.FILTER(I$36:I$52,(K$36:K$52=G$55)*(J$36:J$52&gt;(G88-Opening_Year))))) * (1 + Growth_Rate) ^(G88-Opening_Year), 0)</f>
        <v>19791091.699835982</v>
      </c>
      <c r="I88" s="368" cm="1">
        <f t="array" ref="I88">IFERROR(SUMPRODUCT(J$67:J$71,$B$8:$B$12)*(1-PRODUCT(_xlfn._xlws.FILTER(I$36:I$52,(K$36:K$52=G$56)*(J$36:J$52&gt;(G88-Opening_Year))))) * (1 + Growth_Rate) ^(G88-Opening_Year), 0)</f>
        <v>0</v>
      </c>
      <c r="J88" s="368" cm="1">
        <f t="array" ref="J88">IFERROR((SUMPRODUCT(J$74:J$78,$B$8:$B$12)- SUMPRODUCT(I$74:I$78, $B$8:$B$12) * (Build_Start_Daily_Bike_Ped_Trips * 365/10^6) *(PRODUCT(_xlfn._xlws.FILTER(I$36:I$52,(K$36:K$52=G$57)*(J$36:J$52&gt;(G88-Opening_Year))))))* (1 + BikePed_GR) ^(G88-Opening_Year), 0)</f>
        <v>0</v>
      </c>
      <c r="K88" s="389">
        <f t="shared" si="8"/>
        <v>19791091.699835982</v>
      </c>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s="353"/>
    </row>
    <row r="89" spans="6:54" x14ac:dyDescent="0.35">
      <c r="F89" s="356"/>
      <c r="G89" s="326">
        <f>IF(G88&lt;'Project Information'!$B$11,G88+1,"")</f>
        <v>2035</v>
      </c>
      <c r="H89" s="368" cm="1">
        <f t="array" ref="H89">IFERROR(SUMPRODUCT(J$60:J$64,$B$8:$B$12)*(1-PRODUCT(_xlfn._xlws.FILTER(I$36:I$52,(K$36:K$52=G$55)*(J$36:J$52&gt;(G89-Opening_Year))))) * (1 + Growth_Rate) ^(G89-Opening_Year), 0)</f>
        <v>20335346.721581474</v>
      </c>
      <c r="I89" s="368" cm="1">
        <f t="array" ref="I89">IFERROR(SUMPRODUCT(J$67:J$71,$B$8:$B$12)*(1-PRODUCT(_xlfn._xlws.FILTER(I$36:I$52,(K$36:K$52=G$56)*(J$36:J$52&gt;(G89-Opening_Year))))) * (1 + Growth_Rate) ^(G89-Opening_Year), 0)</f>
        <v>0</v>
      </c>
      <c r="J89" s="368" cm="1">
        <f t="array" ref="J89">IFERROR((SUMPRODUCT(J$74:J$78,$B$8:$B$12)- SUMPRODUCT(I$74:I$78, $B$8:$B$12) * (Build_Start_Daily_Bike_Ped_Trips * 365/10^6) *(PRODUCT(_xlfn._xlws.FILTER(I$36:I$52,(K$36:K$52=G$57)*(J$36:J$52&gt;(G89-Opening_Year))))))* (1 + BikePed_GR) ^(G89-Opening_Year), 0)</f>
        <v>0</v>
      </c>
      <c r="K89" s="389">
        <f t="shared" si="8"/>
        <v>20335346.721581474</v>
      </c>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s="353"/>
    </row>
    <row r="90" spans="6:54" x14ac:dyDescent="0.35">
      <c r="F90" s="356"/>
      <c r="G90" s="326">
        <f>IF(G89&lt;'Project Information'!$B$11,G89+1,"")</f>
        <v>2036</v>
      </c>
      <c r="H90" s="368" cm="1">
        <f t="array" ref="H90">IFERROR(SUMPRODUCT(J$60:J$64,$B$8:$B$12)*(1-PRODUCT(_xlfn._xlws.FILTER(I$36:I$52,(K$36:K$52=G$55)*(J$36:J$52&gt;(G90-Opening_Year))))) * (1 + Growth_Rate) ^(G90-Opening_Year), 0)</f>
        <v>20856927.256317109</v>
      </c>
      <c r="I90" s="368" cm="1">
        <f t="array" ref="I90">IFERROR(SUMPRODUCT(J$67:J$71,$B$8:$B$12)*(1-PRODUCT(_xlfn._xlws.FILTER(I$36:I$52,(K$36:K$52=G$56)*(J$36:J$52&gt;(G90-Opening_Year))))) * (1 + Growth_Rate) ^(G90-Opening_Year), 0)</f>
        <v>0</v>
      </c>
      <c r="J90" s="368" cm="1">
        <f t="array" ref="J90">IFERROR((SUMPRODUCT(J$74:J$78,$B$8:$B$12)- SUMPRODUCT(I$74:I$78, $B$8:$B$12) * (Build_Start_Daily_Bike_Ped_Trips * 365/10^6) *(PRODUCT(_xlfn._xlws.FILTER(I$36:I$52,(K$36:K$52=G$57)*(J$36:J$52&gt;(G90-Opening_Year))))))* (1 + BikePed_GR) ^(G90-Opening_Year), 0)</f>
        <v>0</v>
      </c>
      <c r="K90" s="389">
        <f t="shared" si="8"/>
        <v>20856927.256317109</v>
      </c>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s="353"/>
    </row>
    <row r="91" spans="6:54" x14ac:dyDescent="0.35">
      <c r="F91" s="356"/>
      <c r="G91" s="326">
        <f>IF(G90&lt;'Project Information'!$B$11,G90+1,"")</f>
        <v>2037</v>
      </c>
      <c r="H91" s="368" cm="1">
        <f t="array" ref="H91">IFERROR(SUMPRODUCT(J$60:J$64,$B$8:$B$12)*(1-PRODUCT(_xlfn._xlws.FILTER(I$36:I$52,(K$36:K$52=G$55)*(J$36:J$52&gt;(G91-Opening_Year))))) * (1 + Growth_Rate) ^(G91-Opening_Year), 0)</f>
        <v>21430492.755865827</v>
      </c>
      <c r="I91" s="368" cm="1">
        <f t="array" ref="I91">IFERROR(SUMPRODUCT(J$67:J$71,$B$8:$B$12)*(1-PRODUCT(_xlfn._xlws.FILTER(I$36:I$52,(K$36:K$52=G$56)*(J$36:J$52&gt;(G91-Opening_Year))))) * (1 + Growth_Rate) ^(G91-Opening_Year), 0)</f>
        <v>0</v>
      </c>
      <c r="J91" s="368" cm="1">
        <f t="array" ref="J91">IFERROR((SUMPRODUCT(J$74:J$78,$B$8:$B$12)- SUMPRODUCT(I$74:I$78, $B$8:$B$12) * (Build_Start_Daily_Bike_Ped_Trips * 365/10^6) *(PRODUCT(_xlfn._xlws.FILTER(I$36:I$52,(K$36:K$52=G$57)*(J$36:J$52&gt;(G91-Opening_Year))))))* (1 + BikePed_GR) ^(G91-Opening_Year), 0)</f>
        <v>0</v>
      </c>
      <c r="K91" s="389">
        <f t="shared" si="8"/>
        <v>21430492.755865827</v>
      </c>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s="353"/>
    </row>
    <row r="92" spans="6:54" x14ac:dyDescent="0.35">
      <c r="F92" s="356"/>
      <c r="G92" s="326">
        <f>IF(G91&lt;'Project Information'!$B$11,G91+1,"")</f>
        <v>2038</v>
      </c>
      <c r="H92" s="368" cm="1">
        <f t="array" ref="H92">IFERROR(SUMPRODUCT(J$60:J$64,$B$8:$B$12)*(1-PRODUCT(_xlfn._xlws.FILTER(I$36:I$52,(K$36:K$52=G$55)*(J$36:J$52&gt;(G92-Opening_Year))))) * (1 + Growth_Rate) ^(G92-Opening_Year), 0)</f>
        <v>22019831.30665214</v>
      </c>
      <c r="I92" s="368" cm="1">
        <f t="array" ref="I92">IFERROR(SUMPRODUCT(J$67:J$71,$B$8:$B$12)*(1-PRODUCT(_xlfn._xlws.FILTER(I$36:I$52,(K$36:K$52=G$56)*(J$36:J$52&gt;(G92-Opening_Year))))) * (1 + Growth_Rate) ^(G92-Opening_Year), 0)</f>
        <v>0</v>
      </c>
      <c r="J92" s="368" cm="1">
        <f t="array" ref="J92">IFERROR((SUMPRODUCT(J$74:J$78,$B$8:$B$12)- SUMPRODUCT(I$74:I$78, $B$8:$B$12) * (Build_Start_Daily_Bike_Ped_Trips * 365/10^6) *(PRODUCT(_xlfn._xlws.FILTER(I$36:I$52,(K$36:K$52=G$57)*(J$36:J$52&gt;(G92-Opening_Year))))))* (1 + BikePed_GR) ^(G92-Opening_Year), 0)</f>
        <v>0</v>
      </c>
      <c r="K92" s="389">
        <f t="shared" si="8"/>
        <v>22019831.30665214</v>
      </c>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s="353"/>
    </row>
    <row r="93" spans="6:54" x14ac:dyDescent="0.35">
      <c r="F93" s="356"/>
      <c r="G93" s="326">
        <f>IF(G92&lt;'Project Information'!$B$11,G92+1,"")</f>
        <v>2039</v>
      </c>
      <c r="H93" s="368" cm="1">
        <f t="array" ref="H93">IFERROR(SUMPRODUCT(J$60:J$64,$B$8:$B$12)*(1-PRODUCT(_xlfn._xlws.FILTER(I$36:I$52,(K$36:K$52=G$55)*(J$36:J$52&gt;(G93-Opening_Year))))) * (1 + Growth_Rate) ^(G93-Opening_Year), 0)</f>
        <v>22625376.667585075</v>
      </c>
      <c r="I93" s="368" cm="1">
        <f t="array" ref="I93">IFERROR(SUMPRODUCT(J$67:J$71,$B$8:$B$12)*(1-PRODUCT(_xlfn._xlws.FILTER(I$36:I$52,(K$36:K$52=G$56)*(J$36:J$52&gt;(G93-Opening_Year))))) * (1 + Growth_Rate) ^(G93-Opening_Year), 0)</f>
        <v>0</v>
      </c>
      <c r="J93" s="368" cm="1">
        <f t="array" ref="J93">IFERROR((SUMPRODUCT(J$74:J$78,$B$8:$B$12)- SUMPRODUCT(I$74:I$78, $B$8:$B$12) * (Build_Start_Daily_Bike_Ped_Trips * 365/10^6) *(PRODUCT(_xlfn._xlws.FILTER(I$36:I$52,(K$36:K$52=G$57)*(J$36:J$52&gt;(G93-Opening_Year))))))* (1 + BikePed_GR) ^(G93-Opening_Year), 0)</f>
        <v>0</v>
      </c>
      <c r="K93" s="389">
        <f t="shared" si="8"/>
        <v>22625376.667585075</v>
      </c>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s="353"/>
    </row>
    <row r="94" spans="6:54" x14ac:dyDescent="0.35">
      <c r="F94" s="356"/>
      <c r="G94" s="326">
        <f>IF(G93&lt;'Project Information'!$B$11,G93+1,"")</f>
        <v>2040</v>
      </c>
      <c r="H94" s="368" cm="1">
        <f t="array" ref="H94">IFERROR(SUMPRODUCT(J$60:J$64,$B$8:$B$12)*(1-PRODUCT(_xlfn._xlws.FILTER(I$36:I$52,(K$36:K$52=G$55)*(J$36:J$52&gt;(G94-Opening_Year))))) * (1 + Growth_Rate) ^(G94-Opening_Year), 0)</f>
        <v>21884188.98886228</v>
      </c>
      <c r="I94" s="368" cm="1">
        <f t="array" ref="I94">IFERROR(SUMPRODUCT(J$67:J$71,$B$8:$B$12)*(1-PRODUCT(_xlfn._xlws.FILTER(I$36:I$52,(K$36:K$52=G$56)*(J$36:J$52&gt;(G94-Opening_Year))))) * (1 + Growth_Rate) ^(G94-Opening_Year), 0)</f>
        <v>0</v>
      </c>
      <c r="J94" s="368" cm="1">
        <f t="array" ref="J94">IFERROR((SUMPRODUCT(J$74:J$78,$B$8:$B$12)- SUMPRODUCT(I$74:I$78, $B$8:$B$12) * (Build_Start_Daily_Bike_Ped_Trips * 365/10^6) *(PRODUCT(_xlfn._xlws.FILTER(I$36:I$52,(K$36:K$52=G$57)*(J$36:J$52&gt;(G94-Opening_Year))))))* (1 + BikePed_GR) ^(G94-Opening_Year), 0)</f>
        <v>0</v>
      </c>
      <c r="K94" s="389">
        <f t="shared" si="8"/>
        <v>21884188.98886228</v>
      </c>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s="353"/>
    </row>
    <row r="95" spans="6:54" x14ac:dyDescent="0.35">
      <c r="F95" s="356"/>
      <c r="G95" s="326">
        <f>IF(G94&lt;'Project Information'!$B$11,G94+1,"")</f>
        <v>2041</v>
      </c>
      <c r="H95" s="368" cm="1">
        <f t="array" ref="H95">IFERROR(SUMPRODUCT(J$60:J$64,$B$8:$B$12)*(1-PRODUCT(_xlfn._xlws.FILTER(I$36:I$52,(K$36:K$52=G$55)*(J$36:J$52&gt;(G95-Opening_Year))))) * (1 + Growth_Rate) ^(G95-Opening_Year), 0)</f>
        <v>22486004.186055992</v>
      </c>
      <c r="I95" s="368" cm="1">
        <f t="array" ref="I95">IFERROR(SUMPRODUCT(J$67:J$71,$B$8:$B$12)*(1-PRODUCT(_xlfn._xlws.FILTER(I$36:I$52,(K$36:K$52=G$56)*(J$36:J$52&gt;(G95-Opening_Year))))) * (1 + Growth_Rate) ^(G95-Opening_Year), 0)</f>
        <v>0</v>
      </c>
      <c r="J95" s="368" cm="1">
        <f t="array" ref="J95">IFERROR((SUMPRODUCT(J$74:J$78,$B$8:$B$12)- SUMPRODUCT(I$74:I$78, $B$8:$B$12) * (Build_Start_Daily_Bike_Ped_Trips * 365/10^6) *(PRODUCT(_xlfn._xlws.FILTER(I$36:I$52,(K$36:K$52=G$57)*(J$36:J$52&gt;(G95-Opening_Year))))))* (1 + BikePed_GR) ^(G95-Opening_Year), 0)</f>
        <v>0</v>
      </c>
      <c r="K95" s="389">
        <f t="shared" si="8"/>
        <v>22486004.186055992</v>
      </c>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s="353"/>
    </row>
    <row r="96" spans="6:54" x14ac:dyDescent="0.35">
      <c r="F96" s="356"/>
      <c r="G96" s="326">
        <f>IF(G95&lt;'Project Information'!$B$11,G95+1,"")</f>
        <v>2042</v>
      </c>
      <c r="H96" s="368" cm="1">
        <f t="array" ref="H96">IFERROR(SUMPRODUCT(J$60:J$64,$B$8:$B$12)*(1-PRODUCT(_xlfn._xlws.FILTER(I$36:I$52,(K$36:K$52=G$55)*(J$36:J$52&gt;(G96-Opening_Year))))) * (1 + Growth_Rate) ^(G96-Opening_Year), 0)</f>
        <v>23104369.301172532</v>
      </c>
      <c r="I96" s="368" cm="1">
        <f t="array" ref="I96">IFERROR(SUMPRODUCT(J$67:J$71,$B$8:$B$12)*(1-PRODUCT(_xlfn._xlws.FILTER(I$36:I$52,(K$36:K$52=G$56)*(J$36:J$52&gt;(G96-Opening_Year))))) * (1 + Growth_Rate) ^(G96-Opening_Year), 0)</f>
        <v>0</v>
      </c>
      <c r="J96" s="368" cm="1">
        <f t="array" ref="J96">IFERROR((SUMPRODUCT(J$74:J$78,$B$8:$B$12)- SUMPRODUCT(I$74:I$78, $B$8:$B$12) * (Build_Start_Daily_Bike_Ped_Trips * 365/10^6) *(PRODUCT(_xlfn._xlws.FILTER(I$36:I$52,(K$36:K$52=G$57)*(J$36:J$52&gt;(G96-Opening_Year))))))* (1 + BikePed_GR) ^(G96-Opening_Year), 0)</f>
        <v>0</v>
      </c>
      <c r="K96" s="389">
        <f t="shared" si="8"/>
        <v>23104369.301172532</v>
      </c>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s="353"/>
    </row>
    <row r="97" spans="6:54" x14ac:dyDescent="0.35">
      <c r="F97" s="356"/>
      <c r="G97" s="326">
        <f>IF(G96&lt;'Project Information'!$B$11,G96+1,"")</f>
        <v>2043</v>
      </c>
      <c r="H97" s="368" cm="1">
        <f t="array" ref="H97">IFERROR(SUMPRODUCT(J$60:J$64,$B$8:$B$12)*(1-PRODUCT(_xlfn._xlws.FILTER(I$36:I$52,(K$36:K$52=G$55)*(J$36:J$52&gt;(G97-Opening_Year))))) * (1 + Growth_Rate) ^(G97-Opening_Year), 0)</f>
        <v>23739739.456954781</v>
      </c>
      <c r="I97" s="368" cm="1">
        <f t="array" ref="I97">IFERROR(SUMPRODUCT(J$67:J$71,$B$8:$B$12)*(1-PRODUCT(_xlfn._xlws.FILTER(I$36:I$52,(K$36:K$52=G$56)*(J$36:J$52&gt;(G97-Opening_Year))))) * (1 + Growth_Rate) ^(G97-Opening_Year), 0)</f>
        <v>0</v>
      </c>
      <c r="J97" s="368" cm="1">
        <f t="array" ref="J97">IFERROR((SUMPRODUCT(J$74:J$78,$B$8:$B$12)- SUMPRODUCT(I$74:I$78, $B$8:$B$12) * (Build_Start_Daily_Bike_Ped_Trips * 365/10^6) *(PRODUCT(_xlfn._xlws.FILTER(I$36:I$52,(K$36:K$52=G$57)*(J$36:J$52&gt;(G97-Opening_Year))))))* (1 + BikePed_GR) ^(G97-Opening_Year), 0)</f>
        <v>0</v>
      </c>
      <c r="K97" s="389">
        <f t="shared" si="8"/>
        <v>23739739.456954781</v>
      </c>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s="353"/>
    </row>
    <row r="98" spans="6:54" x14ac:dyDescent="0.35">
      <c r="F98" s="356"/>
      <c r="G98" s="326">
        <f>IF(G97&lt;'Project Information'!$B$11,G97+1,"")</f>
        <v>2044</v>
      </c>
      <c r="H98" s="368" cm="1">
        <f t="array" ref="H98">IFERROR(SUMPRODUCT(J$60:J$64,$B$8:$B$12)*(1-PRODUCT(_xlfn._xlws.FILTER(I$36:I$52,(K$36:K$52=G$55)*(J$36:J$52&gt;(G98-Opening_Year))))) * (1 + Growth_Rate) ^(G98-Opening_Year), 0)</f>
        <v>24392582.29202104</v>
      </c>
      <c r="I98" s="368" cm="1">
        <f t="array" ref="I98">IFERROR(SUMPRODUCT(J$67:J$71,$B$8:$B$12)*(1-PRODUCT(_xlfn._xlws.FILTER(I$36:I$52,(K$36:K$52=G$56)*(J$36:J$52&gt;(G98-Opening_Year))))) * (1 + Growth_Rate) ^(G98-Opening_Year), 0)</f>
        <v>0</v>
      </c>
      <c r="J98" s="368" cm="1">
        <f t="array" ref="J98">IFERROR((SUMPRODUCT(J$74:J$78,$B$8:$B$12)- SUMPRODUCT(I$74:I$78, $B$8:$B$12) * (Build_Start_Daily_Bike_Ped_Trips * 365/10^6) *(PRODUCT(_xlfn._xlws.FILTER(I$36:I$52,(K$36:K$52=G$57)*(J$36:J$52&gt;(G98-Opening_Year))))))* (1 + BikePed_GR) ^(G98-Opening_Year), 0)</f>
        <v>0</v>
      </c>
      <c r="K98" s="389">
        <f t="shared" si="8"/>
        <v>24392582.29202104</v>
      </c>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s="353"/>
    </row>
    <row r="99" spans="6:54" x14ac:dyDescent="0.35">
      <c r="F99" s="356"/>
      <c r="G99" s="326">
        <f>IF(G98&lt;'Project Information'!$B$11,G98+1,"")</f>
        <v>2045</v>
      </c>
      <c r="H99" s="368" cm="1">
        <f t="array" ref="H99">IFERROR(SUMPRODUCT(J$60:J$64,$B$8:$B$12)*(1-PRODUCT(_xlfn._xlws.FILTER(I$36:I$52,(K$36:K$52=G$55)*(J$36:J$52&gt;(G99-Opening_Year))))) * (1 + Growth_Rate) ^(G99-Opening_Year), 0)</f>
        <v>13464777.926523849</v>
      </c>
      <c r="I99" s="368" cm="1">
        <f t="array" ref="I99">IFERROR(SUMPRODUCT(J$67:J$71,$B$8:$B$12)*(1-PRODUCT(_xlfn._xlws.FILTER(I$36:I$52,(K$36:K$52=G$56)*(J$36:J$52&gt;(G99-Opening_Year))))) * (1 + Growth_Rate) ^(G99-Opening_Year), 0)</f>
        <v>0</v>
      </c>
      <c r="J99" s="368" cm="1">
        <f t="array" ref="J99">IFERROR((SUMPRODUCT(J$74:J$78,$B$8:$B$12)- SUMPRODUCT(I$74:I$78, $B$8:$B$12) * (Build_Start_Daily_Bike_Ped_Trips * 365/10^6) *(PRODUCT(_xlfn._xlws.FILTER(I$36:I$52,(K$36:K$52=G$57)*(J$36:J$52&gt;(G99-Opening_Year))))))* (1 + BikePed_GR) ^(G99-Opening_Year), 0)</f>
        <v>0</v>
      </c>
      <c r="K99" s="389">
        <f t="shared" si="8"/>
        <v>13464777.926523849</v>
      </c>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s="353"/>
    </row>
    <row r="100" spans="6:54" x14ac:dyDescent="0.35">
      <c r="F100" s="356"/>
      <c r="G100" s="326">
        <f>IF(G99&lt;'Project Information'!$B$11,G99+1,"")</f>
        <v>2046</v>
      </c>
      <c r="H100" s="368" cm="1">
        <f t="array" ref="H100">IFERROR(SUMPRODUCT(J$60:J$64,$B$8:$B$12)*(1-PRODUCT(_xlfn._xlws.FILTER(I$36:I$52,(K$36:K$52=G$55)*(J$36:J$52&gt;(G100-Opening_Year))))) * (1 + Growth_Rate) ^(G100-Opening_Year), 0)</f>
        <v>13835059.319503255</v>
      </c>
      <c r="I100" s="368" cm="1">
        <f t="array" ref="I100">IFERROR(SUMPRODUCT(J$67:J$71,$B$8:$B$12)*(1-PRODUCT(_xlfn._xlws.FILTER(I$36:I$52,(K$36:K$52=G$56)*(J$36:J$52&gt;(G100-Opening_Year))))) * (1 + Growth_Rate) ^(G100-Opening_Year), 0)</f>
        <v>0</v>
      </c>
      <c r="J100" s="368" cm="1">
        <f t="array" ref="J100">IFERROR((SUMPRODUCT(J$74:J$78,$B$8:$B$12)- SUMPRODUCT(I$74:I$78, $B$8:$B$12) * (Build_Start_Daily_Bike_Ped_Trips * 365/10^6) *(PRODUCT(_xlfn._xlws.FILTER(I$36:I$52,(K$36:K$52=G$57)*(J$36:J$52&gt;(G100-Opening_Year))))))* (1 + BikePed_GR) ^(G100-Opening_Year), 0)</f>
        <v>0</v>
      </c>
      <c r="K100" s="389">
        <f t="shared" si="8"/>
        <v>13835059.319503255</v>
      </c>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s="353"/>
    </row>
    <row r="101" spans="6:54" x14ac:dyDescent="0.35">
      <c r="F101" s="356"/>
      <c r="G101" s="326">
        <f>IF(G100&lt;'Project Information'!$B$11,G100+1,"")</f>
        <v>2047</v>
      </c>
      <c r="H101" s="368" cm="1">
        <f t="array" ref="H101">IFERROR(SUMPRODUCT(J$60:J$64,$B$8:$B$12)*(1-PRODUCT(_xlfn._xlws.FILTER(I$36:I$52,(K$36:K$52=G$55)*(J$36:J$52&gt;(G101-Opening_Year))))) * (1 + Growth_Rate) ^(G101-Opening_Year), 0)</f>
        <v>14215523.450789595</v>
      </c>
      <c r="I101" s="368" cm="1">
        <f t="array" ref="I101">IFERROR(SUMPRODUCT(J$67:J$71,$B$8:$B$12)*(1-PRODUCT(_xlfn._xlws.FILTER(I$36:I$52,(K$36:K$52=G$56)*(J$36:J$52&gt;(G101-Opening_Year))))) * (1 + Growth_Rate) ^(G101-Opening_Year), 0)</f>
        <v>0</v>
      </c>
      <c r="J101" s="368" cm="1">
        <f t="array" ref="J101">IFERROR((SUMPRODUCT(J$74:J$78,$B$8:$B$12)- SUMPRODUCT(I$74:I$78, $B$8:$B$12) * (Build_Start_Daily_Bike_Ped_Trips * 365/10^6) *(PRODUCT(_xlfn._xlws.FILTER(I$36:I$52,(K$36:K$52=G$57)*(J$36:J$52&gt;(G101-Opening_Year))))))* (1 + BikePed_GR) ^(G101-Opening_Year), 0)</f>
        <v>0</v>
      </c>
      <c r="K101" s="389">
        <f t="shared" si="8"/>
        <v>14215523.450789595</v>
      </c>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s="353"/>
    </row>
    <row r="102" spans="6:54" x14ac:dyDescent="0.35">
      <c r="F102" s="356"/>
      <c r="G102" s="326">
        <f>IF(G101&lt;'Project Information'!$B$11,G101+1,"")</f>
        <v>2048</v>
      </c>
      <c r="H102" s="368" cm="1">
        <f t="array" ref="H102">IFERROR(SUMPRODUCT(J$60:J$64,$B$8:$B$12)*(1-PRODUCT(_xlfn._xlws.FILTER(I$36:I$52,(K$36:K$52=G$55)*(J$36:J$52&gt;(G102-Opening_Year))))) * (1 + Growth_Rate) ^(G102-Opening_Year), 0)</f>
        <v>14606450.345686311</v>
      </c>
      <c r="I102" s="368" cm="1">
        <f t="array" ref="I102">IFERROR(SUMPRODUCT(J$67:J$71,$B$8:$B$12)*(1-PRODUCT(_xlfn._xlws.FILTER(I$36:I$52,(K$36:K$52=G$56)*(J$36:J$52&gt;(G102-Opening_Year))))) * (1 + Growth_Rate) ^(G102-Opening_Year), 0)</f>
        <v>0</v>
      </c>
      <c r="J102" s="368" cm="1">
        <f t="array" ref="J102">IFERROR((SUMPRODUCT(J$74:J$78,$B$8:$B$12)- SUMPRODUCT(I$74:I$78, $B$8:$B$12) * (Build_Start_Daily_Bike_Ped_Trips * 365/10^6) *(PRODUCT(_xlfn._xlws.FILTER(I$36:I$52,(K$36:K$52=G$57)*(J$36:J$52&gt;(G102-Opening_Year))))))* (1 + BikePed_GR) ^(G102-Opening_Year), 0)</f>
        <v>0</v>
      </c>
      <c r="K102" s="389">
        <f t="shared" si="8"/>
        <v>14606450.345686311</v>
      </c>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s="353"/>
    </row>
    <row r="103" spans="6:54" x14ac:dyDescent="0.35">
      <c r="F103" s="356"/>
      <c r="G103" s="326">
        <f>IF(G102&lt;'Project Information'!$B$11,G102+1,"")</f>
        <v>2049</v>
      </c>
      <c r="H103" s="368" cm="1">
        <f t="array" ref="H103">IFERROR(SUMPRODUCT(J$60:J$64,$B$8:$B$12)*(1-PRODUCT(_xlfn._xlws.FILTER(I$36:I$52,(K$36:K$52=G$55)*(J$36:J$52&gt;(G103-Opening_Year))))) * (1 + Growth_Rate) ^(G103-Opening_Year), 0)</f>
        <v>15008127.730192684</v>
      </c>
      <c r="I103" s="368" cm="1">
        <f t="array" ref="I103">IFERROR(SUMPRODUCT(J$67:J$71,$B$8:$B$12)*(1-PRODUCT(_xlfn._xlws.FILTER(I$36:I$52,(K$36:K$52=G$56)*(J$36:J$52&gt;(G103-Opening_Year))))) * (1 + Growth_Rate) ^(G103-Opening_Year), 0)</f>
        <v>0</v>
      </c>
      <c r="J103" s="368" cm="1">
        <f t="array" ref="J103">IFERROR((SUMPRODUCT(J$74:J$78,$B$8:$B$12)- SUMPRODUCT(I$74:I$78, $B$8:$B$12) * (Build_Start_Daily_Bike_Ped_Trips * 365/10^6) *(PRODUCT(_xlfn._xlws.FILTER(I$36:I$52,(K$36:K$52=G$57)*(J$36:J$52&gt;(G103-Opening_Year))))))* (1 + BikePed_GR) ^(G103-Opening_Year), 0)</f>
        <v>0</v>
      </c>
      <c r="K103" s="389">
        <f t="shared" si="8"/>
        <v>15008127.730192684</v>
      </c>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s="353"/>
    </row>
    <row r="104" spans="6:54" x14ac:dyDescent="0.35">
      <c r="F104" s="356"/>
      <c r="G104" s="326">
        <f>IF(G103&lt;'Project Information'!$B$11,G103+1,"")</f>
        <v>2050</v>
      </c>
      <c r="H104" s="368" cm="1">
        <f t="array" ref="H104">IFERROR(SUMPRODUCT(J$60:J$64,$B$8:$B$12)*(1-PRODUCT(_xlfn._xlws.FILTER(I$36:I$52,(K$36:K$52=G$55)*(J$36:J$52&gt;(G104-Opening_Year))))) * (1 + Growth_Rate) ^(G104-Opening_Year), 0)</f>
        <v>0</v>
      </c>
      <c r="I104" s="368" cm="1">
        <f t="array" ref="I104">IFERROR(SUMPRODUCT(J$67:J$71,$B$8:$B$12)*(1-PRODUCT(_xlfn._xlws.FILTER(I$36:I$52,(K$36:K$52=G$56)*(J$36:J$52&gt;(G104-Opening_Year))))) * (1 + Growth_Rate) ^(G104-Opening_Year), 0)</f>
        <v>0</v>
      </c>
      <c r="J104" s="368" cm="1">
        <f t="array" ref="J104">IFERROR((SUMPRODUCT(J$74:J$78,$B$8:$B$12)- SUMPRODUCT(I$74:I$78, $B$8:$B$12) * (Build_Start_Daily_Bike_Ped_Trips * 365/10^6) *(PRODUCT(_xlfn._xlws.FILTER(I$36:I$52,(K$36:K$52=G$57)*(J$36:J$52&gt;(G104-Opening_Year))))))* (1 + BikePed_GR) ^(G104-Opening_Year), 0)</f>
        <v>0</v>
      </c>
      <c r="K104" s="389">
        <f t="shared" si="8"/>
        <v>0</v>
      </c>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s="353"/>
    </row>
    <row r="105" spans="6:54" x14ac:dyDescent="0.35">
      <c r="F105" s="356"/>
      <c r="G105" s="326">
        <f>IF(G104&lt;'Project Information'!$B$11,G104+1,"")</f>
        <v>2051</v>
      </c>
      <c r="H105" s="368" cm="1">
        <f t="array" ref="H105">IFERROR(SUMPRODUCT(J$60:J$64,$B$8:$B$12)*(1-PRODUCT(_xlfn._xlws.FILTER(I$36:I$52,(K$36:K$52=G$55)*(J$36:J$52&gt;(G105-Opening_Year))))) * (1 + Growth_Rate) ^(G105-Opening_Year), 0)</f>
        <v>0</v>
      </c>
      <c r="I105" s="368" cm="1">
        <f t="array" ref="I105">IFERROR(SUMPRODUCT(J$67:J$71,$B$8:$B$12)*(1-PRODUCT(_xlfn._xlws.FILTER(I$36:I$52,(K$36:K$52=G$56)*(J$36:J$52&gt;(G105-Opening_Year))))) * (1 + Growth_Rate) ^(G105-Opening_Year), 0)</f>
        <v>0</v>
      </c>
      <c r="J105" s="368" cm="1">
        <f t="array" ref="J105">IFERROR((SUMPRODUCT(J$74:J$78,$B$8:$B$12)- SUMPRODUCT(I$74:I$78, $B$8:$B$12) * (Build_Start_Daily_Bike_Ped_Trips * 365/10^6) *(PRODUCT(_xlfn._xlws.FILTER(I$36:I$52,(K$36:K$52=G$57)*(J$36:J$52&gt;(G105-Opening_Year))))))* (1 + BikePed_GR) ^(G105-Opening_Year), 0)</f>
        <v>0</v>
      </c>
      <c r="K105" s="389">
        <f t="shared" si="8"/>
        <v>0</v>
      </c>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s="353"/>
    </row>
    <row r="106" spans="6:54" x14ac:dyDescent="0.35">
      <c r="F106" s="356"/>
      <c r="G106" s="326">
        <f>IF(G105&lt;'Project Information'!$B$11,G105+1,"")</f>
        <v>2052</v>
      </c>
      <c r="H106" s="368" cm="1">
        <f t="array" ref="H106">IFERROR(SUMPRODUCT(J$60:J$64,$B$8:$B$12)*(1-PRODUCT(_xlfn._xlws.FILTER(I$36:I$52,(K$36:K$52=G$55)*(J$36:J$52&gt;(G106-Opening_Year))))) * (1 + Growth_Rate) ^(G106-Opening_Year), 0)</f>
        <v>0</v>
      </c>
      <c r="I106" s="368" cm="1">
        <f t="array" ref="I106">IFERROR(SUMPRODUCT(J$67:J$71,$B$8:$B$12)*(1-PRODUCT(_xlfn._xlws.FILTER(I$36:I$52,(K$36:K$52=G$56)*(J$36:J$52&gt;(G106-Opening_Year))))) * (1 + Growth_Rate) ^(G106-Opening_Year), 0)</f>
        <v>0</v>
      </c>
      <c r="J106" s="368" cm="1">
        <f t="array" ref="J106">IFERROR((SUMPRODUCT(J$74:J$78,$B$8:$B$12)- SUMPRODUCT(I$74:I$78, $B$8:$B$12) * (Build_Start_Daily_Bike_Ped_Trips * 365/10^6) *(PRODUCT(_xlfn._xlws.FILTER(I$36:I$52,(K$36:K$52=G$57)*(J$36:J$52&gt;(G106-Opening_Year))))))* (1 + BikePed_GR) ^(G106-Opening_Year), 0)</f>
        <v>0</v>
      </c>
      <c r="K106" s="389">
        <f t="shared" si="8"/>
        <v>0</v>
      </c>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s="353"/>
    </row>
    <row r="107" spans="6:54" x14ac:dyDescent="0.35">
      <c r="F107" s="356"/>
      <c r="G107" s="326">
        <f>IF(G106&lt;'Project Information'!$B$11,G106+1,"")</f>
        <v>2053</v>
      </c>
      <c r="H107" s="368" cm="1">
        <f t="array" ref="H107">IFERROR(SUMPRODUCT(J$60:J$64,$B$8:$B$12)*(1-PRODUCT(_xlfn._xlws.FILTER(I$36:I$52,(K$36:K$52=G$55)*(J$36:J$52&gt;(G107-Opening_Year))))) * (1 + Growth_Rate) ^(G107-Opening_Year), 0)</f>
        <v>0</v>
      </c>
      <c r="I107" s="368" cm="1">
        <f t="array" ref="I107">IFERROR(SUMPRODUCT(J$67:J$71,$B$8:$B$12)*(1-PRODUCT(_xlfn._xlws.FILTER(I$36:I$52,(K$36:K$52=G$56)*(J$36:J$52&gt;(G107-Opening_Year))))) * (1 + Growth_Rate) ^(G107-Opening_Year), 0)</f>
        <v>0</v>
      </c>
      <c r="J107" s="368" cm="1">
        <f t="array" ref="J107">IFERROR((SUMPRODUCT(J$74:J$78,$B$8:$B$12)- SUMPRODUCT(I$74:I$78, $B$8:$B$12) * (Build_Start_Daily_Bike_Ped_Trips * 365/10^6) *(PRODUCT(_xlfn._xlws.FILTER(I$36:I$52,(K$36:K$52=G$57)*(J$36:J$52&gt;(G107-Opening_Year))))))* (1 + BikePed_GR) ^(G107-Opening_Year), 0)</f>
        <v>0</v>
      </c>
      <c r="K107" s="389">
        <f t="shared" si="8"/>
        <v>0</v>
      </c>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s="353"/>
    </row>
    <row r="108" spans="6:54" x14ac:dyDescent="0.35">
      <c r="F108" s="356"/>
      <c r="G108" s="326">
        <f>IF(G107&lt;'Project Information'!$B$11,G107+1,"")</f>
        <v>2054</v>
      </c>
      <c r="H108" s="368" cm="1">
        <f t="array" ref="H108">IFERROR(SUMPRODUCT(J$60:J$64,$B$8:$B$12)*(1-PRODUCT(_xlfn._xlws.FILTER(I$36:I$52,(K$36:K$52=G$55)*(J$36:J$52&gt;(G108-Opening_Year))))) * (1 + Growth_Rate) ^(G108-Opening_Year), 0)</f>
        <v>0</v>
      </c>
      <c r="I108" s="368" cm="1">
        <f t="array" ref="I108">IFERROR(SUMPRODUCT(J$67:J$71,$B$8:$B$12)*(1-PRODUCT(_xlfn._xlws.FILTER(I$36:I$52,(K$36:K$52=G$56)*(J$36:J$52&gt;(G108-Opening_Year))))) * (1 + Growth_Rate) ^(G108-Opening_Year), 0)</f>
        <v>0</v>
      </c>
      <c r="J108" s="368" cm="1">
        <f t="array" ref="J108">IFERROR((SUMPRODUCT(J$74:J$78,$B$8:$B$12)- SUMPRODUCT(I$74:I$78, $B$8:$B$12) * (Build_Start_Daily_Bike_Ped_Trips * 365/10^6) *(PRODUCT(_xlfn._xlws.FILTER(I$36:I$52,(K$36:K$52=G$57)*(J$36:J$52&gt;(G108-Opening_Year))))))* (1 + BikePed_GR) ^(G108-Opening_Year), 0)</f>
        <v>0</v>
      </c>
      <c r="K108" s="389">
        <f t="shared" si="8"/>
        <v>0</v>
      </c>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s="353"/>
    </row>
    <row r="109" spans="6:54" x14ac:dyDescent="0.35">
      <c r="F109" s="356"/>
      <c r="G109" s="326" t="str">
        <f>IF(G108&lt;'Project Information'!$B$11,G108+1,"")</f>
        <v/>
      </c>
      <c r="H109" s="368" cm="1">
        <f t="array" ref="H109">IFERROR(SUMPRODUCT(J$60:J$64,$B$8:$B$12)*(1-PRODUCT(_xlfn._xlws.FILTER(I$36:I$52,(K$36:K$52=G$55)*(J$36:J$52&gt;(G109-Opening_Year))))) * (1 + Growth_Rate) ^(G109-Opening_Year), 0)</f>
        <v>0</v>
      </c>
      <c r="I109" s="368" cm="1">
        <f t="array" ref="I109">IFERROR(SUMPRODUCT(J$67:J$71,$B$8:$B$12)*(1-PRODUCT(_xlfn._xlws.FILTER(I$36:I$52,(K$36:K$52=G$56)*(J$36:J$52&gt;(G109-Opening_Year))))) * (1 + Growth_Rate) ^(G109-Opening_Year), 0)</f>
        <v>0</v>
      </c>
      <c r="J109" s="368" cm="1">
        <f t="array" ref="J109">IFERROR((SUMPRODUCT(J$74:J$78,$B$8:$B$12)- SUMPRODUCT(I$74:I$78, $B$8:$B$12) * (Build_Start_Daily_Bike_Ped_Trips * 365/10^6) *(PRODUCT(_xlfn._xlws.FILTER(I$36:I$52,(K$36:K$52=G$57)*(J$36:J$52&gt;(G109-Opening_Year))))))* (1 + BikePed_GR) ^(G109-Opening_Year), 0)</f>
        <v>0</v>
      </c>
      <c r="K109" s="389">
        <f t="shared" si="8"/>
        <v>0</v>
      </c>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s="353"/>
    </row>
    <row r="110" spans="6:54" x14ac:dyDescent="0.35">
      <c r="F110" s="356"/>
      <c r="G110" s="326" t="str">
        <f>IF(G109&lt;'Project Information'!$B$11,G109+1,"")</f>
        <v/>
      </c>
      <c r="H110" s="368" cm="1">
        <f t="array" ref="H110">IFERROR(SUMPRODUCT(J$60:J$64,$B$8:$B$12)*(1-PRODUCT(_xlfn._xlws.FILTER(I$36:I$52,(K$36:K$52=G$55)*(J$36:J$52&gt;(G110-Opening_Year))))) * (1 + Growth_Rate) ^(G110-Opening_Year), 0)</f>
        <v>0</v>
      </c>
      <c r="I110" s="368" cm="1">
        <f t="array" ref="I110">IFERROR(SUMPRODUCT(J$67:J$71,$B$8:$B$12)*(1-PRODUCT(_xlfn._xlws.FILTER(I$36:I$52,(K$36:K$52=G$56)*(J$36:J$52&gt;(G110-Opening_Year))))) * (1 + Growth_Rate) ^(G110-Opening_Year), 0)</f>
        <v>0</v>
      </c>
      <c r="J110" s="368" cm="1">
        <f t="array" ref="J110">IFERROR((SUMPRODUCT(J$74:J$78,$B$8:$B$12)- SUMPRODUCT(I$74:I$78, $B$8:$B$12) * (Build_Start_Daily_Bike_Ped_Trips * 365/10^6) *(PRODUCT(_xlfn._xlws.FILTER(I$36:I$52,(K$36:K$52=G$57)*(J$36:J$52&gt;(G110-Opening_Year))))))* (1 + BikePed_GR) ^(G110-Opening_Year), 0)</f>
        <v>0</v>
      </c>
      <c r="K110" s="389">
        <f t="shared" si="8"/>
        <v>0</v>
      </c>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s="353"/>
    </row>
    <row r="111" spans="6:54" x14ac:dyDescent="0.35">
      <c r="F111" s="356"/>
      <c r="G111" s="326" t="str">
        <f>IF(G110&lt;'Project Information'!$B$11,G110+1,"")</f>
        <v/>
      </c>
      <c r="H111" s="368" cm="1">
        <f t="array" ref="H111">IFERROR(SUMPRODUCT(J$60:J$64,$B$8:$B$12)*(1-PRODUCT(_xlfn._xlws.FILTER(I$36:I$52,(K$36:K$52=G$55)*(J$36:J$52&gt;(G111-Opening_Year))))) * (1 + Growth_Rate) ^(G111-Opening_Year), 0)</f>
        <v>0</v>
      </c>
      <c r="I111" s="368" cm="1">
        <f t="array" ref="I111">IFERROR(SUMPRODUCT(J$67:J$71,$B$8:$B$12)*(1-PRODUCT(_xlfn._xlws.FILTER(I$36:I$52,(K$36:K$52=G$56)*(J$36:J$52&gt;(G111-Opening_Year))))) * (1 + Growth_Rate) ^(G111-Opening_Year), 0)</f>
        <v>0</v>
      </c>
      <c r="J111" s="368" cm="1">
        <f t="array" ref="J111">IFERROR((SUMPRODUCT(J$74:J$78,$B$8:$B$12)- SUMPRODUCT(I$74:I$78, $B$8:$B$12) * (Build_Start_Daily_Bike_Ped_Trips * 365/10^6) *(PRODUCT(_xlfn._xlws.FILTER(I$36:I$52,(K$36:K$52=G$57)*(J$36:J$52&gt;(G111-Opening_Year))))))* (1 + BikePed_GR) ^(G111-Opening_Year), 0)</f>
        <v>0</v>
      </c>
      <c r="K111" s="389">
        <f t="shared" si="8"/>
        <v>0</v>
      </c>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s="353"/>
    </row>
    <row r="112" spans="6:54" x14ac:dyDescent="0.35">
      <c r="F112" s="356"/>
      <c r="G112" s="326" t="str">
        <f>IF(G111&lt;'Project Information'!$B$11,G111+1,"")</f>
        <v/>
      </c>
      <c r="H112" s="368" cm="1">
        <f t="array" ref="H112">IFERROR(SUMPRODUCT(J$60:J$64,$B$8:$B$12)*(1-PRODUCT(_xlfn._xlws.FILTER(I$36:I$52,(K$36:K$52=G$55)*(J$36:J$52&gt;(G112-Opening_Year))))) * (1 + Growth_Rate) ^(G112-Opening_Year), 0)</f>
        <v>0</v>
      </c>
      <c r="I112" s="368" cm="1">
        <f t="array" ref="I112">IFERROR(SUMPRODUCT(J$67:J$71,$B$8:$B$12)*(1-PRODUCT(_xlfn._xlws.FILTER(I$36:I$52,(K$36:K$52=G$56)*(J$36:J$52&gt;(G112-Opening_Year))))) * (1 + Growth_Rate) ^(G112-Opening_Year), 0)</f>
        <v>0</v>
      </c>
      <c r="J112" s="368" cm="1">
        <f t="array" ref="J112">IFERROR((SUMPRODUCT(J$74:J$78,$B$8:$B$12)- SUMPRODUCT(I$74:I$78, $B$8:$B$12) * (Build_Start_Daily_Bike_Ped_Trips * 365/10^6) *(PRODUCT(_xlfn._xlws.FILTER(I$36:I$52,(K$36:K$52=G$57)*(J$36:J$52&gt;(G112-Opening_Year))))))* (1 + BikePed_GR) ^(G112-Opening_Year), 0)</f>
        <v>0</v>
      </c>
      <c r="K112" s="389">
        <f t="shared" si="8"/>
        <v>0</v>
      </c>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s="353"/>
    </row>
    <row r="113" spans="6:54" x14ac:dyDescent="0.35">
      <c r="F113" s="356"/>
      <c r="G113" s="394" t="str">
        <f>IF(G112&lt;'Project Information'!$B$11,G112+1,"")</f>
        <v/>
      </c>
      <c r="H113" s="368" cm="1">
        <f t="array" ref="H113">IFERROR(SUMPRODUCT(J$60:J$64,$B$8:$B$12)*(1-PRODUCT(_xlfn._xlws.FILTER(I$36:I$52,(K$36:K$52=G$55)*(J$36:J$52&gt;(G113-Opening_Year))))) * (1 + Growth_Rate) ^(G113-Opening_Year), 0)</f>
        <v>0</v>
      </c>
      <c r="I113" s="368" cm="1">
        <f t="array" ref="I113">IFERROR(SUMPRODUCT(J$67:J$71,$B$8:$B$12)*(1-PRODUCT(_xlfn._xlws.FILTER(I$36:I$52,(K$36:K$52=G$56)*(J$36:J$52&gt;(G113-Opening_Year))))) * (1 + Growth_Rate) ^(G113-Opening_Year), 0)</f>
        <v>0</v>
      </c>
      <c r="J113" s="368" cm="1">
        <f t="array" ref="J113">IFERROR((SUMPRODUCT(J$74:J$78,$B$8:$B$12)- SUMPRODUCT(I$74:I$78, $B$8:$B$12) * (Build_Start_Daily_Bike_Ped_Trips * 365/10^6) *(PRODUCT(_xlfn._xlws.FILTER(I$36:I$52,(K$36:K$52=G$57)*(J$36:J$52&gt;(G113-Opening_Year))))))* (1 + BikePed_GR) ^(G113-Opening_Year), 0)</f>
        <v>0</v>
      </c>
      <c r="K113" s="331">
        <f t="shared" si="8"/>
        <v>0</v>
      </c>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s="353"/>
    </row>
    <row r="114" spans="6:54" x14ac:dyDescent="0.35">
      <c r="F114" s="356"/>
      <c r="G114" s="427" t="s">
        <v>82</v>
      </c>
      <c r="H114" s="368"/>
      <c r="I114" s="368"/>
      <c r="J114" s="368"/>
      <c r="K114" s="395">
        <f>SUM(K84:K113)</f>
        <v>387888711.04385304</v>
      </c>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s="353"/>
    </row>
    <row r="115" spans="6:54" x14ac:dyDescent="0.35">
      <c r="F115" s="356"/>
      <c r="G115" s="427" t="s">
        <v>184</v>
      </c>
      <c r="H115" s="395"/>
      <c r="I115" s="395"/>
      <c r="J115" s="395"/>
      <c r="K115" s="399">
        <f>NPV(0.031,K84:K113)/(1.031^($A$22-Base_Year-1))</f>
        <v>232811177.24895644</v>
      </c>
      <c r="L115" s="44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s="353"/>
    </row>
    <row r="116" spans="6:54" x14ac:dyDescent="0.35">
      <c r="F116" s="356"/>
      <c r="G116" t="s">
        <v>272</v>
      </c>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s="353"/>
    </row>
    <row r="117" spans="6:54" x14ac:dyDescent="0.35">
      <c r="F117" s="356"/>
      <c r="G117" t="s">
        <v>273</v>
      </c>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s="353"/>
    </row>
    <row r="118" spans="6:54" x14ac:dyDescent="0.35">
      <c r="F118" s="356"/>
      <c r="G118" s="352" t="s">
        <v>274</v>
      </c>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s="353"/>
    </row>
    <row r="119" spans="6:54" ht="15" thickBot="1" x14ac:dyDescent="0.4">
      <c r="F119" s="356"/>
      <c r="G119" s="446"/>
      <c r="H119" s="382"/>
      <c r="I119" s="382"/>
      <c r="J119" s="382"/>
      <c r="K119" s="382"/>
      <c r="L119" s="382"/>
      <c r="M119" s="382"/>
      <c r="N119" s="382"/>
      <c r="O119" s="382"/>
      <c r="P119" s="382"/>
      <c r="Q119" s="382"/>
      <c r="R119" s="382"/>
      <c r="S119" s="382"/>
      <c r="T119" s="382"/>
      <c r="U119" s="382"/>
      <c r="V119" s="382"/>
      <c r="W119" s="382"/>
      <c r="X119" s="382"/>
      <c r="Y119" s="382"/>
      <c r="Z119" s="382"/>
      <c r="AA119" s="382"/>
      <c r="AB119" s="382"/>
      <c r="AC119" s="382"/>
      <c r="AD119" s="382"/>
      <c r="AE119" s="382"/>
      <c r="AF119" s="382"/>
      <c r="AG119" s="382"/>
      <c r="AH119" s="382"/>
      <c r="AI119" s="382"/>
      <c r="AJ119" s="382"/>
      <c r="AK119" s="382"/>
      <c r="AL119" s="382"/>
      <c r="AM119" s="382"/>
      <c r="AN119" s="382"/>
      <c r="AO119" s="382"/>
      <c r="AP119" s="382"/>
      <c r="AQ119" s="382"/>
      <c r="AR119" s="382"/>
      <c r="AS119" s="382"/>
      <c r="AT119" s="382"/>
      <c r="AU119" s="382"/>
      <c r="AV119" s="382"/>
      <c r="AW119" s="382"/>
      <c r="AX119" s="382"/>
      <c r="AY119" s="382"/>
      <c r="AZ119" s="382"/>
      <c r="BA119" s="382"/>
      <c r="BB119" s="383"/>
    </row>
  </sheetData>
  <sheetProtection algorithmName="SHA-512" hashValue="4j+7cFHodMNtJ7LJoVmSS6QZiDPljZ7TyvaiNobEVGMZ2+Q7N9uqITZ915S08WlUHvNlM4K0/Xng+FeiPOj64A==" saltValue="bfmGUPbCbwRxq4I118YkvA==" spinCount="100000" sheet="1" objects="1" scenarios="1"/>
  <conditionalFormatting sqref="B22:B51">
    <cfRule type="expression" dxfId="24" priority="3">
      <formula>A22=""</formula>
    </cfRule>
  </conditionalFormatting>
  <conditionalFormatting sqref="C22:C51">
    <cfRule type="expression" dxfId="23" priority="2">
      <formula>A22=""</formula>
    </cfRule>
  </conditionalFormatting>
  <conditionalFormatting sqref="H84:J115">
    <cfRule type="expression" dxfId="22" priority="1">
      <formula>$G84=""</formula>
    </cfRule>
  </conditionalFormatting>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E59583-500E-466E-8218-236483F80A28}">
  <sheetPr codeName="Sheet9">
    <tabColor theme="5" tint="0.59999389629810485"/>
  </sheetPr>
  <dimension ref="A1:BB118"/>
  <sheetViews>
    <sheetView topLeftCell="C25" workbookViewId="0">
      <selection activeCell="G32" sqref="G32"/>
    </sheetView>
  </sheetViews>
  <sheetFormatPr defaultColWidth="9.1796875" defaultRowHeight="14.5" x14ac:dyDescent="0.35"/>
  <cols>
    <col min="1" max="1" width="28.54296875" style="42" customWidth="1"/>
    <col min="2" max="2" width="27.453125" style="42" customWidth="1"/>
    <col min="3" max="3" width="28.81640625" style="42" customWidth="1"/>
    <col min="4" max="4" width="30.81640625" style="42" customWidth="1"/>
    <col min="5" max="6" width="9.1796875" style="42"/>
    <col min="7" max="7" width="50" style="42" customWidth="1"/>
    <col min="8" max="8" width="31" style="42" bestFit="1" customWidth="1"/>
    <col min="9" max="9" width="20" style="42" bestFit="1" customWidth="1"/>
    <col min="10" max="10" width="17.81640625" style="42" bestFit="1" customWidth="1"/>
    <col min="11" max="11" width="51.54296875" style="42" bestFit="1" customWidth="1"/>
    <col min="12" max="12" width="12.453125" style="42" bestFit="1" customWidth="1"/>
    <col min="13" max="13" width="13" style="42" customWidth="1"/>
    <col min="14" max="14" width="9.1796875" style="42"/>
    <col min="15" max="17" width="38.1796875" style="42" customWidth="1"/>
    <col min="18" max="18" width="13" style="42" customWidth="1"/>
    <col min="19" max="19" width="76" style="42" bestFit="1" customWidth="1"/>
    <col min="20" max="20" width="31" style="42" bestFit="1" customWidth="1"/>
    <col min="21" max="21" width="16.81640625" style="42" bestFit="1" customWidth="1"/>
    <col min="22" max="16384" width="9.1796875" style="42"/>
  </cols>
  <sheetData>
    <row r="1" spans="1:10" ht="19.5" x14ac:dyDescent="0.45">
      <c r="A1" s="360" t="s">
        <v>122</v>
      </c>
    </row>
    <row r="2" spans="1:10" x14ac:dyDescent="0.35">
      <c r="A2" s="362"/>
      <c r="B2" s="362"/>
      <c r="C2" s="362"/>
      <c r="D2" s="362"/>
      <c r="E2" s="362"/>
      <c r="F2" s="362"/>
      <c r="G2" s="362"/>
    </row>
    <row r="3" spans="1:10" x14ac:dyDescent="0.35">
      <c r="A3" s="42" t="s">
        <v>171</v>
      </c>
    </row>
    <row r="4" spans="1:10" x14ac:dyDescent="0.35">
      <c r="A4" s="361"/>
      <c r="B4" s="362"/>
      <c r="C4" s="362"/>
      <c r="D4" s="362"/>
      <c r="E4" s="362"/>
      <c r="F4" s="362"/>
      <c r="G4" s="362"/>
      <c r="H4" s="362"/>
      <c r="I4" s="362"/>
      <c r="J4" s="362"/>
    </row>
    <row r="5" spans="1:10" x14ac:dyDescent="0.35">
      <c r="A5" s="363" t="s">
        <v>171</v>
      </c>
    </row>
    <row r="6" spans="1:10" x14ac:dyDescent="0.35">
      <c r="A6" s="318" t="s">
        <v>223</v>
      </c>
    </row>
    <row r="7" spans="1:10" x14ac:dyDescent="0.35">
      <c r="A7" s="406" t="s">
        <v>189</v>
      </c>
      <c r="B7" s="406" t="s">
        <v>275</v>
      </c>
    </row>
    <row r="8" spans="1:10" x14ac:dyDescent="0.35">
      <c r="A8" s="407" t="s">
        <v>276</v>
      </c>
      <c r="B8" s="447">
        <f>'Parameter Values'!B24</f>
        <v>17.899999999999999</v>
      </c>
    </row>
    <row r="9" spans="1:10" x14ac:dyDescent="0.35">
      <c r="A9" s="407" t="s">
        <v>277</v>
      </c>
      <c r="B9" s="447">
        <f>'Parameter Values'!B25</f>
        <v>32.299999999999997</v>
      </c>
    </row>
    <row r="10" spans="1:10" x14ac:dyDescent="0.35">
      <c r="A10" s="407" t="s">
        <v>278</v>
      </c>
      <c r="B10" s="447">
        <f>'Parameter Values'!B26</f>
        <v>19.600000000000001</v>
      </c>
    </row>
    <row r="11" spans="1:10" ht="29" x14ac:dyDescent="0.35">
      <c r="A11" s="407" t="s">
        <v>279</v>
      </c>
      <c r="B11" s="447">
        <f>'Parameter Values'!B28</f>
        <v>35.799999999999997</v>
      </c>
    </row>
    <row r="12" spans="1:10" x14ac:dyDescent="0.35">
      <c r="A12" s="407" t="s">
        <v>280</v>
      </c>
      <c r="B12" s="447"/>
    </row>
    <row r="13" spans="1:10" x14ac:dyDescent="0.35">
      <c r="A13" s="407" t="s">
        <v>281</v>
      </c>
      <c r="B13" s="447">
        <f>'Parameter Values'!B31</f>
        <v>33.5</v>
      </c>
    </row>
    <row r="14" spans="1:10" x14ac:dyDescent="0.35">
      <c r="A14" s="407" t="s">
        <v>282</v>
      </c>
      <c r="B14" s="447">
        <f>'Parameter Values'!B32</f>
        <v>36.5</v>
      </c>
    </row>
    <row r="15" spans="1:10" x14ac:dyDescent="0.35">
      <c r="A15" s="407" t="s">
        <v>283</v>
      </c>
      <c r="B15" s="447">
        <f>'Parameter Values'!B33</f>
        <v>63.3</v>
      </c>
    </row>
    <row r="16" spans="1:10" x14ac:dyDescent="0.35">
      <c r="A16" s="407" t="s">
        <v>284</v>
      </c>
      <c r="B16" s="447">
        <f>'Parameter Values'!B34</f>
        <v>53.5</v>
      </c>
    </row>
    <row r="17" spans="1:54" x14ac:dyDescent="0.35">
      <c r="A17" s="363" t="s">
        <v>171</v>
      </c>
    </row>
    <row r="18" spans="1:54" ht="15" thickBot="1" x14ac:dyDescent="0.4">
      <c r="A18" s="318" t="s">
        <v>122</v>
      </c>
    </row>
    <row r="19" spans="1:54" x14ac:dyDescent="0.35">
      <c r="A19" s="321" t="s">
        <v>173</v>
      </c>
      <c r="B19" s="334" t="s">
        <v>285</v>
      </c>
      <c r="C19" s="334" t="s">
        <v>286</v>
      </c>
      <c r="D19" s="411" t="s">
        <v>287</v>
      </c>
      <c r="G19" s="347" t="s">
        <v>211</v>
      </c>
      <c r="H19" s="348"/>
      <c r="I19" s="348"/>
      <c r="J19" s="348"/>
      <c r="K19" s="348"/>
      <c r="L19" s="348"/>
      <c r="M19" s="348"/>
      <c r="N19" s="348"/>
      <c r="O19" s="348"/>
      <c r="P19" s="348"/>
      <c r="Q19" s="348"/>
      <c r="R19" s="348"/>
      <c r="S19" s="348"/>
      <c r="T19" s="348"/>
      <c r="U19" s="348"/>
      <c r="V19" s="348"/>
      <c r="W19" s="348"/>
      <c r="X19" s="348"/>
      <c r="Y19" s="348"/>
      <c r="Z19" s="348"/>
      <c r="AA19" s="348"/>
      <c r="AB19" s="348"/>
      <c r="AC19" s="348"/>
      <c r="AD19" s="348"/>
      <c r="AE19" s="348"/>
      <c r="AF19" s="348"/>
      <c r="AG19" s="348"/>
      <c r="AH19" s="348"/>
      <c r="AI19" s="348"/>
      <c r="AJ19" s="348"/>
      <c r="AK19" s="348"/>
      <c r="AL19" s="348"/>
      <c r="AM19" s="348"/>
      <c r="AN19" s="348"/>
      <c r="AO19" s="348"/>
      <c r="AP19" s="348"/>
      <c r="AQ19" s="348"/>
      <c r="AR19" s="348"/>
      <c r="AS19" s="348"/>
      <c r="AT19" s="348"/>
      <c r="AU19" s="348"/>
      <c r="AV19" s="348"/>
      <c r="AW19" s="348"/>
      <c r="AX19" s="348"/>
      <c r="AY19" s="348"/>
      <c r="AZ19" s="348"/>
      <c r="BA19" s="348"/>
      <c r="BB19" s="349"/>
    </row>
    <row r="20" spans="1:54" x14ac:dyDescent="0.35">
      <c r="A20" s="10">
        <f>'Project Information'!$B$9</f>
        <v>2030</v>
      </c>
      <c r="B20" s="368">
        <v>0</v>
      </c>
      <c r="C20" s="368">
        <f t="shared" ref="C20:C49" si="0">IF(A20="",0,-H55)</f>
        <v>-2830226.0559417219</v>
      </c>
      <c r="D20" s="389">
        <f>B20-C20</f>
        <v>2830226.0559417219</v>
      </c>
      <c r="G20" s="369"/>
      <c r="H20" s="37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s="353"/>
    </row>
    <row r="21" spans="1:54" x14ac:dyDescent="0.35">
      <c r="A21" s="326">
        <f>IF(A20&lt;'Project Information'!$B$11,A20+1,"")</f>
        <v>2031</v>
      </c>
      <c r="B21" s="368">
        <v>0</v>
      </c>
      <c r="C21" s="368">
        <f t="shared" si="0"/>
        <v>-2908057.272480119</v>
      </c>
      <c r="D21" s="325">
        <f t="shared" ref="D21:D49" si="1">B21-C21</f>
        <v>2908057.272480119</v>
      </c>
      <c r="F21" s="356"/>
      <c r="G21" s="371" t="s">
        <v>212</v>
      </c>
      <c r="H21" s="372">
        <f>Project_ID</f>
        <v>1057</v>
      </c>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s="353"/>
    </row>
    <row r="22" spans="1:54" x14ac:dyDescent="0.35">
      <c r="A22" s="326">
        <f>IF(A21&lt;'Project Information'!$B$11,A21+1,"")</f>
        <v>2032</v>
      </c>
      <c r="B22" s="368">
        <v>0</v>
      </c>
      <c r="C22" s="368">
        <f t="shared" si="0"/>
        <v>-2988028.8474733224</v>
      </c>
      <c r="D22" s="325">
        <f t="shared" si="1"/>
        <v>2988028.8474733224</v>
      </c>
      <c r="F22" s="356"/>
      <c r="G22" s="448"/>
      <c r="H22" s="391"/>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s="353"/>
    </row>
    <row r="23" spans="1:54" x14ac:dyDescent="0.35">
      <c r="A23" s="326">
        <f>IF(A22&lt;'Project Information'!$B$11,A22+1,"")</f>
        <v>2033</v>
      </c>
      <c r="B23" s="368">
        <v>0</v>
      </c>
      <c r="C23" s="368">
        <f t="shared" si="0"/>
        <v>-3070199.6407788387</v>
      </c>
      <c r="D23" s="325">
        <f t="shared" si="1"/>
        <v>3070199.6407788387</v>
      </c>
      <c r="F23" s="356"/>
      <c r="G23" s="392" t="s">
        <v>288</v>
      </c>
      <c r="H23" s="449">
        <f>No_Build_Project_Length</f>
        <v>2.7</v>
      </c>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s="353"/>
    </row>
    <row r="24" spans="1:54" x14ac:dyDescent="0.35">
      <c r="A24" s="326">
        <f>IF(A23&lt;'Project Information'!$B$11,A23+1,"")</f>
        <v>2034</v>
      </c>
      <c r="B24" s="368">
        <v>0</v>
      </c>
      <c r="C24" s="368">
        <f t="shared" si="0"/>
        <v>-3154630.1309002568</v>
      </c>
      <c r="D24" s="325">
        <f t="shared" si="1"/>
        <v>3154630.1309002568</v>
      </c>
      <c r="F24" s="356"/>
      <c r="G24" s="392" t="s">
        <v>240</v>
      </c>
      <c r="H24" s="450">
        <f>Growth_Rate</f>
        <v>2.75E-2</v>
      </c>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s="353"/>
    </row>
    <row r="25" spans="1:54" x14ac:dyDescent="0.35">
      <c r="A25" s="326">
        <f>IF(A24&lt;'Project Information'!$B$11,A24+1,"")</f>
        <v>2035</v>
      </c>
      <c r="B25" s="368">
        <v>0</v>
      </c>
      <c r="C25" s="368">
        <f t="shared" si="0"/>
        <v>-3241382.4595000139</v>
      </c>
      <c r="D25" s="325">
        <f t="shared" si="1"/>
        <v>3241382.4595000139</v>
      </c>
      <c r="F25" s="356"/>
      <c r="G25" s="426" t="s">
        <v>289</v>
      </c>
      <c r="H25" s="372">
        <f>_xlfn.XLOOKUP(Project_ID, Output!$A$4:$A$203,Output!$AE$4:$AE$203,0,0)</f>
        <v>70</v>
      </c>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s="353"/>
    </row>
    <row r="26" spans="1:54" x14ac:dyDescent="0.35">
      <c r="A26" s="326">
        <f>IF(A25&lt;'Project Information'!$B$11,A25+1,"")</f>
        <v>2036</v>
      </c>
      <c r="B26" s="368">
        <v>0</v>
      </c>
      <c r="C26" s="368">
        <f t="shared" si="0"/>
        <v>-3330520.4771362641</v>
      </c>
      <c r="D26" s="325">
        <f t="shared" si="1"/>
        <v>3330520.4771362641</v>
      </c>
      <c r="F26" s="356"/>
      <c r="G26" s="426" t="s">
        <v>290</v>
      </c>
      <c r="H26" s="372">
        <f>_xlfn.XLOOKUP(Project_ID, Output!$A$4:$A$203,Output!$AF$4:$AF$203,0,0)</f>
        <v>60.549900000000001</v>
      </c>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s="353"/>
    </row>
    <row r="27" spans="1:54" x14ac:dyDescent="0.35">
      <c r="A27" s="326">
        <f>IF(A26&lt;'Project Information'!$B$11,A26+1,"")</f>
        <v>2037</v>
      </c>
      <c r="B27" s="368">
        <v>0</v>
      </c>
      <c r="C27" s="368">
        <f t="shared" si="0"/>
        <v>-3422109.7902575112</v>
      </c>
      <c r="D27" s="325">
        <f t="shared" si="1"/>
        <v>3422109.7902575112</v>
      </c>
      <c r="F27" s="356"/>
      <c r="G27" s="426" t="s">
        <v>291</v>
      </c>
      <c r="H27" s="372">
        <f>_xlfn.XLOOKUP(Project_ID, Output!$A$4:$A$203,Output!$AG$4:$AG$203,0,0)* (1 + Growth_Rate)^(Opening_Year - Base_Year)</f>
        <v>63018.511116492526</v>
      </c>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s="353"/>
    </row>
    <row r="28" spans="1:54" x14ac:dyDescent="0.35">
      <c r="A28" s="326">
        <f>IF(A27&lt;'Project Information'!$B$11,A27+1,"")</f>
        <v>2038</v>
      </c>
      <c r="B28" s="368">
        <v>0</v>
      </c>
      <c r="C28" s="368">
        <f t="shared" si="0"/>
        <v>-3516217.8094895929</v>
      </c>
      <c r="D28" s="325">
        <f t="shared" si="1"/>
        <v>3516217.8094895929</v>
      </c>
      <c r="F28" s="356"/>
      <c r="G28" s="451" t="s">
        <v>292</v>
      </c>
      <c r="H28" s="452" t="str">
        <f>IF(_xlfn.XLOOKUP(Project_ID,Output!$A$4:$A$203,Output!$AI$4:$AI$203,0,0)= 0, "No", _xlfn.XLOOKUP(Project_ID,Output!$A$4:$A$203,Output!$AI$4:$AI$203,0,0))</f>
        <v>No</v>
      </c>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s="353"/>
    </row>
    <row r="29" spans="1:54" x14ac:dyDescent="0.35">
      <c r="A29" s="326">
        <f>IF(A28&lt;'Project Information'!$B$11,A28+1,"")</f>
        <v>2039</v>
      </c>
      <c r="B29" s="368">
        <v>0</v>
      </c>
      <c r="C29" s="368">
        <f t="shared" si="0"/>
        <v>-3612913.7992505566</v>
      </c>
      <c r="D29" s="325">
        <f t="shared" si="1"/>
        <v>3612913.7992505566</v>
      </c>
      <c r="F29" s="356"/>
      <c r="G29" s="451" t="s">
        <v>293</v>
      </c>
      <c r="H29" s="372">
        <f>IF(H28= "Yes", _xlfn.XLOOKUP(Project_ID,Output!$A$4:$A$203,Output!$AJ$4:$AJ$203,0,0), 0)</f>
        <v>0</v>
      </c>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s="353"/>
    </row>
    <row r="30" spans="1:54" x14ac:dyDescent="0.35">
      <c r="A30" s="326">
        <f>IF(A29&lt;'Project Information'!$B$11,A29+1,"")</f>
        <v>2040</v>
      </c>
      <c r="B30" s="368">
        <v>0</v>
      </c>
      <c r="C30" s="368">
        <f t="shared" si="0"/>
        <v>-3712268.9287299467</v>
      </c>
      <c r="D30" s="325">
        <f t="shared" si="1"/>
        <v>3712268.9287299467</v>
      </c>
      <c r="F30" s="356"/>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s="353"/>
    </row>
    <row r="31" spans="1:54" x14ac:dyDescent="0.35">
      <c r="A31" s="326">
        <f>IF(A30&lt;'Project Information'!$B$11,A30+1,"")</f>
        <v>2041</v>
      </c>
      <c r="B31" s="368">
        <v>0</v>
      </c>
      <c r="C31" s="368">
        <f t="shared" si="0"/>
        <v>-3814356.3242700202</v>
      </c>
      <c r="D31" s="325">
        <f t="shared" si="1"/>
        <v>3814356.3242700202</v>
      </c>
      <c r="F31" s="356"/>
      <c r="G31" s="420" t="s">
        <v>251</v>
      </c>
      <c r="H31" s="421" t="s">
        <v>294</v>
      </c>
      <c r="I31" s="421" t="s">
        <v>248</v>
      </c>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s="353"/>
    </row>
    <row r="32" spans="1:54" x14ac:dyDescent="0.35">
      <c r="A32" s="326">
        <f>IF(A31&lt;'Project Information'!$B$11,A31+1,"")</f>
        <v>2042</v>
      </c>
      <c r="B32" s="368">
        <v>0</v>
      </c>
      <c r="C32" s="368">
        <f t="shared" si="0"/>
        <v>-3919251.123187446</v>
      </c>
      <c r="D32" s="325">
        <f t="shared" si="1"/>
        <v>3919251.123187446</v>
      </c>
      <c r="F32" s="356"/>
      <c r="G32" s="424" t="str" cm="1">
        <f t="array" ref="G32:G37">IF(ISBLANK(Project_ID), "", IFERROR(_xlfn.TEXTSPLIT(_xlfn.XLOOKUP(Project_ID, Output!$A:$A, Output!$AH:$AH, "", 0), ,", "), ""))</f>
        <v>Access Management</v>
      </c>
      <c r="H32" s="453">
        <f>_xlfn.IFNA(_xlfn.XLOOKUP(G32, 'Parameter Values'!$A$325:$A$401,'Parameter Values'!$B$325:$B$401,, 0), "")</f>
        <v>0.2</v>
      </c>
      <c r="I32" s="454">
        <f>IF(H32="","",1-H32)</f>
        <v>0.8</v>
      </c>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s="353"/>
    </row>
    <row r="33" spans="1:54" x14ac:dyDescent="0.35">
      <c r="A33" s="326">
        <f>IF(A32&lt;'Project Information'!$B$11,A32+1,"")</f>
        <v>2043</v>
      </c>
      <c r="B33" s="368">
        <v>0</v>
      </c>
      <c r="C33" s="368">
        <f t="shared" si="0"/>
        <v>-4027030.529075101</v>
      </c>
      <c r="D33" s="325">
        <f t="shared" si="1"/>
        <v>4027030.529075101</v>
      </c>
      <c r="F33" s="356"/>
      <c r="G33" s="424" t="str">
        <v xml:space="preserve">Managed HOT/HOV Lanes </v>
      </c>
      <c r="H33" s="453">
        <f>_xlfn.IFNA(_xlfn.XLOOKUP(G33, 'Parameter Values'!$A$325:$A$401,'Parameter Values'!$B$325:$B$401,, 0), "")</f>
        <v>0.22</v>
      </c>
      <c r="I33" s="454">
        <f t="shared" ref="I33:I40" si="2">IF(H33="","",1-H33)</f>
        <v>0.78</v>
      </c>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s="353"/>
    </row>
    <row r="34" spans="1:54" x14ac:dyDescent="0.35">
      <c r="A34" s="326">
        <f>IF(A33&lt;'Project Information'!$B$11,A33+1,"")</f>
        <v>2044</v>
      </c>
      <c r="B34" s="368">
        <v>0</v>
      </c>
      <c r="C34" s="368">
        <f t="shared" si="0"/>
        <v>-4137773.8686246662</v>
      </c>
      <c r="D34" s="325">
        <f t="shared" si="1"/>
        <v>4137773.8686246662</v>
      </c>
      <c r="F34" s="356"/>
      <c r="G34" s="424" t="str">
        <v xml:space="preserve">Adding New Lanes or Roads </v>
      </c>
      <c r="H34" s="453">
        <f>_xlfn.IFNA(_xlfn.XLOOKUP(G34, 'Parameter Values'!$A$325:$A$401,'Parameter Values'!$B$325:$B$401,, 0), "")</f>
        <v>0.3</v>
      </c>
      <c r="I34" s="454">
        <f t="shared" si="2"/>
        <v>0.7</v>
      </c>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s="353"/>
    </row>
    <row r="35" spans="1:54" x14ac:dyDescent="0.35">
      <c r="A35" s="326">
        <f>IF(A34&lt;'Project Information'!$B$11,A34+1,"")</f>
        <v>2045</v>
      </c>
      <c r="B35" s="368">
        <v>0</v>
      </c>
      <c r="C35" s="368">
        <f t="shared" si="0"/>
        <v>-4251562.6500118449</v>
      </c>
      <c r="D35" s="325">
        <f t="shared" si="1"/>
        <v>4251562.6500118449</v>
      </c>
      <c r="F35" s="356"/>
      <c r="G35" s="424" t="str">
        <v>Ramp Configuration</v>
      </c>
      <c r="H35" s="453">
        <f>_xlfn.IFNA(_xlfn.XLOOKUP(G35, 'Parameter Values'!$A$325:$A$401,'Parameter Values'!$B$325:$B$401,, 0), "")</f>
        <v>0.1</v>
      </c>
      <c r="I35" s="454">
        <f t="shared" si="2"/>
        <v>0.9</v>
      </c>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s="353"/>
    </row>
    <row r="36" spans="1:54" x14ac:dyDescent="0.35">
      <c r="A36" s="326">
        <f>IF(A35&lt;'Project Information'!$B$11,A35+1,"")</f>
        <v>2046</v>
      </c>
      <c r="B36" s="368">
        <v>0</v>
      </c>
      <c r="C36" s="368">
        <f t="shared" si="0"/>
        <v>-4368480.6228871709</v>
      </c>
      <c r="D36" s="325">
        <f t="shared" si="1"/>
        <v>4368480.6228871709</v>
      </c>
      <c r="F36" s="356"/>
      <c r="G36" s="424" t="str">
        <v xml:space="preserve">Freight Shuttle System </v>
      </c>
      <c r="H36" s="453">
        <f>_xlfn.IFNA(_xlfn.XLOOKUP(G36, 'Parameter Values'!$A$325:$A$401,'Parameter Values'!$B$325:$B$401,, 0), "")</f>
        <v>0.15</v>
      </c>
      <c r="I36" s="454">
        <f t="shared" si="2"/>
        <v>0.85</v>
      </c>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s="353"/>
    </row>
    <row r="37" spans="1:54" x14ac:dyDescent="0.35">
      <c r="A37" s="326">
        <f>IF(A36&lt;'Project Information'!$B$11,A36+1,"")</f>
        <v>2047</v>
      </c>
      <c r="B37" s="368">
        <v>0</v>
      </c>
      <c r="C37" s="368">
        <f t="shared" si="0"/>
        <v>-4488613.8400165681</v>
      </c>
      <c r="D37" s="325">
        <f t="shared" si="1"/>
        <v>4488613.8400165681</v>
      </c>
      <c r="F37" s="356"/>
      <c r="G37" s="424" t="str">
        <v>Shoulder Pavement Upgrades</v>
      </c>
      <c r="H37" s="453">
        <f>_xlfn.IFNA(_xlfn.XLOOKUP(G37, 'Parameter Values'!$A$325:$A$401,'Parameter Values'!$B$325:$B$401,, 0), "")</f>
        <v>0.05</v>
      </c>
      <c r="I37" s="454">
        <f t="shared" si="2"/>
        <v>0.95</v>
      </c>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s="353"/>
    </row>
    <row r="38" spans="1:54" x14ac:dyDescent="0.35">
      <c r="A38" s="326">
        <f>IF(A37&lt;'Project Information'!$B$11,A37+1,"")</f>
        <v>2048</v>
      </c>
      <c r="B38" s="368">
        <v>0</v>
      </c>
      <c r="C38" s="368">
        <f t="shared" si="0"/>
        <v>-4612050.7206170233</v>
      </c>
      <c r="D38" s="325">
        <f t="shared" si="1"/>
        <v>4612050.7206170233</v>
      </c>
      <c r="F38" s="356"/>
      <c r="G38" s="424"/>
      <c r="H38" s="453" t="str">
        <f>_xlfn.IFNA(_xlfn.XLOOKUP(G38, 'Parameter Values'!$A$325:$A$401,'Parameter Values'!$B$325:$B$401,, 0), "")</f>
        <v/>
      </c>
      <c r="I38" s="454" t="str">
        <f t="shared" si="2"/>
        <v/>
      </c>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s="353"/>
    </row>
    <row r="39" spans="1:54" x14ac:dyDescent="0.35">
      <c r="A39" s="326">
        <f>IF(A38&lt;'Project Information'!$B$11,A38+1,"")</f>
        <v>2049</v>
      </c>
      <c r="B39" s="368">
        <v>0</v>
      </c>
      <c r="C39" s="368">
        <f t="shared" si="0"/>
        <v>-4738882.1154339919</v>
      </c>
      <c r="D39" s="325">
        <f t="shared" si="1"/>
        <v>4738882.1154339919</v>
      </c>
      <c r="F39" s="356"/>
      <c r="G39" s="424"/>
      <c r="H39" s="453" t="str">
        <f>_xlfn.IFNA(_xlfn.XLOOKUP(G39, 'Parameter Values'!$A$325:$A$401,'Parameter Values'!$B$325:$B$401,, 0), "")</f>
        <v/>
      </c>
      <c r="I39" s="454" t="str">
        <f t="shared" si="2"/>
        <v/>
      </c>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s="353"/>
    </row>
    <row r="40" spans="1:54" x14ac:dyDescent="0.35">
      <c r="A40" s="326">
        <f>IF(A39&lt;'Project Information'!$B$11,A39+1,"")</f>
        <v>2050</v>
      </c>
      <c r="B40" s="368">
        <v>0</v>
      </c>
      <c r="C40" s="368">
        <f t="shared" si="0"/>
        <v>-4869201.3736084271</v>
      </c>
      <c r="D40" s="325">
        <f t="shared" si="1"/>
        <v>4869201.3736084271</v>
      </c>
      <c r="F40" s="356"/>
      <c r="G40" s="424"/>
      <c r="H40" s="453" t="str">
        <f>_xlfn.IFNA(_xlfn.XLOOKUP(G40, 'Parameter Values'!$A$325:$A$401,'Parameter Values'!$B$325:$B$401,, 0), "")</f>
        <v/>
      </c>
      <c r="I40" s="454" t="str">
        <f t="shared" si="2"/>
        <v/>
      </c>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s="353"/>
    </row>
    <row r="41" spans="1:54" x14ac:dyDescent="0.35">
      <c r="A41" s="326">
        <f>IF(A40&lt;'Project Information'!$B$11,A40+1,"")</f>
        <v>2051</v>
      </c>
      <c r="B41" s="368">
        <v>0</v>
      </c>
      <c r="C41" s="368">
        <f t="shared" si="0"/>
        <v>-5003104.4113826584</v>
      </c>
      <c r="D41" s="325">
        <f t="shared" si="1"/>
        <v>5003104.4113826584</v>
      </c>
      <c r="F41" s="356"/>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s="353"/>
    </row>
    <row r="42" spans="1:54" ht="16.5" x14ac:dyDescent="0.45">
      <c r="A42" s="326">
        <f>IF(A41&lt;'Project Information'!$B$11,A41+1,"")</f>
        <v>2052</v>
      </c>
      <c r="B42" s="368">
        <v>0</v>
      </c>
      <c r="C42" s="368">
        <f t="shared" si="0"/>
        <v>-5140689.7826956818</v>
      </c>
      <c r="D42" s="325">
        <f t="shared" si="1"/>
        <v>5140689.7826956818</v>
      </c>
      <c r="F42" s="356"/>
      <c r="G42" s="455" t="s">
        <v>295</v>
      </c>
      <c r="H42" s="456">
        <f xml:space="preserve"> IF(H32="", 0, 1 - PRODUCT(I32:I40))</f>
        <v>0.68255559999999993</v>
      </c>
      <c r="I42" t="s">
        <v>296</v>
      </c>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s="353"/>
    </row>
    <row r="43" spans="1:54" x14ac:dyDescent="0.35">
      <c r="A43" s="326">
        <f>IF(A42&lt;'Project Information'!$B$11,A42+1,"")</f>
        <v>2053</v>
      </c>
      <c r="B43" s="368">
        <v>0</v>
      </c>
      <c r="C43" s="368">
        <f t="shared" si="0"/>
        <v>-5282058.7517198129</v>
      </c>
      <c r="D43" s="325">
        <f t="shared" si="1"/>
        <v>5282058.7517198129</v>
      </c>
      <c r="F43" s="356"/>
      <c r="G43"/>
      <c r="H43"/>
      <c r="I43" s="370"/>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s="353"/>
    </row>
    <row r="44" spans="1:54" x14ac:dyDescent="0.35">
      <c r="A44" s="326">
        <f>IF(A43&lt;'Project Information'!$B$11,A43+1,"")</f>
        <v>2054</v>
      </c>
      <c r="B44" s="368">
        <v>0</v>
      </c>
      <c r="C44" s="368">
        <f t="shared" si="0"/>
        <v>-5427315.3673921078</v>
      </c>
      <c r="D44" s="325">
        <f t="shared" si="1"/>
        <v>5427315.3673921078</v>
      </c>
      <c r="F44" s="356"/>
      <c r="G44" s="420" t="s">
        <v>297</v>
      </c>
      <c r="H44" s="457" t="s">
        <v>278</v>
      </c>
      <c r="I44" s="421" t="s">
        <v>281</v>
      </c>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s="353"/>
    </row>
    <row r="45" spans="1:54" x14ac:dyDescent="0.35">
      <c r="A45" s="326" t="str">
        <f>IF(A44&lt;'Project Information'!$B$11,A44+1,"")</f>
        <v/>
      </c>
      <c r="B45" s="368">
        <v>0</v>
      </c>
      <c r="C45" s="368">
        <f t="shared" si="0"/>
        <v>0</v>
      </c>
      <c r="D45" s="325">
        <f t="shared" si="1"/>
        <v>0</v>
      </c>
      <c r="F45" s="356"/>
      <c r="G45" s="426" t="s">
        <v>298</v>
      </c>
      <c r="H45" s="419">
        <f>IFERROR(365*H27 * (1 - Base_Year_Truck_AADT/Base_Year_AADT)*No_Build_Project_Length*(1/H26-1/H25)*H42, 0)</f>
        <v>74784.425926477707</v>
      </c>
      <c r="I45" s="343">
        <f>IFERROR(365*H27 * ( Base_Year_Truck_AADT/Base_Year_AADT)*No_Build_Project_Length*(1/H26-1/H25)*H42, 0)</f>
        <v>19727.74413929721</v>
      </c>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s="353"/>
    </row>
    <row r="46" spans="1:54" x14ac:dyDescent="0.35">
      <c r="A46" s="326" t="str">
        <f>IF(A45&lt;'Project Information'!$B$11,A45+1,"")</f>
        <v/>
      </c>
      <c r="B46" s="368">
        <v>0</v>
      </c>
      <c r="C46" s="368">
        <f t="shared" si="0"/>
        <v>0</v>
      </c>
      <c r="D46" s="325">
        <f t="shared" si="1"/>
        <v>0</v>
      </c>
      <c r="F46" s="356"/>
      <c r="G46" s="426" t="s">
        <v>299</v>
      </c>
      <c r="H46" s="419">
        <f>H45*'Parameter Values'!$B$44</f>
        <v>110680.95037118701</v>
      </c>
      <c r="I46" s="343">
        <f>I45</f>
        <v>19727.74413929721</v>
      </c>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s="353"/>
    </row>
    <row r="47" spans="1:54" x14ac:dyDescent="0.35">
      <c r="A47" s="326" t="str">
        <f>IF(A46&lt;'Project Information'!$B$11,A46+1,"")</f>
        <v/>
      </c>
      <c r="B47" s="368">
        <v>0</v>
      </c>
      <c r="C47" s="368">
        <f t="shared" si="0"/>
        <v>0</v>
      </c>
      <c r="D47" s="325">
        <f t="shared" si="1"/>
        <v>0</v>
      </c>
      <c r="F47" s="356"/>
      <c r="G47" s="455" t="s">
        <v>300</v>
      </c>
      <c r="H47" s="458">
        <f>H46*'Parameter Values'!$B$26</f>
        <v>2169346.6272752653</v>
      </c>
      <c r="I47" s="459">
        <f>I46*'Parameter Values'!$B$31</f>
        <v>660879.4286664566</v>
      </c>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s="353"/>
    </row>
    <row r="48" spans="1:54" x14ac:dyDescent="0.35">
      <c r="A48" s="326" t="str">
        <f>IF(A47&lt;'Project Information'!$B$11,A47+1,"")</f>
        <v/>
      </c>
      <c r="B48" s="368">
        <v>0</v>
      </c>
      <c r="C48" s="368">
        <f t="shared" si="0"/>
        <v>0</v>
      </c>
      <c r="D48" s="325">
        <f t="shared" si="1"/>
        <v>0</v>
      </c>
      <c r="F48" s="356"/>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s="353"/>
    </row>
    <row r="49" spans="1:54" x14ac:dyDescent="0.35">
      <c r="A49" s="326" t="str">
        <f>IF(A48&lt;'Project Information'!$B$11,A48+1,"")</f>
        <v/>
      </c>
      <c r="B49" s="368">
        <v>0</v>
      </c>
      <c r="C49" s="368">
        <f t="shared" si="0"/>
        <v>0</v>
      </c>
      <c r="D49" s="325">
        <f t="shared" si="1"/>
        <v>0</v>
      </c>
      <c r="F49" s="356"/>
      <c r="G49" t="s">
        <v>301</v>
      </c>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s="353"/>
    </row>
    <row r="50" spans="1:54" x14ac:dyDescent="0.35">
      <c r="A50" s="401" t="s">
        <v>82</v>
      </c>
      <c r="B50" s="427"/>
      <c r="C50" s="395">
        <f>SUM(C20:C49)</f>
        <v>-99866926.692860663</v>
      </c>
      <c r="D50" s="395">
        <f>SUM(D20:D49)</f>
        <v>99866926.692860663</v>
      </c>
      <c r="F50" s="356"/>
      <c r="G50" s="420" t="s">
        <v>297</v>
      </c>
      <c r="H50" s="457" t="s">
        <v>278</v>
      </c>
      <c r="I50" s="421" t="s">
        <v>281</v>
      </c>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s="353"/>
    </row>
    <row r="51" spans="1:54" x14ac:dyDescent="0.35">
      <c r="A51" s="398" t="s">
        <v>184</v>
      </c>
      <c r="B51" s="460"/>
      <c r="C51" s="399">
        <f>NPV(0.031,C20:C49)/(1.031^($A$22-Base_Year-1))</f>
        <v>-50070626.892232083</v>
      </c>
      <c r="D51" s="399">
        <f>NPV(0.031,D20:D49)/(1.031^($A$22-Base_Year-1))</f>
        <v>50070626.892232083</v>
      </c>
      <c r="F51" s="356"/>
      <c r="G51" s="426" t="s">
        <v>299</v>
      </c>
      <c r="H51" s="419">
        <f>IF(H28="Yes", 365*H29*Build_Start_AADT*(1 - Base_Year_Truck_AADT/Base_Year_AADT)*'Parameter Values'!$B$47/60, 0)</f>
        <v>0</v>
      </c>
      <c r="I51" s="343">
        <f>IF(H28="Yes",H29*Build_Start_AADT*(Base_Year_Truck_AADT/Base_Year_AADT)*365/60,0)</f>
        <v>0</v>
      </c>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s="353"/>
    </row>
    <row r="52" spans="1:54" x14ac:dyDescent="0.35">
      <c r="B52" s="381"/>
      <c r="C52" s="381"/>
      <c r="D52" s="340"/>
      <c r="F52" s="356"/>
      <c r="G52" s="426" t="s">
        <v>300</v>
      </c>
      <c r="H52" s="458">
        <f>H51*'Parameter Values'!$B$26*0.5</f>
        <v>0</v>
      </c>
      <c r="I52" s="459">
        <f>I51*'Parameter Values'!$B$31*0.5</f>
        <v>0</v>
      </c>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s="353"/>
    </row>
    <row r="53" spans="1:54" x14ac:dyDescent="0.35">
      <c r="B53" s="381"/>
      <c r="C53" s="381"/>
      <c r="D53" s="340"/>
      <c r="F53" s="356"/>
      <c r="G53" s="373"/>
      <c r="H53" s="461"/>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s="353"/>
    </row>
    <row r="54" spans="1:54" x14ac:dyDescent="0.35">
      <c r="B54" s="381"/>
      <c r="C54" s="381"/>
      <c r="D54" s="340"/>
      <c r="F54" s="356"/>
      <c r="G54" s="334" t="s">
        <v>173</v>
      </c>
      <c r="H54" s="321" t="s">
        <v>122</v>
      </c>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s="353"/>
    </row>
    <row r="55" spans="1:54" x14ac:dyDescent="0.35">
      <c r="B55" s="381"/>
      <c r="C55" s="381"/>
      <c r="D55" s="340"/>
      <c r="F55" s="356"/>
      <c r="G55" s="10">
        <f>'Project Information'!$B$9</f>
        <v>2030</v>
      </c>
      <c r="H55" s="462">
        <f>IF(G55="",0, H47+I47 + IF($H$28= "Yes", H52+I52,0))</f>
        <v>2830226.0559417219</v>
      </c>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s="353"/>
    </row>
    <row r="56" spans="1:54" x14ac:dyDescent="0.35">
      <c r="B56" s="381"/>
      <c r="C56" s="381"/>
      <c r="D56" s="340"/>
      <c r="F56" s="356"/>
      <c r="G56" s="326">
        <f>IF(G55&lt;'Project Information'!$B$11,G55+1,"")</f>
        <v>2031</v>
      </c>
      <c r="H56" s="462">
        <f t="shared" ref="H56:H84" si="3">IF(G56&lt;&gt;"",H55+(H55*Growth_Rate), 0)</f>
        <v>2908057.272480119</v>
      </c>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s="353"/>
    </row>
    <row r="57" spans="1:54" x14ac:dyDescent="0.35">
      <c r="B57" s="381"/>
      <c r="C57" s="381"/>
      <c r="D57" s="340"/>
      <c r="F57" s="356"/>
      <c r="G57" s="326">
        <f>IF(G56&lt;'Project Information'!$B$11,G56+1,"")</f>
        <v>2032</v>
      </c>
      <c r="H57" s="462">
        <f t="shared" si="3"/>
        <v>2988028.8474733224</v>
      </c>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s="353"/>
    </row>
    <row r="58" spans="1:54" x14ac:dyDescent="0.35">
      <c r="B58" s="381"/>
      <c r="C58" s="381"/>
      <c r="D58" s="340"/>
      <c r="F58" s="356"/>
      <c r="G58" s="326">
        <f>IF(G57&lt;'Project Information'!$B$11,G57+1,"")</f>
        <v>2033</v>
      </c>
      <c r="H58" s="462">
        <f t="shared" si="3"/>
        <v>3070199.6407788387</v>
      </c>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s="353"/>
    </row>
    <row r="59" spans="1:54" x14ac:dyDescent="0.35">
      <c r="B59" s="381"/>
      <c r="C59" s="381"/>
      <c r="D59" s="340"/>
      <c r="F59" s="356"/>
      <c r="G59" s="326">
        <f>IF(G58&lt;'Project Information'!$B$11,G58+1,"")</f>
        <v>2034</v>
      </c>
      <c r="H59" s="462">
        <f t="shared" si="3"/>
        <v>3154630.1309002568</v>
      </c>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s="353"/>
    </row>
    <row r="60" spans="1:54" x14ac:dyDescent="0.35">
      <c r="F60" s="356"/>
      <c r="G60" s="326">
        <f>IF(G59&lt;'Project Information'!$B$11,G59+1,"")</f>
        <v>2035</v>
      </c>
      <c r="H60" s="462">
        <f t="shared" si="3"/>
        <v>3241382.4595000139</v>
      </c>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s="353"/>
    </row>
    <row r="61" spans="1:54" x14ac:dyDescent="0.35">
      <c r="F61" s="356"/>
      <c r="G61" s="326">
        <f>IF(G60&lt;'Project Information'!$B$11,G60+1,"")</f>
        <v>2036</v>
      </c>
      <c r="H61" s="462">
        <f t="shared" si="3"/>
        <v>3330520.4771362641</v>
      </c>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s="353"/>
    </row>
    <row r="62" spans="1:54" x14ac:dyDescent="0.35">
      <c r="F62" s="356"/>
      <c r="G62" s="326">
        <f>IF(G61&lt;'Project Information'!$B$11,G61+1,"")</f>
        <v>2037</v>
      </c>
      <c r="H62" s="462">
        <f t="shared" si="3"/>
        <v>3422109.7902575112</v>
      </c>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s="353"/>
    </row>
    <row r="63" spans="1:54" x14ac:dyDescent="0.35">
      <c r="F63" s="356"/>
      <c r="G63" s="326">
        <f>IF(G62&lt;'Project Information'!$B$11,G62+1,"")</f>
        <v>2038</v>
      </c>
      <c r="H63" s="462">
        <f t="shared" si="3"/>
        <v>3516217.8094895929</v>
      </c>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s="353"/>
    </row>
    <row r="64" spans="1:54" x14ac:dyDescent="0.35">
      <c r="F64" s="356"/>
      <c r="G64" s="326">
        <f>IF(G63&lt;'Project Information'!$B$11,G63+1,"")</f>
        <v>2039</v>
      </c>
      <c r="H64" s="462">
        <f t="shared" si="3"/>
        <v>3612913.7992505566</v>
      </c>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s="353"/>
    </row>
    <row r="65" spans="6:54" x14ac:dyDescent="0.35">
      <c r="F65" s="356"/>
      <c r="G65" s="326">
        <f>IF(G64&lt;'Project Information'!$B$11,G64+1,"")</f>
        <v>2040</v>
      </c>
      <c r="H65" s="462">
        <f t="shared" si="3"/>
        <v>3712268.9287299467</v>
      </c>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s="353"/>
    </row>
    <row r="66" spans="6:54" x14ac:dyDescent="0.35">
      <c r="F66" s="356"/>
      <c r="G66" s="326">
        <f>IF(G65&lt;'Project Information'!$B$11,G65+1,"")</f>
        <v>2041</v>
      </c>
      <c r="H66" s="462">
        <f t="shared" si="3"/>
        <v>3814356.3242700202</v>
      </c>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s="353"/>
    </row>
    <row r="67" spans="6:54" x14ac:dyDescent="0.35">
      <c r="F67" s="356"/>
      <c r="G67" s="326">
        <f>IF(G66&lt;'Project Information'!$B$11,G66+1,"")</f>
        <v>2042</v>
      </c>
      <c r="H67" s="462">
        <f t="shared" si="3"/>
        <v>3919251.123187446</v>
      </c>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s="353"/>
    </row>
    <row r="68" spans="6:54" x14ac:dyDescent="0.35">
      <c r="F68" s="356"/>
      <c r="G68" s="326">
        <f>IF(G67&lt;'Project Information'!$B$11,G67+1,"")</f>
        <v>2043</v>
      </c>
      <c r="H68" s="462">
        <f t="shared" si="3"/>
        <v>4027030.529075101</v>
      </c>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s="353"/>
    </row>
    <row r="69" spans="6:54" x14ac:dyDescent="0.35">
      <c r="F69" s="356"/>
      <c r="G69" s="326">
        <f>IF(G68&lt;'Project Information'!$B$11,G68+1,"")</f>
        <v>2044</v>
      </c>
      <c r="H69" s="462">
        <f t="shared" si="3"/>
        <v>4137773.8686246662</v>
      </c>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s="353"/>
    </row>
    <row r="70" spans="6:54" x14ac:dyDescent="0.35">
      <c r="F70" s="356"/>
      <c r="G70" s="326">
        <f>IF(G69&lt;'Project Information'!$B$11,G69+1,"")</f>
        <v>2045</v>
      </c>
      <c r="H70" s="462">
        <f t="shared" si="3"/>
        <v>4251562.6500118449</v>
      </c>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s="353"/>
    </row>
    <row r="71" spans="6:54" x14ac:dyDescent="0.35">
      <c r="F71" s="356"/>
      <c r="G71" s="326">
        <f>IF(G70&lt;'Project Information'!$B$11,G70+1,"")</f>
        <v>2046</v>
      </c>
      <c r="H71" s="462">
        <f t="shared" si="3"/>
        <v>4368480.6228871709</v>
      </c>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s="353"/>
    </row>
    <row r="72" spans="6:54" x14ac:dyDescent="0.35">
      <c r="F72" s="356"/>
      <c r="G72" s="326">
        <f>IF(G71&lt;'Project Information'!$B$11,G71+1,"")</f>
        <v>2047</v>
      </c>
      <c r="H72" s="462">
        <f t="shared" si="3"/>
        <v>4488613.8400165681</v>
      </c>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s="353"/>
    </row>
    <row r="73" spans="6:54" x14ac:dyDescent="0.35">
      <c r="F73" s="356"/>
      <c r="G73" s="326">
        <f>IF(G72&lt;'Project Information'!$B$11,G72+1,"")</f>
        <v>2048</v>
      </c>
      <c r="H73" s="462">
        <f t="shared" si="3"/>
        <v>4612050.7206170233</v>
      </c>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s="353"/>
    </row>
    <row r="74" spans="6:54" x14ac:dyDescent="0.35">
      <c r="F74" s="356"/>
      <c r="G74" s="326">
        <f>IF(G73&lt;'Project Information'!$B$11,G73+1,"")</f>
        <v>2049</v>
      </c>
      <c r="H74" s="462">
        <f t="shared" si="3"/>
        <v>4738882.1154339919</v>
      </c>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s="353"/>
    </row>
    <row r="75" spans="6:54" x14ac:dyDescent="0.35">
      <c r="F75" s="356"/>
      <c r="G75" s="326">
        <f>IF(G74&lt;'Project Information'!$B$11,G74+1,"")</f>
        <v>2050</v>
      </c>
      <c r="H75" s="462">
        <f t="shared" si="3"/>
        <v>4869201.3736084271</v>
      </c>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s="353"/>
    </row>
    <row r="76" spans="6:54" x14ac:dyDescent="0.35">
      <c r="F76" s="356"/>
      <c r="G76" s="326">
        <f>IF(G75&lt;'Project Information'!$B$11,G75+1,"")</f>
        <v>2051</v>
      </c>
      <c r="H76" s="462">
        <f t="shared" si="3"/>
        <v>5003104.4113826584</v>
      </c>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s="353"/>
    </row>
    <row r="77" spans="6:54" x14ac:dyDescent="0.35">
      <c r="F77" s="356"/>
      <c r="G77" s="326">
        <f>IF(G76&lt;'Project Information'!$B$11,G76+1,"")</f>
        <v>2052</v>
      </c>
      <c r="H77" s="462">
        <f t="shared" si="3"/>
        <v>5140689.7826956818</v>
      </c>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s="353"/>
    </row>
    <row r="78" spans="6:54" x14ac:dyDescent="0.35">
      <c r="F78" s="356"/>
      <c r="G78" s="326">
        <f>IF(G77&lt;'Project Information'!$B$11,G77+1,"")</f>
        <v>2053</v>
      </c>
      <c r="H78" s="462">
        <f t="shared" si="3"/>
        <v>5282058.7517198129</v>
      </c>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s="353"/>
    </row>
    <row r="79" spans="6:54" x14ac:dyDescent="0.35">
      <c r="F79" s="356"/>
      <c r="G79" s="326">
        <f>IF(G78&lt;'Project Information'!$B$11,G78+1,"")</f>
        <v>2054</v>
      </c>
      <c r="H79" s="462">
        <f t="shared" si="3"/>
        <v>5427315.3673921078</v>
      </c>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s="353"/>
    </row>
    <row r="80" spans="6:54" x14ac:dyDescent="0.35">
      <c r="G80" s="326" t="str">
        <f>IF(G79&lt;'Project Information'!$B$11,G79+1,"")</f>
        <v/>
      </c>
      <c r="H80" s="462">
        <f t="shared" si="3"/>
        <v>0</v>
      </c>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s="353"/>
    </row>
    <row r="81" spans="7:54" x14ac:dyDescent="0.35">
      <c r="G81" s="326" t="str">
        <f>IF(G80&lt;'Project Information'!$B$11,G80+1,"")</f>
        <v/>
      </c>
      <c r="H81" s="462">
        <f t="shared" si="3"/>
        <v>0</v>
      </c>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s="353"/>
    </row>
    <row r="82" spans="7:54" x14ac:dyDescent="0.35">
      <c r="G82" s="326" t="str">
        <f>IF(G81&lt;'Project Information'!$B$11,G81+1,"")</f>
        <v/>
      </c>
      <c r="H82" s="462">
        <f t="shared" si="3"/>
        <v>0</v>
      </c>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s="353"/>
    </row>
    <row r="83" spans="7:54" x14ac:dyDescent="0.35">
      <c r="G83" s="326" t="str">
        <f>IF(G82&lt;'Project Information'!$B$11,G82+1,"")</f>
        <v/>
      </c>
      <c r="H83" s="462">
        <f t="shared" si="3"/>
        <v>0</v>
      </c>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s="353"/>
    </row>
    <row r="84" spans="7:54" x14ac:dyDescent="0.35">
      <c r="G84" s="12" t="str">
        <f>IF(G83&lt;'Project Information'!$B$11,G83+1,"")</f>
        <v/>
      </c>
      <c r="H84" s="462">
        <f t="shared" si="3"/>
        <v>0</v>
      </c>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s="353"/>
    </row>
    <row r="85" spans="7:54" x14ac:dyDescent="0.35">
      <c r="G85" s="400" t="s">
        <v>82</v>
      </c>
      <c r="H85" s="395">
        <f>SUM(H55:H84)</f>
        <v>99866926.692860663</v>
      </c>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s="353"/>
    </row>
    <row r="86" spans="7:54" x14ac:dyDescent="0.35">
      <c r="G86" s="400" t="s">
        <v>184</v>
      </c>
      <c r="H86" s="399">
        <f>NPV(0.031,H55:H84)/(1.031^(Opening_Year-Base_Year-1))</f>
        <v>53223123.631993897</v>
      </c>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s="353"/>
    </row>
    <row r="87" spans="7:54" x14ac:dyDescent="0.35">
      <c r="G87" s="352"/>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s="353"/>
    </row>
    <row r="88" spans="7:54" x14ac:dyDescent="0.35">
      <c r="G88" s="352"/>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s="353"/>
    </row>
    <row r="89" spans="7:54" x14ac:dyDescent="0.35">
      <c r="G89" s="352"/>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s="353"/>
    </row>
    <row r="90" spans="7:54" x14ac:dyDescent="0.35">
      <c r="G90" s="352"/>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s="353"/>
    </row>
    <row r="91" spans="7:54" x14ac:dyDescent="0.35">
      <c r="G91" s="352"/>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s="353"/>
    </row>
    <row r="92" spans="7:54" x14ac:dyDescent="0.35">
      <c r="G92" s="35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s="353"/>
    </row>
    <row r="93" spans="7:54" x14ac:dyDescent="0.35">
      <c r="G93" s="352"/>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s="353"/>
    </row>
    <row r="94" spans="7:54" x14ac:dyDescent="0.35">
      <c r="G94" s="352"/>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s="353"/>
    </row>
    <row r="95" spans="7:54" x14ac:dyDescent="0.35">
      <c r="G95" s="352"/>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s="353"/>
    </row>
    <row r="96" spans="7:54" x14ac:dyDescent="0.35">
      <c r="G96" s="352"/>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s="353"/>
    </row>
    <row r="97" spans="6:54" x14ac:dyDescent="0.35">
      <c r="G97" s="352"/>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s="353"/>
    </row>
    <row r="98" spans="6:54" x14ac:dyDescent="0.35">
      <c r="G98" s="352"/>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s="353"/>
    </row>
    <row r="99" spans="6:54" x14ac:dyDescent="0.35">
      <c r="G99" s="352"/>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s="353"/>
    </row>
    <row r="100" spans="6:54" x14ac:dyDescent="0.35">
      <c r="G100" s="352"/>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s="353"/>
    </row>
    <row r="101" spans="6:54" x14ac:dyDescent="0.35">
      <c r="G101" s="352"/>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s="353"/>
    </row>
    <row r="102" spans="6:54" x14ac:dyDescent="0.35">
      <c r="G102" s="35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s="353"/>
    </row>
    <row r="103" spans="6:54" x14ac:dyDescent="0.35">
      <c r="G103" s="352"/>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s="353"/>
    </row>
    <row r="104" spans="6:54" x14ac:dyDescent="0.35">
      <c r="G104" s="352"/>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s="353"/>
    </row>
    <row r="105" spans="6:54" x14ac:dyDescent="0.35">
      <c r="G105" s="352"/>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s="353"/>
    </row>
    <row r="106" spans="6:54" x14ac:dyDescent="0.35">
      <c r="G106" s="352"/>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s="353"/>
    </row>
    <row r="107" spans="6:54" x14ac:dyDescent="0.35">
      <c r="G107" s="352"/>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s="353"/>
    </row>
    <row r="108" spans="6:54" x14ac:dyDescent="0.35">
      <c r="G108" s="352"/>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s="353"/>
    </row>
    <row r="109" spans="6:54" x14ac:dyDescent="0.35">
      <c r="G109" s="352"/>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s="353"/>
    </row>
    <row r="110" spans="6:54" x14ac:dyDescent="0.35">
      <c r="G110" s="352"/>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s="353"/>
    </row>
    <row r="111" spans="6:54" x14ac:dyDescent="0.35">
      <c r="F111" s="356"/>
      <c r="G111" s="352"/>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s="353"/>
    </row>
    <row r="112" spans="6:54" x14ac:dyDescent="0.35">
      <c r="G112" s="35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s="353"/>
    </row>
    <row r="113" spans="7:54" x14ac:dyDescent="0.35">
      <c r="G113" s="352"/>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s="353"/>
    </row>
    <row r="114" spans="7:54" x14ac:dyDescent="0.35">
      <c r="G114" s="352"/>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s="353"/>
    </row>
    <row r="115" spans="7:54" x14ac:dyDescent="0.35">
      <c r="G115" s="352"/>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s="353"/>
    </row>
    <row r="116" spans="7:54" x14ac:dyDescent="0.35">
      <c r="G116" s="352"/>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s="353"/>
    </row>
    <row r="117" spans="7:54" ht="15" thickBot="1" x14ac:dyDescent="0.4">
      <c r="G117" s="446"/>
      <c r="H117" s="382"/>
      <c r="I117" s="382"/>
      <c r="J117" s="382"/>
      <c r="K117" s="382"/>
      <c r="L117" s="382"/>
      <c r="M117" s="382"/>
      <c r="N117" s="382"/>
      <c r="O117" s="382"/>
      <c r="P117" s="382"/>
      <c r="Q117" s="382"/>
      <c r="R117" s="382"/>
      <c r="S117" s="382"/>
      <c r="T117" s="382"/>
      <c r="U117" s="382"/>
      <c r="V117" s="382"/>
      <c r="W117" s="382"/>
      <c r="X117" s="382"/>
      <c r="Y117" s="382"/>
      <c r="Z117" s="382"/>
      <c r="AA117" s="382"/>
      <c r="AB117" s="382"/>
      <c r="AC117" s="382"/>
      <c r="AD117" s="382"/>
      <c r="AE117" s="382"/>
      <c r="AF117" s="382"/>
      <c r="AG117" s="382"/>
      <c r="AH117" s="382"/>
      <c r="AI117" s="382"/>
      <c r="AJ117" s="382"/>
      <c r="AK117" s="382"/>
      <c r="AL117" s="382"/>
      <c r="AM117" s="382"/>
      <c r="AN117" s="382"/>
      <c r="AO117" s="382"/>
      <c r="AP117" s="382"/>
      <c r="AQ117" s="382"/>
      <c r="AR117" s="382"/>
      <c r="AS117" s="382"/>
      <c r="AT117" s="382"/>
      <c r="AU117" s="382"/>
      <c r="AV117" s="382"/>
      <c r="AW117" s="382"/>
      <c r="AX117" s="382"/>
      <c r="AY117" s="382"/>
      <c r="AZ117" s="382"/>
      <c r="BA117" s="382"/>
      <c r="BB117" s="383"/>
    </row>
    <row r="118" spans="7:54" x14ac:dyDescent="0.35">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row>
  </sheetData>
  <sheetProtection algorithmName="SHA-512" hashValue="XVfVWD89ynn5UgEBFRK+s+gej1hLTSqZfzPYkXHeYNbGLwINtYrisPx5K7SpjAId2iSUpq7gIVuWUXzcaInG4A==" saltValue="MC949vhRQrRSTIjEoHUNEA==" spinCount="100000" sheet="1" objects="1" scenarios="1"/>
  <conditionalFormatting sqref="B20:B49">
    <cfRule type="expression" dxfId="21" priority="3">
      <formula>A20=""</formula>
    </cfRule>
  </conditionalFormatting>
  <conditionalFormatting sqref="C20:C49">
    <cfRule type="expression" dxfId="20" priority="2">
      <formula>A20=""</formula>
    </cfRule>
  </conditionalFormatting>
  <conditionalFormatting sqref="H55:H84">
    <cfRule type="expression" dxfId="19" priority="1">
      <formula>G55=""</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30D9-1B86-43D8-998D-E7E6B2E3003D}">
  <sheetPr codeName="Sheet10">
    <tabColor theme="5" tint="0.59999389629810485"/>
  </sheetPr>
  <dimension ref="A1:BJ114"/>
  <sheetViews>
    <sheetView topLeftCell="O44" workbookViewId="0">
      <selection activeCell="P47" sqref="P47"/>
    </sheetView>
  </sheetViews>
  <sheetFormatPr defaultColWidth="9.1796875" defaultRowHeight="14.5" x14ac:dyDescent="0.35"/>
  <cols>
    <col min="1" max="1" width="39" style="42" customWidth="1"/>
    <col min="2" max="2" width="35.453125" style="42" customWidth="1"/>
    <col min="3" max="3" width="35.54296875" style="42" customWidth="1"/>
    <col min="4" max="4" width="30.1796875" style="42" customWidth="1"/>
    <col min="5" max="5" width="26.81640625" style="42" customWidth="1"/>
    <col min="6" max="6" width="16.1796875" style="42" bestFit="1" customWidth="1"/>
    <col min="7" max="7" width="41.1796875" style="42" bestFit="1" customWidth="1"/>
    <col min="8" max="8" width="36.54296875" style="42" bestFit="1" customWidth="1"/>
    <col min="9" max="11" width="15.81640625" style="42" customWidth="1"/>
    <col min="12" max="12" width="28.54296875" style="42" customWidth="1"/>
    <col min="13" max="13" width="24.81640625" style="42" customWidth="1"/>
    <col min="14" max="14" width="9.1796875" style="42"/>
    <col min="15" max="15" width="57.1796875" style="42" customWidth="1"/>
    <col min="16" max="16" width="55.453125" style="42" customWidth="1"/>
    <col min="17" max="17" width="49.453125" style="42" bestFit="1" customWidth="1"/>
    <col min="18" max="18" width="16.1796875" style="42" bestFit="1" customWidth="1"/>
    <col min="19" max="20" width="41.1796875" style="42" bestFit="1" customWidth="1"/>
    <col min="21" max="21" width="36.54296875" style="42" bestFit="1" customWidth="1"/>
    <col min="22" max="22" width="44" style="42" customWidth="1"/>
    <col min="23" max="23" width="16.1796875" style="42" bestFit="1" customWidth="1"/>
    <col min="24" max="24" width="41.1796875" style="42" customWidth="1"/>
    <col min="25" max="25" width="38.453125" style="42" customWidth="1"/>
    <col min="26" max="26" width="16.81640625" style="42" customWidth="1"/>
    <col min="27" max="27" width="13.81640625" style="42" customWidth="1"/>
    <col min="28" max="28" width="15.81640625" style="42" bestFit="1" customWidth="1"/>
    <col min="29" max="29" width="12.81640625" style="42" bestFit="1" customWidth="1"/>
    <col min="30" max="30" width="18.453125" style="42" customWidth="1"/>
    <col min="31" max="31" width="16.54296875" style="42" customWidth="1"/>
    <col min="32" max="32" width="16.54296875" style="42" bestFit="1" customWidth="1"/>
    <col min="33" max="33" width="16.1796875" style="42" customWidth="1"/>
    <col min="34" max="34" width="42" style="42" customWidth="1"/>
    <col min="35" max="35" width="35.81640625" style="42" customWidth="1"/>
    <col min="36" max="36" width="24.81640625" style="42" bestFit="1" customWidth="1"/>
    <col min="37" max="37" width="20.54296875" style="42" bestFit="1" customWidth="1"/>
    <col min="38" max="38" width="17.1796875" style="42" customWidth="1"/>
    <col min="39" max="39" width="19.54296875" style="42" customWidth="1"/>
    <col min="40" max="40" width="9.1796875" style="42"/>
    <col min="41" max="41" width="12" style="42" customWidth="1"/>
    <col min="42" max="70" width="9.1796875" style="42"/>
    <col min="71" max="71" width="38.81640625" style="42" customWidth="1"/>
    <col min="72" max="72" width="15.1796875" style="42" customWidth="1"/>
    <col min="73" max="16384" width="9.1796875" style="42"/>
  </cols>
  <sheetData>
    <row r="1" spans="1:6" ht="20" thickBot="1" x14ac:dyDescent="0.5">
      <c r="A1" s="316" t="s">
        <v>302</v>
      </c>
      <c r="B1" s="463"/>
      <c r="C1" s="463"/>
      <c r="D1" s="463"/>
      <c r="E1" s="463"/>
      <c r="F1" s="463"/>
    </row>
    <row r="2" spans="1:6" ht="15" thickTop="1" x14ac:dyDescent="0.35">
      <c r="A2" s="464"/>
      <c r="B2" s="465"/>
      <c r="C2" s="465"/>
      <c r="D2" s="465"/>
      <c r="E2" s="465"/>
      <c r="F2" s="465"/>
    </row>
    <row r="3" spans="1:6" x14ac:dyDescent="0.35">
      <c r="A3" s="466"/>
      <c r="B3" s="465"/>
      <c r="C3" s="465"/>
      <c r="D3" s="465"/>
    </row>
    <row r="4" spans="1:6" x14ac:dyDescent="0.35">
      <c r="A4" s="466"/>
      <c r="B4" s="465"/>
      <c r="C4" s="465"/>
    </row>
    <row r="5" spans="1:6" x14ac:dyDescent="0.35">
      <c r="A5" s="466"/>
      <c r="B5" s="465"/>
      <c r="C5" s="465"/>
      <c r="D5" s="465"/>
      <c r="E5" s="465"/>
    </row>
    <row r="6" spans="1:6" x14ac:dyDescent="0.35">
      <c r="A6" s="42" t="s">
        <v>171</v>
      </c>
    </row>
    <row r="7" spans="1:6" x14ac:dyDescent="0.35">
      <c r="A7" s="318" t="s">
        <v>303</v>
      </c>
    </row>
    <row r="8" spans="1:6" x14ac:dyDescent="0.35">
      <c r="A8" s="406" t="s">
        <v>304</v>
      </c>
      <c r="B8" s="406" t="s">
        <v>305</v>
      </c>
      <c r="C8" s="406" t="s">
        <v>305</v>
      </c>
    </row>
    <row r="9" spans="1:6" ht="16.5" x14ac:dyDescent="0.35">
      <c r="A9" s="467"/>
      <c r="B9" s="468" t="s">
        <v>306</v>
      </c>
      <c r="C9" s="468" t="s">
        <v>307</v>
      </c>
    </row>
    <row r="10" spans="1:6" x14ac:dyDescent="0.35">
      <c r="A10" s="407" t="s">
        <v>308</v>
      </c>
      <c r="B10" s="469" t="s">
        <v>309</v>
      </c>
      <c r="C10" s="470">
        <f>'Parameter Values'!F232</f>
        <v>0.107</v>
      </c>
    </row>
    <row r="11" spans="1:6" x14ac:dyDescent="0.35">
      <c r="A11" s="407" t="s">
        <v>310</v>
      </c>
      <c r="B11" s="469" t="s">
        <v>309</v>
      </c>
      <c r="C11" s="470">
        <f>'Parameter Values'!F233</f>
        <v>0.109</v>
      </c>
    </row>
    <row r="12" spans="1:6" x14ac:dyDescent="0.35">
      <c r="A12" s="407" t="s">
        <v>311</v>
      </c>
      <c r="B12" s="470">
        <f>'Parameter Values'!E234</f>
        <v>1.2E-2</v>
      </c>
      <c r="C12" s="470">
        <f>'Parameter Values'!F234</f>
        <v>0.107</v>
      </c>
    </row>
    <row r="13" spans="1:6" x14ac:dyDescent="0.35">
      <c r="A13" s="407" t="s">
        <v>312</v>
      </c>
      <c r="B13" s="469" t="s">
        <v>309</v>
      </c>
      <c r="C13" s="470">
        <f>'Parameter Values'!F235</f>
        <v>0.30299999999999999</v>
      </c>
    </row>
    <row r="14" spans="1:6" x14ac:dyDescent="0.35">
      <c r="A14" s="407" t="s">
        <v>313</v>
      </c>
      <c r="B14" s="469" t="s">
        <v>309</v>
      </c>
      <c r="C14" s="470">
        <f>'Parameter Values'!F236</f>
        <v>0.29899999999999999</v>
      </c>
    </row>
    <row r="15" spans="1:6" x14ac:dyDescent="0.35">
      <c r="A15" s="407" t="s">
        <v>314</v>
      </c>
      <c r="B15" s="470">
        <f>'Parameter Values'!E237</f>
        <v>3.5000000000000003E-2</v>
      </c>
      <c r="C15" s="470">
        <f>'Parameter Values'!F237</f>
        <v>0.30099999999999999</v>
      </c>
    </row>
    <row r="16" spans="1:6" x14ac:dyDescent="0.35">
      <c r="A16" s="407" t="s">
        <v>315</v>
      </c>
      <c r="B16" s="469" t="s">
        <v>309</v>
      </c>
      <c r="C16" s="470">
        <f>'Parameter Values'!F238</f>
        <v>0.124</v>
      </c>
    </row>
    <row r="17" spans="1:62" x14ac:dyDescent="0.35">
      <c r="A17" s="407" t="s">
        <v>316</v>
      </c>
      <c r="B17" s="469" t="s">
        <v>309</v>
      </c>
      <c r="C17" s="470">
        <f>'Parameter Values'!F239</f>
        <v>0.14000000000000001</v>
      </c>
    </row>
    <row r="18" spans="1:62" x14ac:dyDescent="0.35">
      <c r="A18" s="407" t="s">
        <v>317</v>
      </c>
      <c r="B18" s="470">
        <f>'Parameter Values'!E240</f>
        <v>1.4999999999999999E-2</v>
      </c>
      <c r="C18" s="470">
        <f>'Parameter Values'!F240</f>
        <v>0.129</v>
      </c>
    </row>
    <row r="19" spans="1:62" x14ac:dyDescent="0.35">
      <c r="A19" s="406" t="s">
        <v>318</v>
      </c>
      <c r="B19" s="406" t="s">
        <v>319</v>
      </c>
      <c r="C19" s="406" t="s">
        <v>319</v>
      </c>
    </row>
    <row r="20" spans="1:62" ht="16.5" x14ac:dyDescent="0.35">
      <c r="A20" s="471" t="s">
        <v>320</v>
      </c>
      <c r="B20" s="468" t="s">
        <v>306</v>
      </c>
      <c r="C20" s="468" t="s">
        <v>307</v>
      </c>
    </row>
    <row r="21" spans="1:62" x14ac:dyDescent="0.35">
      <c r="A21" s="407" t="s">
        <v>321</v>
      </c>
      <c r="B21" s="472">
        <f>'Parameter Values'!C63</f>
        <v>749</v>
      </c>
      <c r="C21" s="472">
        <f>'Parameter Values'!D63</f>
        <v>28</v>
      </c>
    </row>
    <row r="22" spans="1:62" x14ac:dyDescent="0.35">
      <c r="A22" s="407" t="s">
        <v>322</v>
      </c>
      <c r="B22" s="472">
        <f>'Parameter Values'!C64</f>
        <v>102</v>
      </c>
      <c r="C22" s="472">
        <f>'Parameter Values'!D64</f>
        <v>26</v>
      </c>
    </row>
    <row r="23" spans="1:62" x14ac:dyDescent="0.35">
      <c r="A23" s="407" t="s">
        <v>323</v>
      </c>
      <c r="B23" s="472">
        <f>'Parameter Values'!C65</f>
        <v>102</v>
      </c>
      <c r="C23" s="472">
        <f>'Parameter Values'!D65</f>
        <v>26</v>
      </c>
    </row>
    <row r="24" spans="1:62" x14ac:dyDescent="0.35">
      <c r="A24" s="407" t="s">
        <v>324</v>
      </c>
      <c r="B24" s="472">
        <f>'Parameter Values'!C66</f>
        <v>102</v>
      </c>
      <c r="C24" s="472">
        <f>'Parameter Values'!D66</f>
        <v>26</v>
      </c>
    </row>
    <row r="25" spans="1:62" ht="16.5" x14ac:dyDescent="0.35">
      <c r="A25" s="471" t="s">
        <v>325</v>
      </c>
      <c r="B25" s="468" t="s">
        <v>306</v>
      </c>
      <c r="C25" s="468" t="s">
        <v>307</v>
      </c>
    </row>
    <row r="26" spans="1:62" x14ac:dyDescent="0.35">
      <c r="A26" s="407" t="s">
        <v>321</v>
      </c>
      <c r="B26" s="472">
        <f>'Parameter Values'!C68</f>
        <v>2202</v>
      </c>
      <c r="C26" s="472">
        <f>'Parameter Values'!D68</f>
        <v>280</v>
      </c>
    </row>
    <row r="27" spans="1:62" x14ac:dyDescent="0.35">
      <c r="A27" s="407" t="s">
        <v>322</v>
      </c>
      <c r="B27" s="472">
        <f>'Parameter Values'!C69</f>
        <v>727</v>
      </c>
      <c r="C27" s="472">
        <f>'Parameter Values'!D69</f>
        <v>218</v>
      </c>
    </row>
    <row r="28" spans="1:62" x14ac:dyDescent="0.35">
      <c r="A28" s="407" t="s">
        <v>323</v>
      </c>
      <c r="B28" s="472">
        <f>'Parameter Values'!C70</f>
        <v>727</v>
      </c>
      <c r="C28" s="472">
        <f>'Parameter Values'!D70</f>
        <v>218</v>
      </c>
    </row>
    <row r="29" spans="1:62" x14ac:dyDescent="0.35">
      <c r="A29" s="407" t="s">
        <v>324</v>
      </c>
      <c r="B29" s="472">
        <f>'Parameter Values'!C71</f>
        <v>727</v>
      </c>
      <c r="C29" s="472">
        <f>'Parameter Values'!D71</f>
        <v>218</v>
      </c>
    </row>
    <row r="30" spans="1:62" x14ac:dyDescent="0.35">
      <c r="A30" s="42" t="s">
        <v>171</v>
      </c>
    </row>
    <row r="31" spans="1:62" ht="15" thickBot="1" x14ac:dyDescent="0.4">
      <c r="A31" s="318" t="s">
        <v>326</v>
      </c>
      <c r="B31" s="473"/>
      <c r="C31" s="473"/>
      <c r="D31" s="473"/>
      <c r="E31" s="473"/>
      <c r="F31" s="473"/>
    </row>
    <row r="32" spans="1:62" ht="16.5" x14ac:dyDescent="0.45">
      <c r="A32" s="321" t="s">
        <v>173</v>
      </c>
      <c r="B32" s="474" t="s">
        <v>327</v>
      </c>
      <c r="C32" s="475" t="s">
        <v>328</v>
      </c>
      <c r="D32" s="475" t="s">
        <v>329</v>
      </c>
      <c r="E32" s="475" t="s">
        <v>330</v>
      </c>
      <c r="F32" s="475" t="s">
        <v>331</v>
      </c>
      <c r="G32" s="320" t="s">
        <v>332</v>
      </c>
      <c r="H32" s="334" t="s">
        <v>333</v>
      </c>
      <c r="O32" s="347" t="s">
        <v>334</v>
      </c>
      <c r="P32" s="348"/>
      <c r="Q32" s="348"/>
      <c r="R32" s="348"/>
      <c r="S32" s="348"/>
      <c r="T32" s="348"/>
      <c r="U32" s="348"/>
      <c r="V32" s="348"/>
      <c r="W32" s="348"/>
      <c r="X32" s="348"/>
      <c r="Y32" s="348"/>
      <c r="Z32" s="348"/>
      <c r="AA32" s="348"/>
      <c r="AB32" s="348"/>
      <c r="AC32" s="348"/>
      <c r="AD32" s="348"/>
      <c r="AE32" s="348"/>
      <c r="AF32" s="348"/>
      <c r="AG32" s="348"/>
      <c r="AH32" s="348"/>
      <c r="AI32" s="348"/>
      <c r="AJ32" s="348"/>
      <c r="AK32" s="348"/>
      <c r="AL32" s="348"/>
      <c r="AM32" s="348"/>
      <c r="AN32" s="348"/>
      <c r="AO32" s="348"/>
      <c r="AP32" s="348"/>
      <c r="AQ32" s="348"/>
      <c r="AR32" s="348"/>
      <c r="AS32" s="348"/>
      <c r="AT32" s="348"/>
      <c r="AU32" s="348"/>
      <c r="AV32" s="348"/>
      <c r="AW32" s="348"/>
      <c r="AX32" s="348"/>
      <c r="AY32" s="348"/>
      <c r="AZ32" s="348"/>
      <c r="BA32" s="348"/>
      <c r="BB32" s="348"/>
      <c r="BC32" s="348"/>
      <c r="BD32" s="348"/>
      <c r="BE32" s="348"/>
      <c r="BF32" s="348"/>
      <c r="BG32" s="348"/>
      <c r="BH32" s="348"/>
      <c r="BI32" s="348"/>
      <c r="BJ32" s="349"/>
    </row>
    <row r="33" spans="1:62" x14ac:dyDescent="0.35">
      <c r="A33" s="10">
        <f>'Project Information'!$B$9</f>
        <v>2030</v>
      </c>
      <c r="B33" s="476">
        <f>IFERROR(VLOOKUP($A33,'Parameter Values'!$A$78:$E$107,2,FALSE),'Parameter Values'!B$107)</f>
        <v>22000</v>
      </c>
      <c r="C33" s="476">
        <f>IFERROR(_xlfn.XLOOKUP($A33, 'Parameter Values'!$A$79:$A$109,'Parameter Values'!$G$79:$G$109), 'Parameter Values'!$G$109)</f>
        <v>912389</v>
      </c>
      <c r="D33" s="476">
        <f>IFERROR(VLOOKUP($A33,'Parameter Values'!$A$78:$E$107,3,FALSE),'Parameter Values'!C$107)</f>
        <v>61500</v>
      </c>
      <c r="E33" s="476">
        <f>IFERROR(VLOOKUP($A33,'Parameter Values'!$A$78:$E$107,4,FALSE),'Parameter Values'!D$107)</f>
        <v>1069000</v>
      </c>
      <c r="F33" s="476">
        <f>IFERROR(VLOOKUP($A33,'Parameter Values'!$A$78:$E$109,5,FALSE),'Parameter Values'!E$109)</f>
        <v>257.48275305795164</v>
      </c>
      <c r="G33" s="476">
        <f t="shared" ref="G33:G62" si="0">IF($A33="", 0, S73)</f>
        <v>280983.40698305052</v>
      </c>
      <c r="H33" s="477">
        <f t="shared" ref="H33:H62" si="1">IF($A33="", 0, T73)</f>
        <v>96912.626060685419</v>
      </c>
      <c r="O33" s="369"/>
      <c r="P33" s="370"/>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s="353"/>
    </row>
    <row r="34" spans="1:62" x14ac:dyDescent="0.35">
      <c r="A34" s="326">
        <f>IF(A33&lt;'Project Information'!$B$11,A33+1,"")</f>
        <v>2031</v>
      </c>
      <c r="B34" s="476">
        <f>IFERROR(VLOOKUP($A34,'Parameter Values'!$A$78:$E$107,2,FALSE),'Parameter Values'!B$107)</f>
        <v>22000</v>
      </c>
      <c r="C34" s="476">
        <f>IFERROR(_xlfn.XLOOKUP($A34, 'Parameter Values'!$A$79:$A$109,'Parameter Values'!$G$79:$G$109), 'Parameter Values'!$G$109)</f>
        <v>912389</v>
      </c>
      <c r="D34" s="476">
        <f>IFERROR(VLOOKUP($A34,'Parameter Values'!$A$78:$E$107,3,FALSE),'Parameter Values'!C$107)</f>
        <v>61500</v>
      </c>
      <c r="E34" s="476">
        <f>IFERROR(VLOOKUP($A34,'Parameter Values'!$A$78:$E$107,4,FALSE),'Parameter Values'!D$107)</f>
        <v>1069000</v>
      </c>
      <c r="F34" s="476">
        <f>IFERROR(VLOOKUP($A34,'Parameter Values'!$A$78:$E$109,5,FALSE),'Parameter Values'!E$109)</f>
        <v>261.96071398069864</v>
      </c>
      <c r="G34" s="476">
        <f t="shared" si="0"/>
        <v>288710.45067508443</v>
      </c>
      <c r="H34" s="478">
        <f t="shared" si="1"/>
        <v>101309.50976913435</v>
      </c>
      <c r="N34" s="356"/>
      <c r="O34" s="392" t="s">
        <v>212</v>
      </c>
      <c r="P34" s="424">
        <f>Project_ID</f>
        <v>1057</v>
      </c>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s="353"/>
    </row>
    <row r="35" spans="1:62" x14ac:dyDescent="0.35">
      <c r="A35" s="326">
        <f>IF(A34&lt;'Project Information'!$B$11,A34+1,"")</f>
        <v>2032</v>
      </c>
      <c r="B35" s="476">
        <f>IFERROR(VLOOKUP($A35,'Parameter Values'!$A$78:$E$107,2,FALSE),'Parameter Values'!B$107)</f>
        <v>22000</v>
      </c>
      <c r="C35" s="476">
        <f>IFERROR(_xlfn.XLOOKUP($A35, 'Parameter Values'!$A$79:$A$109,'Parameter Values'!$G$79:$G$109), 'Parameter Values'!$G$109)</f>
        <v>912389</v>
      </c>
      <c r="D35" s="476">
        <f>IFERROR(VLOOKUP($A35,'Parameter Values'!$A$78:$E$107,3,FALSE),'Parameter Values'!C$107)</f>
        <v>61500</v>
      </c>
      <c r="E35" s="476">
        <f>IFERROR(VLOOKUP($A35,'Parameter Values'!$A$78:$E$107,4,FALSE),'Parameter Values'!D$107)</f>
        <v>1069000</v>
      </c>
      <c r="F35" s="476">
        <f>IFERROR(VLOOKUP($A35,'Parameter Values'!$A$78:$E$109,5,FALSE),'Parameter Values'!E$109)</f>
        <v>265.31918467275887</v>
      </c>
      <c r="G35" s="476">
        <f t="shared" si="0"/>
        <v>296649.98806864925</v>
      </c>
      <c r="H35" s="478">
        <f t="shared" si="1"/>
        <v>105430.07925301357</v>
      </c>
      <c r="N35" s="356"/>
      <c r="O35" s="371" t="s">
        <v>335</v>
      </c>
      <c r="P35" s="372">
        <f>County</f>
        <v>0</v>
      </c>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s="353"/>
    </row>
    <row r="36" spans="1:62" x14ac:dyDescent="0.35">
      <c r="A36" s="326">
        <f>IF(A35&lt;'Project Information'!$B$11,A35+1,"")</f>
        <v>2033</v>
      </c>
      <c r="B36" s="476">
        <f>IFERROR(VLOOKUP($A36,'Parameter Values'!$A$78:$E$107,2,FALSE),'Parameter Values'!B$107)</f>
        <v>22000</v>
      </c>
      <c r="C36" s="476">
        <f>IFERROR(_xlfn.XLOOKUP($A36, 'Parameter Values'!$A$79:$A$109,'Parameter Values'!$G$79:$G$109), 'Parameter Values'!$G$109)</f>
        <v>912389</v>
      </c>
      <c r="D36" s="476">
        <f>IFERROR(VLOOKUP($A36,'Parameter Values'!$A$78:$E$107,3,FALSE),'Parameter Values'!C$107)</f>
        <v>61500</v>
      </c>
      <c r="E36" s="476">
        <f>IFERROR(VLOOKUP($A36,'Parameter Values'!$A$78:$E$107,4,FALSE),'Parameter Values'!D$107)</f>
        <v>1069000</v>
      </c>
      <c r="F36" s="476">
        <f>IFERROR(VLOOKUP($A36,'Parameter Values'!$A$78:$E$109,5,FALSE),'Parameter Values'!E$109)</f>
        <v>269.79714559550587</v>
      </c>
      <c r="G36" s="476">
        <f t="shared" si="0"/>
        <v>304807.86274053715</v>
      </c>
      <c r="H36" s="478">
        <f t="shared" si="1"/>
        <v>110157.75084483383</v>
      </c>
      <c r="N36" s="356"/>
      <c r="O36" s="371" t="s">
        <v>336</v>
      </c>
      <c r="P36" s="372" t="str">
        <f>Facility_Type</f>
        <v>Urban Restricted Access</v>
      </c>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s="353"/>
    </row>
    <row r="37" spans="1:62" x14ac:dyDescent="0.35">
      <c r="A37" s="326">
        <f>IF(A36&lt;'Project Information'!$B$11,A36+1,"")</f>
        <v>2034</v>
      </c>
      <c r="B37" s="476">
        <f>IFERROR(VLOOKUP($A37,'Parameter Values'!$A$78:$E$107,2,FALSE),'Parameter Values'!B$107)</f>
        <v>22000</v>
      </c>
      <c r="C37" s="476">
        <f>IFERROR(_xlfn.XLOOKUP($A37, 'Parameter Values'!$A$79:$A$109,'Parameter Values'!$G$79:$G$109), 'Parameter Values'!$G$109)</f>
        <v>912389</v>
      </c>
      <c r="D37" s="476">
        <f>IFERROR(VLOOKUP($A37,'Parameter Values'!$A$78:$E$107,3,FALSE),'Parameter Values'!C$107)</f>
        <v>61500</v>
      </c>
      <c r="E37" s="476">
        <f>IFERROR(VLOOKUP($A37,'Parameter Values'!$A$78:$E$107,4,FALSE),'Parameter Values'!D$107)</f>
        <v>1069000</v>
      </c>
      <c r="F37" s="476">
        <f>IFERROR(VLOOKUP($A37,'Parameter Values'!$A$78:$E$109,5,FALSE),'Parameter Values'!E$109)</f>
        <v>274.27510651825281</v>
      </c>
      <c r="G37" s="476">
        <f t="shared" si="0"/>
        <v>313190.07896590192</v>
      </c>
      <c r="H37" s="478">
        <f t="shared" si="1"/>
        <v>115065.71287676912</v>
      </c>
      <c r="N37" s="356"/>
      <c r="O37" s="448"/>
      <c r="P37" s="479"/>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s="353"/>
    </row>
    <row r="38" spans="1:62" x14ac:dyDescent="0.35">
      <c r="A38" s="326">
        <f>IF(A37&lt;'Project Information'!$B$11,A37+1,"")</f>
        <v>2035</v>
      </c>
      <c r="B38" s="476">
        <f>IFERROR(VLOOKUP($A38,'Parameter Values'!$A$78:$E$107,2,FALSE),'Parameter Values'!B$107)</f>
        <v>22000</v>
      </c>
      <c r="C38" s="476">
        <f>IFERROR(_xlfn.XLOOKUP($A38, 'Parameter Values'!$A$79:$A$109,'Parameter Values'!$G$79:$G$109), 'Parameter Values'!$G$109)</f>
        <v>912389</v>
      </c>
      <c r="D38" s="476">
        <f>IFERROR(VLOOKUP($A38,'Parameter Values'!$A$78:$E$107,3,FALSE),'Parameter Values'!C$107)</f>
        <v>61500</v>
      </c>
      <c r="E38" s="476">
        <f>IFERROR(VLOOKUP($A38,'Parameter Values'!$A$78:$E$107,4,FALSE),'Parameter Values'!D$107)</f>
        <v>1069000</v>
      </c>
      <c r="F38" s="476">
        <f>IFERROR(VLOOKUP($A38,'Parameter Values'!$A$78:$E$109,5,FALSE),'Parameter Values'!E$109)</f>
        <v>277.63357721031309</v>
      </c>
      <c r="G38" s="476">
        <f t="shared" si="0"/>
        <v>321802.8061374643</v>
      </c>
      <c r="H38" s="478">
        <f t="shared" si="1"/>
        <v>119677.73451125842</v>
      </c>
      <c r="N38" s="356"/>
      <c r="O38" s="451" t="s">
        <v>288</v>
      </c>
      <c r="P38" s="414">
        <f>Build_Project_Length</f>
        <v>2.7</v>
      </c>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s="353"/>
    </row>
    <row r="39" spans="1:62" x14ac:dyDescent="0.35">
      <c r="A39" s="326">
        <f>IF(A38&lt;'Project Information'!$B$11,A38+1,"")</f>
        <v>2036</v>
      </c>
      <c r="B39" s="476">
        <f>IFERROR(VLOOKUP($A39,'Parameter Values'!$A$78:$E$107,2,FALSE),'Parameter Values'!B$107)</f>
        <v>22000</v>
      </c>
      <c r="C39" s="476">
        <f>IFERROR(_xlfn.XLOOKUP($A39, 'Parameter Values'!$A$79:$A$109,'Parameter Values'!$G$79:$G$109), 'Parameter Values'!$G$109)</f>
        <v>912389</v>
      </c>
      <c r="D39" s="476">
        <f>IFERROR(VLOOKUP($A39,'Parameter Values'!$A$78:$E$107,3,FALSE),'Parameter Values'!C$107)</f>
        <v>61500</v>
      </c>
      <c r="E39" s="476">
        <f>IFERROR(VLOOKUP($A39,'Parameter Values'!$A$78:$E$107,4,FALSE),'Parameter Values'!D$107)</f>
        <v>1069000</v>
      </c>
      <c r="F39" s="476">
        <f>IFERROR(VLOOKUP($A39,'Parameter Values'!$A$78:$E$109,5,FALSE),'Parameter Values'!E$109)</f>
        <v>282.11153813306004</v>
      </c>
      <c r="G39" s="476">
        <f t="shared" si="0"/>
        <v>330652.38330624456</v>
      </c>
      <c r="H39" s="478">
        <f t="shared" si="1"/>
        <v>124952.24111693606</v>
      </c>
      <c r="N39" s="356"/>
      <c r="O39" s="451" t="s">
        <v>337</v>
      </c>
      <c r="P39" s="414">
        <f>Build_Project_Length</f>
        <v>2.7</v>
      </c>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s="353"/>
    </row>
    <row r="40" spans="1:62" x14ac:dyDescent="0.35">
      <c r="A40" s="326">
        <f>IF(A39&lt;'Project Information'!$B$11,A39+1,"")</f>
        <v>2037</v>
      </c>
      <c r="B40" s="476">
        <f>IFERROR(VLOOKUP($A40,'Parameter Values'!$A$78:$E$107,2,FALSE),'Parameter Values'!B$107)</f>
        <v>22000</v>
      </c>
      <c r="C40" s="476">
        <f>IFERROR(_xlfn.XLOOKUP($A40, 'Parameter Values'!$A$79:$A$109,'Parameter Values'!$G$79:$G$109), 'Parameter Values'!$G$109)</f>
        <v>912389</v>
      </c>
      <c r="D40" s="476">
        <f>IFERROR(VLOOKUP($A40,'Parameter Values'!$A$78:$E$107,3,FALSE),'Parameter Values'!C$107)</f>
        <v>61500</v>
      </c>
      <c r="E40" s="476">
        <f>IFERROR(VLOOKUP($A40,'Parameter Values'!$A$78:$E$107,4,FALSE),'Parameter Values'!D$107)</f>
        <v>1069000</v>
      </c>
      <c r="F40" s="476">
        <f>IFERROR(VLOOKUP($A40,'Parameter Values'!$A$78:$E$109,5,FALSE),'Parameter Values'!E$109)</f>
        <v>286.58949905580704</v>
      </c>
      <c r="G40" s="476">
        <f t="shared" si="0"/>
        <v>339745.32384716626</v>
      </c>
      <c r="H40" s="478">
        <f t="shared" si="1"/>
        <v>130426.33929920182</v>
      </c>
      <c r="N40" s="356"/>
      <c r="O40" s="451" t="s">
        <v>338</v>
      </c>
      <c r="P40" s="414">
        <f>Base_Year_AADT</f>
        <v>104119</v>
      </c>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s="353"/>
    </row>
    <row r="41" spans="1:62" x14ac:dyDescent="0.35">
      <c r="A41" s="326">
        <f>IF(A40&lt;'Project Information'!$B$11,A40+1,"")</f>
        <v>2038</v>
      </c>
      <c r="B41" s="476">
        <f>IFERROR(VLOOKUP($A41,'Parameter Values'!$A$78:$E$107,2,FALSE),'Parameter Values'!B$107)</f>
        <v>22000</v>
      </c>
      <c r="C41" s="476">
        <f>IFERROR(_xlfn.XLOOKUP($A41, 'Parameter Values'!$A$79:$A$109,'Parameter Values'!$G$79:$G$109), 'Parameter Values'!$G$109)</f>
        <v>912389</v>
      </c>
      <c r="D41" s="476">
        <f>IFERROR(VLOOKUP($A41,'Parameter Values'!$A$78:$E$107,3,FALSE),'Parameter Values'!C$107)</f>
        <v>61500</v>
      </c>
      <c r="E41" s="476">
        <f>IFERROR(VLOOKUP($A41,'Parameter Values'!$A$78:$E$107,4,FALSE),'Parameter Values'!D$107)</f>
        <v>1069000</v>
      </c>
      <c r="F41" s="476">
        <f>IFERROR(VLOOKUP($A41,'Parameter Values'!$A$78:$E$109,5,FALSE),'Parameter Values'!E$109)</f>
        <v>289.94796974786726</v>
      </c>
      <c r="G41" s="476">
        <f t="shared" si="0"/>
        <v>349088.32025296334</v>
      </c>
      <c r="H41" s="478">
        <f t="shared" si="1"/>
        <v>135583.52921934309</v>
      </c>
      <c r="N41" s="356"/>
      <c r="O41" s="451" t="s">
        <v>240</v>
      </c>
      <c r="P41" s="415">
        <f>Growth_Rate</f>
        <v>2.75E-2</v>
      </c>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s="353"/>
    </row>
    <row r="42" spans="1:62" x14ac:dyDescent="0.35">
      <c r="A42" s="326">
        <f>IF(A41&lt;'Project Information'!$B$11,A41+1,"")</f>
        <v>2039</v>
      </c>
      <c r="B42" s="476">
        <f>IFERROR(VLOOKUP($A42,'Parameter Values'!$A$78:$E$107,2,FALSE),'Parameter Values'!B$107)</f>
        <v>22000</v>
      </c>
      <c r="C42" s="476">
        <f>IFERROR(_xlfn.XLOOKUP($A42, 'Parameter Values'!$A$79:$A$109,'Parameter Values'!$G$79:$G$109), 'Parameter Values'!$G$109)</f>
        <v>912389</v>
      </c>
      <c r="D42" s="476">
        <f>IFERROR(VLOOKUP($A42,'Parameter Values'!$A$78:$E$107,3,FALSE),'Parameter Values'!C$107)</f>
        <v>61500</v>
      </c>
      <c r="E42" s="476">
        <f>IFERROR(VLOOKUP($A42,'Parameter Values'!$A$78:$E$107,4,FALSE),'Parameter Values'!D$107)</f>
        <v>1069000</v>
      </c>
      <c r="F42" s="476">
        <f>IFERROR(VLOOKUP($A42,'Parameter Values'!$A$78:$E$109,5,FALSE),'Parameter Values'!E$109)</f>
        <v>294.42593067061426</v>
      </c>
      <c r="G42" s="476">
        <f t="shared" si="0"/>
        <v>358688.24905991991</v>
      </c>
      <c r="H42" s="478">
        <f t="shared" si="1"/>
        <v>141463.61413037122</v>
      </c>
      <c r="N42" s="356"/>
      <c r="O42" s="451" t="s">
        <v>339</v>
      </c>
      <c r="P42" s="419">
        <f>No_Build_Start_AADT</f>
        <v>129355.42068721089</v>
      </c>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s="353"/>
    </row>
    <row r="43" spans="1:62" x14ac:dyDescent="0.35">
      <c r="A43" s="326">
        <f>IF(A42&lt;'Project Information'!$B$11,A42+1,"")</f>
        <v>2040</v>
      </c>
      <c r="B43" s="476">
        <f>IFERROR(VLOOKUP($A43,'Parameter Values'!$A$78:$E$107,2,FALSE),'Parameter Values'!B$107)</f>
        <v>22000</v>
      </c>
      <c r="C43" s="476">
        <f>IFERROR(_xlfn.XLOOKUP($A43, 'Parameter Values'!$A$79:$A$109,'Parameter Values'!$G$79:$G$109), 'Parameter Values'!$G$109)</f>
        <v>912389</v>
      </c>
      <c r="D43" s="476">
        <f>IFERROR(VLOOKUP($A43,'Parameter Values'!$A$78:$E$107,3,FALSE),'Parameter Values'!C$107)</f>
        <v>61500</v>
      </c>
      <c r="E43" s="476">
        <f>IFERROR(VLOOKUP($A43,'Parameter Values'!$A$78:$E$107,4,FALSE),'Parameter Values'!D$107)</f>
        <v>1069000</v>
      </c>
      <c r="F43" s="476">
        <f>IFERROR(VLOOKUP($A43,'Parameter Values'!$A$78:$E$109,5,FALSE),'Parameter Values'!E$109)</f>
        <v>298.90389159336127</v>
      </c>
      <c r="G43" s="476">
        <f t="shared" si="0"/>
        <v>368552.17590906768</v>
      </c>
      <c r="H43" s="478">
        <f t="shared" si="1"/>
        <v>147564.56866753372</v>
      </c>
      <c r="N43" s="356"/>
      <c r="O43" s="451" t="s">
        <v>340</v>
      </c>
      <c r="P43" s="480">
        <f>Base_Year_Truck_AADT/Base_Year_AADT</f>
        <v>0.2087323159077594</v>
      </c>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s="353"/>
    </row>
    <row r="44" spans="1:62" x14ac:dyDescent="0.35">
      <c r="A44" s="326">
        <f>IF(A43&lt;'Project Information'!$B$11,A43+1,"")</f>
        <v>2041</v>
      </c>
      <c r="B44" s="476">
        <f>IFERROR(VLOOKUP($A44,'Parameter Values'!$A$78:$E$107,2,FALSE),'Parameter Values'!B$107)</f>
        <v>22000</v>
      </c>
      <c r="C44" s="476">
        <f>IFERROR(_xlfn.XLOOKUP($A44, 'Parameter Values'!$A$79:$A$109,'Parameter Values'!$G$79:$G$109), 'Parameter Values'!$G$109)</f>
        <v>912389</v>
      </c>
      <c r="D44" s="476">
        <f>IFERROR(VLOOKUP($A44,'Parameter Values'!$A$78:$E$107,3,FALSE),'Parameter Values'!C$107)</f>
        <v>61500</v>
      </c>
      <c r="E44" s="476">
        <f>IFERROR(VLOOKUP($A44,'Parameter Values'!$A$78:$E$107,4,FALSE),'Parameter Values'!D$107)</f>
        <v>1069000</v>
      </c>
      <c r="F44" s="476">
        <f>IFERROR(VLOOKUP($A44,'Parameter Values'!$A$78:$E$109,5,FALSE),'Parameter Values'!E$109)</f>
        <v>303.38185251610821</v>
      </c>
      <c r="G44" s="476">
        <f t="shared" si="0"/>
        <v>378687.36074656708</v>
      </c>
      <c r="H44" s="478">
        <f t="shared" si="1"/>
        <v>153894.09384605402</v>
      </c>
      <c r="N44" s="356"/>
      <c r="O44" s="451" t="s">
        <v>341</v>
      </c>
      <c r="P44" s="480">
        <f>No_Build_Start_Annual_VMT</f>
        <v>127479767.08724634</v>
      </c>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s="353"/>
    </row>
    <row r="45" spans="1:62" x14ac:dyDescent="0.35">
      <c r="A45" s="326">
        <f>IF(A44&lt;'Project Information'!$B$11,A44+1,"")</f>
        <v>2042</v>
      </c>
      <c r="B45" s="476">
        <f>IFERROR(VLOOKUP($A45,'Parameter Values'!$A$78:$E$107,2,FALSE),'Parameter Values'!B$107)</f>
        <v>22000</v>
      </c>
      <c r="C45" s="476">
        <f>IFERROR(_xlfn.XLOOKUP($A45, 'Parameter Values'!$A$79:$A$109,'Parameter Values'!$G$79:$G$109), 'Parameter Values'!$G$109)</f>
        <v>912389</v>
      </c>
      <c r="D45" s="476">
        <f>IFERROR(VLOOKUP($A45,'Parameter Values'!$A$78:$E$107,3,FALSE),'Parameter Values'!C$107)</f>
        <v>61500</v>
      </c>
      <c r="E45" s="476">
        <f>IFERROR(VLOOKUP($A45,'Parameter Values'!$A$78:$E$107,4,FALSE),'Parameter Values'!D$107)</f>
        <v>1069000</v>
      </c>
      <c r="F45" s="476">
        <f>IFERROR(VLOOKUP($A45,'Parameter Values'!$A$78:$E$109,5,FALSE),'Parameter Values'!E$109)</f>
        <v>307.85981343885521</v>
      </c>
      <c r="G45" s="476">
        <f t="shared" si="0"/>
        <v>389101.26316709764</v>
      </c>
      <c r="H45" s="478">
        <f t="shared" si="1"/>
        <v>160460.14720433817</v>
      </c>
      <c r="N45" s="356"/>
      <c r="O45" s="451" t="s">
        <v>342</v>
      </c>
      <c r="P45" s="345">
        <f xml:space="preserve"> Build_Start_Annual_VMT</f>
        <v>127479767.08724634</v>
      </c>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s="353"/>
    </row>
    <row r="46" spans="1:62" x14ac:dyDescent="0.35">
      <c r="A46" s="326">
        <f>IF(A45&lt;'Project Information'!$B$11,A45+1,"")</f>
        <v>2043</v>
      </c>
      <c r="B46" s="476">
        <f>IFERROR(VLOOKUP($A46,'Parameter Values'!$A$78:$E$107,2,FALSE),'Parameter Values'!B$107)</f>
        <v>22000</v>
      </c>
      <c r="C46" s="476">
        <f>IFERROR(_xlfn.XLOOKUP($A46, 'Parameter Values'!$A$79:$A$109,'Parameter Values'!$G$79:$G$109), 'Parameter Values'!$G$109)</f>
        <v>912389</v>
      </c>
      <c r="D46" s="476">
        <f>IFERROR(VLOOKUP($A46,'Parameter Values'!$A$78:$E$107,3,FALSE),'Parameter Values'!C$107)</f>
        <v>61500</v>
      </c>
      <c r="E46" s="476">
        <f>IFERROR(VLOOKUP($A46,'Parameter Values'!$A$78:$E$107,4,FALSE),'Parameter Values'!D$107)</f>
        <v>1069000</v>
      </c>
      <c r="F46" s="476">
        <f>IFERROR(VLOOKUP($A46,'Parameter Values'!$A$78:$E$109,5,FALSE),'Parameter Values'!E$109)</f>
        <v>312.33777436160221</v>
      </c>
      <c r="G46" s="476">
        <f t="shared" si="0"/>
        <v>399801.54790419294</v>
      </c>
      <c r="H46" s="478">
        <f t="shared" si="1"/>
        <v>167270.95108885691</v>
      </c>
      <c r="N46" s="356"/>
      <c r="O46" s="451" t="s">
        <v>343</v>
      </c>
      <c r="P46" s="481">
        <f>(Induced_Daily_Cycling_Trips+ Induced_Daily_Walking_Trips) *365</f>
        <v>0</v>
      </c>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s="353"/>
    </row>
    <row r="47" spans="1:62" x14ac:dyDescent="0.35">
      <c r="A47" s="326">
        <f>IF(A46&lt;'Project Information'!$B$11,A46+1,"")</f>
        <v>2044</v>
      </c>
      <c r="B47" s="476">
        <f>IFERROR(VLOOKUP($A47,'Parameter Values'!$A$78:$E$107,2,FALSE),'Parameter Values'!B$107)</f>
        <v>22000</v>
      </c>
      <c r="C47" s="476">
        <f>IFERROR(_xlfn.XLOOKUP($A47, 'Parameter Values'!$A$79:$A$109,'Parameter Values'!$G$79:$G$109), 'Parameter Values'!$G$109)</f>
        <v>912389</v>
      </c>
      <c r="D47" s="476">
        <f>IFERROR(VLOOKUP($A47,'Parameter Values'!$A$78:$E$107,3,FALSE),'Parameter Values'!C$107)</f>
        <v>61500</v>
      </c>
      <c r="E47" s="476">
        <f>IFERROR(VLOOKUP($A47,'Parameter Values'!$A$78:$E$107,4,FALSE),'Parameter Values'!D$107)</f>
        <v>1069000</v>
      </c>
      <c r="F47" s="476">
        <f>IFERROR(VLOOKUP($A47,'Parameter Values'!$A$78:$E$109,5,FALSE),'Parameter Values'!E$109)</f>
        <v>316.81573528434916</v>
      </c>
      <c r="G47" s="476">
        <f t="shared" si="0"/>
        <v>410796.09047155827</v>
      </c>
      <c r="H47" s="478">
        <f t="shared" si="1"/>
        <v>174335.00120070082</v>
      </c>
      <c r="N47" s="356"/>
      <c r="O47" s="482" t="s">
        <v>344</v>
      </c>
      <c r="P47" s="481">
        <f>No_Build_Start_Annual_VMT-Build_Start_Annual_VMT</f>
        <v>0</v>
      </c>
      <c r="Q47" s="445" t="s">
        <v>345</v>
      </c>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s="353"/>
    </row>
    <row r="48" spans="1:62" x14ac:dyDescent="0.35">
      <c r="A48" s="326">
        <f>IF(A47&lt;'Project Information'!$B$11,A47+1,"")</f>
        <v>2045</v>
      </c>
      <c r="B48" s="476">
        <f>IFERROR(VLOOKUP($A48,'Parameter Values'!$A$78:$E$107,2,FALSE),'Parameter Values'!B$107)</f>
        <v>22000</v>
      </c>
      <c r="C48" s="476">
        <f>IFERROR(_xlfn.XLOOKUP($A48, 'Parameter Values'!$A$79:$A$109,'Parameter Values'!$G$79:$G$109), 'Parameter Values'!$G$109)</f>
        <v>912389</v>
      </c>
      <c r="D48" s="476">
        <f>IFERROR(VLOOKUP($A48,'Parameter Values'!$A$78:$E$107,3,FALSE),'Parameter Values'!C$107)</f>
        <v>61500</v>
      </c>
      <c r="E48" s="476">
        <f>IFERROR(VLOOKUP($A48,'Parameter Values'!$A$78:$E$107,4,FALSE),'Parameter Values'!D$107)</f>
        <v>1069000</v>
      </c>
      <c r="F48" s="476">
        <f>IFERROR(VLOOKUP($A48,'Parameter Values'!$A$78:$E$109,5,FALSE),'Parameter Values'!E$109)</f>
        <v>321.29369620709616</v>
      </c>
      <c r="G48" s="476">
        <f t="shared" si="0"/>
        <v>422092.98295952607</v>
      </c>
      <c r="H48" s="478">
        <f t="shared" si="1"/>
        <v>181661.07541193522</v>
      </c>
      <c r="N48" s="356"/>
      <c r="O48" s="483" t="s">
        <v>346</v>
      </c>
      <c r="P48" s="484"/>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s="353"/>
    </row>
    <row r="49" spans="1:62" x14ac:dyDescent="0.35">
      <c r="A49" s="326">
        <f>IF(A48&lt;'Project Information'!$B$11,A48+1,"")</f>
        <v>2046</v>
      </c>
      <c r="B49" s="476">
        <f>IFERROR(VLOOKUP($A49,'Parameter Values'!$A$78:$E$107,2,FALSE),'Parameter Values'!B$107)</f>
        <v>22000</v>
      </c>
      <c r="C49" s="476">
        <f>IFERROR(_xlfn.XLOOKUP($A49, 'Parameter Values'!$A$79:$A$109,'Parameter Values'!$G$79:$G$109), 'Parameter Values'!$G$109)</f>
        <v>912389</v>
      </c>
      <c r="D49" s="476">
        <f>IFERROR(VLOOKUP($A49,'Parameter Values'!$A$78:$E$107,3,FALSE),'Parameter Values'!C$107)</f>
        <v>61500</v>
      </c>
      <c r="E49" s="476">
        <f>IFERROR(VLOOKUP($A49,'Parameter Values'!$A$78:$E$107,4,FALSE),'Parameter Values'!D$107)</f>
        <v>1069000</v>
      </c>
      <c r="F49" s="476">
        <f>IFERROR(VLOOKUP($A49,'Parameter Values'!$A$78:$E$109,5,FALSE),'Parameter Values'!E$109)</f>
        <v>325.77165712984316</v>
      </c>
      <c r="G49" s="476">
        <f t="shared" si="0"/>
        <v>433700.53999091301</v>
      </c>
      <c r="H49" s="478">
        <f t="shared" si="1"/>
        <v>189258.24286012945</v>
      </c>
      <c r="N49" s="356"/>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s="353"/>
    </row>
    <row r="50" spans="1:62" x14ac:dyDescent="0.35">
      <c r="A50" s="326">
        <f>IF(A49&lt;'Project Information'!$B$11,A49+1,"")</f>
        <v>2047</v>
      </c>
      <c r="B50" s="476">
        <f>IFERROR(VLOOKUP($A50,'Parameter Values'!$A$78:$E$107,2,FALSE),'Parameter Values'!B$107)</f>
        <v>22000</v>
      </c>
      <c r="C50" s="476">
        <f>IFERROR(_xlfn.XLOOKUP($A50, 'Parameter Values'!$A$79:$A$109,'Parameter Values'!$G$79:$G$109), 'Parameter Values'!$G$109)</f>
        <v>912389</v>
      </c>
      <c r="D50" s="476">
        <f>IFERROR(VLOOKUP($A50,'Parameter Values'!$A$78:$E$107,3,FALSE),'Parameter Values'!C$107)</f>
        <v>61500</v>
      </c>
      <c r="E50" s="476">
        <f>IFERROR(VLOOKUP($A50,'Parameter Values'!$A$78:$E$107,4,FALSE),'Parameter Values'!D$107)</f>
        <v>1069000</v>
      </c>
      <c r="F50" s="476">
        <f>IFERROR(VLOOKUP($A50,'Parameter Values'!$A$78:$E$109,5,FALSE),'Parameter Values'!E$109)</f>
        <v>331.36910828327689</v>
      </c>
      <c r="G50" s="476">
        <f t="shared" si="0"/>
        <v>445627.30484066316</v>
      </c>
      <c r="H50" s="478">
        <f t="shared" si="1"/>
        <v>197804.13052742192</v>
      </c>
      <c r="N50" s="356"/>
      <c r="O50" s="451" t="s">
        <v>347</v>
      </c>
      <c r="P50" s="485">
        <f>IFERROR('Travel Time Savings'!H25*'Travel Time Savings'!H26/(0.8*'Travel Time Savings'!H25 + 0.2 *'Travel Time Savings'!H26), "")</f>
        <v>62.230131325835067</v>
      </c>
      <c r="Q50" t="s">
        <v>348</v>
      </c>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s="353"/>
    </row>
    <row r="51" spans="1:62" x14ac:dyDescent="0.35">
      <c r="A51" s="326">
        <f>IF(A50&lt;'Project Information'!$B$11,A50+1,"")</f>
        <v>2048</v>
      </c>
      <c r="B51" s="476">
        <f>IFERROR(VLOOKUP($A51,'Parameter Values'!$A$78:$E$107,2,FALSE),'Parameter Values'!B$107)</f>
        <v>22000</v>
      </c>
      <c r="C51" s="476">
        <f>IFERROR(_xlfn.XLOOKUP($A51, 'Parameter Values'!$A$79:$A$109,'Parameter Values'!$G$79:$G$109), 'Parameter Values'!$G$109)</f>
        <v>912389</v>
      </c>
      <c r="D51" s="476">
        <f>IFERROR(VLOOKUP($A51,'Parameter Values'!$A$78:$E$107,3,FALSE),'Parameter Values'!C$107)</f>
        <v>61500</v>
      </c>
      <c r="E51" s="476">
        <f>IFERROR(VLOOKUP($A51,'Parameter Values'!$A$78:$E$107,4,FALSE),'Parameter Values'!D$107)</f>
        <v>1069000</v>
      </c>
      <c r="F51" s="476">
        <f>IFERROR(VLOOKUP($A51,'Parameter Values'!$A$78:$E$109,5,FALSE),'Parameter Values'!E$109)</f>
        <v>335.84706920602389</v>
      </c>
      <c r="G51" s="476">
        <f t="shared" si="0"/>
        <v>457882.05572378146</v>
      </c>
      <c r="H51" s="478">
        <f t="shared" si="1"/>
        <v>205990.28119958722</v>
      </c>
      <c r="N51" s="356"/>
      <c r="O51" s="451" t="s">
        <v>349</v>
      </c>
      <c r="P51" s="485">
        <f>IFERROR('Travel Time Savings'!H25*'Travel Time Savings'!H26/(PRODUCT('Travel Time Savings'!I32:I34)*0.8*'Travel Time Savings'!H25 + (1 -PRODUCT('Travel Time Savings'!I32:I34)*0.8) *'Travel Time Savings'!H26), "")</f>
        <v>66.379808172096432</v>
      </c>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s="353"/>
    </row>
    <row r="52" spans="1:62" x14ac:dyDescent="0.35">
      <c r="A52" s="326">
        <f>IF(A51&lt;'Project Information'!$B$11,A51+1,"")</f>
        <v>2049</v>
      </c>
      <c r="B52" s="476">
        <f>IFERROR(VLOOKUP($A52,'Parameter Values'!$A$78:$E$107,2,FALSE),'Parameter Values'!B$107)</f>
        <v>22000</v>
      </c>
      <c r="C52" s="476">
        <f>IFERROR(_xlfn.XLOOKUP($A52, 'Parameter Values'!$A$79:$A$109,'Parameter Values'!$G$79:$G$109), 'Parameter Values'!$G$109)</f>
        <v>912389</v>
      </c>
      <c r="D52" s="476">
        <f>IFERROR(VLOOKUP($A52,'Parameter Values'!$A$78:$E$107,3,FALSE),'Parameter Values'!C$107)</f>
        <v>61500</v>
      </c>
      <c r="E52" s="476">
        <f>IFERROR(VLOOKUP($A52,'Parameter Values'!$A$78:$E$107,4,FALSE),'Parameter Values'!D$107)</f>
        <v>1069000</v>
      </c>
      <c r="F52" s="476">
        <f>IFERROR(VLOOKUP($A52,'Parameter Values'!$A$78:$E$109,5,FALSE),'Parameter Values'!E$109)</f>
        <v>340.32503012877083</v>
      </c>
      <c r="G52" s="476">
        <f t="shared" si="0"/>
        <v>470473.8122561854</v>
      </c>
      <c r="H52" s="478">
        <f t="shared" si="1"/>
        <v>214477.08078501018</v>
      </c>
      <c r="N52" s="356"/>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s="353"/>
    </row>
    <row r="53" spans="1:62" ht="16.5" x14ac:dyDescent="0.35">
      <c r="A53" s="326">
        <f>IF(A52&lt;'Project Information'!$B$11,A52+1,"")</f>
        <v>2050</v>
      </c>
      <c r="B53" s="476">
        <f>IFERROR(VLOOKUP($A53,'Parameter Values'!$A$78:$E$107,2,FALSE),'Parameter Values'!B$107)</f>
        <v>22000</v>
      </c>
      <c r="C53" s="476">
        <f>IFERROR(_xlfn.XLOOKUP($A53, 'Parameter Values'!$A$79:$A$109,'Parameter Values'!$G$79:$G$109), 'Parameter Values'!$G$109)</f>
        <v>912389</v>
      </c>
      <c r="D53" s="476">
        <f>IFERROR(VLOOKUP($A53,'Parameter Values'!$A$78:$E$107,3,FALSE),'Parameter Values'!C$107)</f>
        <v>61500</v>
      </c>
      <c r="E53" s="476">
        <f>IFERROR(VLOOKUP($A53,'Parameter Values'!$A$78:$E$107,4,FALSE),'Parameter Values'!D$107)</f>
        <v>1069000</v>
      </c>
      <c r="F53" s="476">
        <f>IFERROR(VLOOKUP($A53,'Parameter Values'!$A$78:$E$109,5,FALSE),'Parameter Values'!E$109)</f>
        <v>344.80299105151784</v>
      </c>
      <c r="G53" s="476">
        <f t="shared" si="0"/>
        <v>483411.84209323052</v>
      </c>
      <c r="H53" s="478">
        <f t="shared" si="1"/>
        <v>223274.87419747427</v>
      </c>
      <c r="N53" s="356"/>
      <c r="O53" s="420" t="s">
        <v>350</v>
      </c>
      <c r="P53" s="486" t="s">
        <v>351</v>
      </c>
      <c r="Q53" s="486" t="s">
        <v>352</v>
      </c>
      <c r="R53" s="486" t="s">
        <v>330</v>
      </c>
      <c r="S53" s="486" t="s">
        <v>331</v>
      </c>
      <c r="T53" s="486" t="s">
        <v>328</v>
      </c>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s="353"/>
    </row>
    <row r="54" spans="1:62" x14ac:dyDescent="0.35">
      <c r="A54" s="326">
        <f>IF(A53&lt;'Project Information'!$B$11,A53+1,"")</f>
        <v>2051</v>
      </c>
      <c r="B54" s="476">
        <f>IFERROR(VLOOKUP($A54,'Parameter Values'!$A$78:$E$107,2,FALSE),'Parameter Values'!B$107)</f>
        <v>22000</v>
      </c>
      <c r="C54" s="476">
        <f>IFERROR(_xlfn.XLOOKUP($A54, 'Parameter Values'!$A$79:$A$109,'Parameter Values'!$G$79:$G$109), 'Parameter Values'!$G$109)</f>
        <v>912389</v>
      </c>
      <c r="D54" s="476">
        <f>IFERROR(VLOOKUP($A54,'Parameter Values'!$A$78:$E$107,3,FALSE),'Parameter Values'!C$107)</f>
        <v>61500</v>
      </c>
      <c r="E54" s="476">
        <f>IFERROR(VLOOKUP($A54,'Parameter Values'!$A$78:$E$107,4,FALSE),'Parameter Values'!D$107)</f>
        <v>1069000</v>
      </c>
      <c r="F54" s="476">
        <f>IFERROR(VLOOKUP($A54,'Parameter Values'!$A$78:$E$109,5,FALSE),'Parameter Values'!E$109)</f>
        <v>349.28095197426484</v>
      </c>
      <c r="G54" s="476">
        <f t="shared" si="0"/>
        <v>496705.6677507945</v>
      </c>
      <c r="H54" s="478">
        <f t="shared" si="1"/>
        <v>232394.34795528027</v>
      </c>
      <c r="N54" s="356"/>
      <c r="O54" s="487" t="s">
        <v>353</v>
      </c>
      <c r="P54" s="488" cm="1">
        <f t="array" ref="P54" xml:space="preserve"> _xlfn.IFNA(INDEX('Emission Factors'!$F$3:$F$298, MATCH(1, ('Emission Factors'!$D$3:$D$298 = P$36) * ('Emission Factors'!$E$3:$E$298 &gt;P50),0)), 0)</f>
        <v>0.82102880350460627</v>
      </c>
      <c r="Q54" s="488" cm="1">
        <f t="array" ref="Q54" xml:space="preserve"> _xlfn.IFNA(INDEX('Emission Factors'!$G$3:$G$298, MATCH(1, ('Emission Factors'!$D$3:$D$298 = P$36) * ('Emission Factors'!$E$3:$E$298 &gt;P50),0)), 0)</f>
        <v>7.0328694666837999E-3</v>
      </c>
      <c r="R54" s="488" cm="1">
        <f t="array" ref="R54" xml:space="preserve"> _xlfn.IFNA(INDEX('Emission Factors'!$I$3:$I$298, MATCH(1, ('Emission Factors'!$D$3:$D$298 = P$36) * ('Emission Factors'!$E$3:$E$298 &gt;P50),0)), 0)</f>
        <v>1.8485027923055501E-2</v>
      </c>
      <c r="S54" s="488" cm="1">
        <f t="array" ref="S54" xml:space="preserve"> _xlfn.IFNA(INDEX('Emission Factors'!$J$3:$J$298, MATCH(1, ('Emission Factors'!$D$3:$D$298 = P$36) * ('Emission Factors'!$E$3:$E$298 &gt;P50),0)), 0)</f>
        <v>446.36026217009243</v>
      </c>
      <c r="T54" s="488" cm="1">
        <f t="array" ref="T54" xml:space="preserve"> _xlfn.IFNA(INDEX('Emission Factors'!$H$3:$H$298, MATCH(1, ('Emission Factors'!$D$3:$D$298 = P$36) * ('Emission Factors'!$E$3:$E$298 &gt;P50),0)), 0)</f>
        <v>9.4502701231242797E-2</v>
      </c>
      <c r="U54" t="s">
        <v>354</v>
      </c>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s="353"/>
    </row>
    <row r="55" spans="1:62" x14ac:dyDescent="0.35">
      <c r="A55" s="326">
        <f>IF(A54&lt;'Project Information'!$B$11,A54+1,"")</f>
        <v>2052</v>
      </c>
      <c r="B55" s="476">
        <f>IFERROR(VLOOKUP($A55,'Parameter Values'!$A$78:$E$107,2,FALSE),'Parameter Values'!B$107)</f>
        <v>22000</v>
      </c>
      <c r="C55" s="476">
        <f>IFERROR(_xlfn.XLOOKUP($A55, 'Parameter Values'!$A$79:$A$109,'Parameter Values'!$G$79:$G$109), 'Parameter Values'!$G$109)</f>
        <v>912389</v>
      </c>
      <c r="D55" s="476">
        <f>IFERROR(VLOOKUP($A55,'Parameter Values'!$A$78:$E$107,3,FALSE),'Parameter Values'!C$107)</f>
        <v>61500</v>
      </c>
      <c r="E55" s="476">
        <f>IFERROR(VLOOKUP($A55,'Parameter Values'!$A$78:$E$107,4,FALSE),'Parameter Values'!D$107)</f>
        <v>1069000</v>
      </c>
      <c r="F55" s="476">
        <f>IFERROR(VLOOKUP($A55,'Parameter Values'!$A$78:$E$109,5,FALSE),'Parameter Values'!E$109)</f>
        <v>352.63942266632506</v>
      </c>
      <c r="G55" s="476">
        <f t="shared" si="0"/>
        <v>510365.07361394132</v>
      </c>
      <c r="H55" s="478">
        <f t="shared" si="1"/>
        <v>241081.20399062787</v>
      </c>
      <c r="N55" s="356"/>
      <c r="O55" s="487" t="s">
        <v>355</v>
      </c>
      <c r="P55" s="488" cm="1">
        <f t="array" ref="P55" xml:space="preserve"> _xlfn.IFNA(INDEX('Emission Factors'!$F$3:$F$298, MATCH(1, ('Emission Factors'!$D$3:$D$298 = P$36) * ('Emission Factors'!$E$3:$E$298 &gt;P51),0)), 0)</f>
        <v>0.85959083654326462</v>
      </c>
      <c r="Q55" s="488" cm="1">
        <f t="array" ref="Q55" xml:space="preserve"> _xlfn.IFNA(INDEX('Emission Factors'!$G$3:$G$298, MATCH(1, ('Emission Factors'!$D$3:$D$298 = P$36) * ('Emission Factors'!$E$3:$E$298 &gt;P51),0)), 0)</f>
        <v>7.2085886142678E-3</v>
      </c>
      <c r="R55" s="488" cm="1">
        <f t="array" ref="R55" xml:space="preserve"> _xlfn.IFNA(INDEX('Emission Factors'!$I$3:$I$298, MATCH(1, ('Emission Factors'!$D$3:$D$298 = P$36) * ('Emission Factors'!$E$3:$E$298 &gt;P51),0)), 0)</f>
        <v>1.8808595875129199E-2</v>
      </c>
      <c r="S55" s="488" cm="1">
        <f t="array" ref="S55" xml:space="preserve"> _xlfn.IFNA(INDEX('Emission Factors'!$J$3:$J$298, MATCH(1, ('Emission Factors'!$D$3:$D$298 = P$36) * ('Emission Factors'!$E$3:$E$298 &gt;P51),0)), 0)</f>
        <v>458.63330008204628</v>
      </c>
      <c r="T55" s="488" cm="1">
        <f t="array" ref="T55" xml:space="preserve"> _xlfn.IFNA(INDEX('Emission Factors'!$H$3:$H$298, MATCH(1, ('Emission Factors'!$D$3:$D$298 = P$36) * ('Emission Factors'!$E$3:$E$298 &gt;P51),0)), 0)</f>
        <v>9.3111271959212802E-2</v>
      </c>
      <c r="U55" t="s">
        <v>356</v>
      </c>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s="353"/>
    </row>
    <row r="56" spans="1:62" x14ac:dyDescent="0.35">
      <c r="A56" s="326">
        <f>IF(A55&lt;'Project Information'!$B$11,A55+1,"")</f>
        <v>2053</v>
      </c>
      <c r="B56" s="476">
        <f>IFERROR(VLOOKUP($A56,'Parameter Values'!$A$78:$E$107,2,FALSE),'Parameter Values'!B$107)</f>
        <v>22000</v>
      </c>
      <c r="C56" s="476">
        <f>IFERROR(_xlfn.XLOOKUP($A56, 'Parameter Values'!$A$79:$A$109,'Parameter Values'!$G$79:$G$109), 'Parameter Values'!$G$109)</f>
        <v>912389</v>
      </c>
      <c r="D56" s="476">
        <f>IFERROR(VLOOKUP($A56,'Parameter Values'!$A$78:$E$107,3,FALSE),'Parameter Values'!C$107)</f>
        <v>61500</v>
      </c>
      <c r="E56" s="476">
        <f>IFERROR(VLOOKUP($A56,'Parameter Values'!$A$78:$E$107,4,FALSE),'Parameter Values'!D$107)</f>
        <v>1069000</v>
      </c>
      <c r="F56" s="476">
        <f>IFERROR(VLOOKUP($A56,'Parameter Values'!$A$78:$E$109,5,FALSE),'Parameter Values'!E$109)</f>
        <v>357.11738358907206</v>
      </c>
      <c r="G56" s="476">
        <f t="shared" si="0"/>
        <v>524400.1131383247</v>
      </c>
      <c r="H56" s="478">
        <f t="shared" si="1"/>
        <v>250856.47280958117</v>
      </c>
      <c r="N56" s="356"/>
      <c r="O56" s="487" t="s">
        <v>357</v>
      </c>
      <c r="P56" s="489">
        <f xml:space="preserve"> 'Travel Time Savings'!$H$27*(1 + Growth_Rate)^(Opening_Year- Base_Year)*No_Build_Project_Length*P54* 365*(1/1000000)</f>
        <v>63.348714243932648</v>
      </c>
      <c r="Q56" s="489">
        <f xml:space="preserve"> 'Travel Time Savings'!$H$27*(1 + Growth_Rate)^(Opening_Year- Base_Year)*No_Build_Project_Length*Q54* 365*(1/1000000)</f>
        <v>0.54264020489669884</v>
      </c>
      <c r="R56" s="489">
        <f xml:space="preserve"> 'Travel Time Savings'!$H$27*(1 + Growth_Rate)^(Opening_Year- Base_Year)*No_Build_Project_Length*R54* 365*(1/1000000)</f>
        <v>1.4262626922347543</v>
      </c>
      <c r="S56" s="489">
        <f xml:space="preserve"> 'Travel Time Savings'!$H$27*(1 + Growth_Rate)^(Opening_Year- Base_Year)*No_Build_Project_Length*S54* 365*(1/1000000)</f>
        <v>34440.142145270554</v>
      </c>
      <c r="T56" s="489">
        <f xml:space="preserve"> 'Travel Time Savings'!H27*(1 + Growth_Rate)^(Opening_Year- Base_Year)*No_Build_Project_Length*T54* 365*(1/1000000)</f>
        <v>7.2916133880120988</v>
      </c>
      <c r="U56" t="s">
        <v>358</v>
      </c>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s="353"/>
    </row>
    <row r="57" spans="1:62" x14ac:dyDescent="0.35">
      <c r="A57" s="326">
        <f>IF(A56&lt;'Project Information'!$B$11,A56+1,"")</f>
        <v>2054</v>
      </c>
      <c r="B57" s="476">
        <f>IFERROR(VLOOKUP($A57,'Parameter Values'!$A$78:$E$107,2,FALSE),'Parameter Values'!B$107)</f>
        <v>22000</v>
      </c>
      <c r="C57" s="476">
        <f>IFERROR(_xlfn.XLOOKUP($A57, 'Parameter Values'!$A$79:$A$109,'Parameter Values'!$G$79:$G$109), 'Parameter Values'!$G$109)</f>
        <v>912389</v>
      </c>
      <c r="D57" s="476">
        <f>IFERROR(VLOOKUP($A57,'Parameter Values'!$A$78:$E$107,3,FALSE),'Parameter Values'!C$107)</f>
        <v>61500</v>
      </c>
      <c r="E57" s="476">
        <f>IFERROR(VLOOKUP($A57,'Parameter Values'!$A$78:$E$107,4,FALSE),'Parameter Values'!D$107)</f>
        <v>1069000</v>
      </c>
      <c r="F57" s="476">
        <f>IFERROR(VLOOKUP($A57,'Parameter Values'!$A$78:$E$109,5,FALSE),'Parameter Values'!E$109)</f>
        <v>357.11738358907206</v>
      </c>
      <c r="G57" s="476">
        <f t="shared" si="0"/>
        <v>538821.1162496286</v>
      </c>
      <c r="H57" s="478">
        <f t="shared" si="1"/>
        <v>257755.02581184465</v>
      </c>
      <c r="N57" s="356"/>
      <c r="O57" s="455" t="s">
        <v>359</v>
      </c>
      <c r="P57" s="489">
        <f xml:space="preserve"> 'Travel Time Savings'!H27*(1 + Growth_Rate)^(Opening_Year- Base_Year)*No_Build_Project_Length*P55* 365*(1/1000000)</f>
        <v>66.324072966067106</v>
      </c>
      <c r="Q57" s="489">
        <f xml:space="preserve"> 'Travel Time Savings'!$H$27*(1 + Growth_Rate)^(Opening_Year- Base_Year)*No_Build_Project_Length*Q55* 365*(1/1000000)</f>
        <v>0.55619829447890412</v>
      </c>
      <c r="R57" s="489">
        <f xml:space="preserve"> 'Travel Time Savings'!$H$27*(1 + Growth_Rate)^(Opening_Year- Base_Year)*No_Build_Project_Length*R55* 365*(1/1000000)</f>
        <v>1.451228459144412</v>
      </c>
      <c r="S57" s="489">
        <f xml:space="preserve"> 'Travel Time Savings'!$H$27*(1 + Growth_Rate)^(Opening_Year- Base_Year)*No_Build_Project_Length*S55* 365*(1/1000000)</f>
        <v>35387.10182350668</v>
      </c>
      <c r="T57" s="489">
        <f xml:space="preserve"> 'Travel Time Savings'!H27*(1 + Growth_Rate)^(Opening_Year- Base_Year)*No_Build_Project_Length*T55* 365*(1/1000000)</f>
        <v>7.1842538715515074</v>
      </c>
      <c r="U57" t="s">
        <v>360</v>
      </c>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s="353"/>
    </row>
    <row r="58" spans="1:62" x14ac:dyDescent="0.35">
      <c r="A58" s="326" t="str">
        <f>IF(A57&lt;'Project Information'!$B$11,A57+1,"")</f>
        <v/>
      </c>
      <c r="B58" s="476">
        <f>IFERROR(VLOOKUP($A58,'Parameter Values'!$A$78:$E$107,2,FALSE),'Parameter Values'!B$107)</f>
        <v>22000</v>
      </c>
      <c r="C58" s="476">
        <f>IFERROR(_xlfn.XLOOKUP($A58, 'Parameter Values'!$A$79:$A$109,'Parameter Values'!$G$79:$G$109), 'Parameter Values'!$G$109)</f>
        <v>912389</v>
      </c>
      <c r="D58" s="476">
        <f>IFERROR(VLOOKUP($A58,'Parameter Values'!$A$78:$E$107,3,FALSE),'Parameter Values'!C$107)</f>
        <v>61500</v>
      </c>
      <c r="E58" s="476">
        <f>IFERROR(VLOOKUP($A58,'Parameter Values'!$A$78:$E$107,4,FALSE),'Parameter Values'!D$107)</f>
        <v>1069000</v>
      </c>
      <c r="F58" s="476">
        <f>IFERROR(VLOOKUP($A58,'Parameter Values'!$A$78:$E$109,5,FALSE),'Parameter Values'!E$109)</f>
        <v>357.11738358907206</v>
      </c>
      <c r="G58" s="476">
        <f t="shared" si="0"/>
        <v>0</v>
      </c>
      <c r="H58" s="478">
        <f t="shared" si="1"/>
        <v>0</v>
      </c>
      <c r="N58" s="356"/>
      <c r="O58" s="490" t="s">
        <v>361</v>
      </c>
      <c r="P58" s="111"/>
      <c r="Q58" s="111"/>
      <c r="R58" s="111"/>
      <c r="S58" s="111"/>
      <c r="T58" s="111"/>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s="353"/>
    </row>
    <row r="59" spans="1:62" x14ac:dyDescent="0.35">
      <c r="A59" s="326" t="str">
        <f>IF(A58&lt;'Project Information'!$B$11,A58+1,"")</f>
        <v/>
      </c>
      <c r="B59" s="476">
        <f>IFERROR(VLOOKUP($A59,'Parameter Values'!$A$78:$E$107,2,FALSE),'Parameter Values'!B$107)</f>
        <v>22000</v>
      </c>
      <c r="C59" s="476">
        <f>IFERROR(_xlfn.XLOOKUP($A59, 'Parameter Values'!$A$79:$A$109,'Parameter Values'!$G$79:$G$109), 'Parameter Values'!$G$109)</f>
        <v>912389</v>
      </c>
      <c r="D59" s="476">
        <f>IFERROR(VLOOKUP($A59,'Parameter Values'!$A$78:$E$107,3,FALSE),'Parameter Values'!C$107)</f>
        <v>61500</v>
      </c>
      <c r="E59" s="476">
        <f>IFERROR(VLOOKUP($A59,'Parameter Values'!$A$78:$E$107,4,FALSE),'Parameter Values'!D$107)</f>
        <v>1069000</v>
      </c>
      <c r="F59" s="476">
        <f>IFERROR(VLOOKUP($A59,'Parameter Values'!$A$78:$E$109,5,FALSE),'Parameter Values'!E$109)</f>
        <v>357.11738358907206</v>
      </c>
      <c r="G59" s="476">
        <f t="shared" si="0"/>
        <v>0</v>
      </c>
      <c r="H59" s="478">
        <f t="shared" si="1"/>
        <v>0</v>
      </c>
      <c r="N59" s="356"/>
      <c r="O59" s="491"/>
      <c r="P59" s="111"/>
      <c r="Q59" s="111"/>
      <c r="R59" s="111"/>
      <c r="S59" s="111"/>
      <c r="T59" s="111"/>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s="353"/>
    </row>
    <row r="60" spans="1:62" x14ac:dyDescent="0.35">
      <c r="A60" s="326" t="str">
        <f>IF(A59&lt;'Project Information'!$B$11,A59+1,"")</f>
        <v/>
      </c>
      <c r="B60" s="476">
        <f>IFERROR(VLOOKUP($A60,'Parameter Values'!$A$78:$E$107,2,FALSE),'Parameter Values'!B$107)</f>
        <v>22000</v>
      </c>
      <c r="C60" s="476">
        <f>IFERROR(_xlfn.XLOOKUP($A60, 'Parameter Values'!$A$79:$A$109,'Parameter Values'!$G$79:$G$109), 'Parameter Values'!$G$109)</f>
        <v>912389</v>
      </c>
      <c r="D60" s="476">
        <f>IFERROR(VLOOKUP($A60,'Parameter Values'!$A$78:$E$107,3,FALSE),'Parameter Values'!C$107)</f>
        <v>61500</v>
      </c>
      <c r="E60" s="476">
        <f>IFERROR(VLOOKUP($A60,'Parameter Values'!$A$78:$E$107,4,FALSE),'Parameter Values'!D$107)</f>
        <v>1069000</v>
      </c>
      <c r="F60" s="476">
        <f>IFERROR(VLOOKUP($A60,'Parameter Values'!$A$78:$E$109,5,FALSE),'Parameter Values'!E$109)</f>
        <v>357.11738358907206</v>
      </c>
      <c r="G60" s="476">
        <f t="shared" si="0"/>
        <v>0</v>
      </c>
      <c r="H60" s="478">
        <f t="shared" si="1"/>
        <v>0</v>
      </c>
      <c r="N60" s="356"/>
      <c r="O60" s="487" t="s">
        <v>362</v>
      </c>
      <c r="P60" s="345">
        <f>IFERROR(365*'Travel Time Savings'!H27*No_Build_Project_Length*(1/'Travel Time Savings'!H26-1/'Travel Time Savings'!H25) * 0.8, "")</f>
        <v>110774.47178313376</v>
      </c>
      <c r="Q60" t="s">
        <v>363</v>
      </c>
      <c r="R60" s="111"/>
      <c r="S60" s="111"/>
      <c r="T60" s="111"/>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s="353"/>
    </row>
    <row r="61" spans="1:62" x14ac:dyDescent="0.35">
      <c r="A61" s="326" t="str">
        <f>IF(A60&lt;'Project Information'!$B$11,A60+1,"")</f>
        <v/>
      </c>
      <c r="B61" s="476">
        <f>IFERROR(VLOOKUP($A61,'Parameter Values'!$A$78:$E$107,2,FALSE),'Parameter Values'!B$107)</f>
        <v>22000</v>
      </c>
      <c r="C61" s="476">
        <f>IFERROR(_xlfn.XLOOKUP($A61, 'Parameter Values'!$A$79:$A$109,'Parameter Values'!$G$79:$G$109), 'Parameter Values'!$G$109)</f>
        <v>912389</v>
      </c>
      <c r="D61" s="476">
        <f>IFERROR(VLOOKUP($A61,'Parameter Values'!$A$78:$E$107,3,FALSE),'Parameter Values'!C$107)</f>
        <v>61500</v>
      </c>
      <c r="E61" s="476">
        <f>IFERROR(VLOOKUP($A61,'Parameter Values'!$A$78:$E$107,4,FALSE),'Parameter Values'!D$107)</f>
        <v>1069000</v>
      </c>
      <c r="F61" s="476">
        <f>IFERROR(VLOOKUP($A61,'Parameter Values'!$A$78:$E$109,5,FALSE),'Parameter Values'!E$109)</f>
        <v>357.11738358907206</v>
      </c>
      <c r="G61" s="476">
        <f t="shared" si="0"/>
        <v>0</v>
      </c>
      <c r="H61" s="478">
        <f t="shared" si="1"/>
        <v>0</v>
      </c>
      <c r="N61" s="356"/>
      <c r="O61" s="487" t="s">
        <v>364</v>
      </c>
      <c r="P61" s="345">
        <f>IFERROR(P60*(1-'Travel Time Savings'!H42), "")</f>
        <v>35164.735730513836</v>
      </c>
      <c r="Q61" t="s">
        <v>365</v>
      </c>
      <c r="R61" s="111"/>
      <c r="S61" s="111"/>
      <c r="T61" s="11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s="353"/>
    </row>
    <row r="62" spans="1:62" x14ac:dyDescent="0.35">
      <c r="A62" s="12" t="str">
        <f>IF(A61&lt;'Project Information'!$B$11,A61+1,"")</f>
        <v/>
      </c>
      <c r="B62" s="492">
        <f>IFERROR(VLOOKUP($A62,'Parameter Values'!$A$78:$E$107,2,FALSE),'Parameter Values'!B$107)</f>
        <v>22000</v>
      </c>
      <c r="C62" s="493">
        <f>IFERROR(_xlfn.XLOOKUP($A62, 'Parameter Values'!$A$79:$A$109,'Parameter Values'!$G$79:$G$109), 'Parameter Values'!$G$109)</f>
        <v>912389</v>
      </c>
      <c r="D62" s="494">
        <f>IFERROR(VLOOKUP($A62,'Parameter Values'!$A$78:$E$107,3,FALSE),'Parameter Values'!C$107)</f>
        <v>61500</v>
      </c>
      <c r="E62" s="494">
        <f>IFERROR(VLOOKUP($A62,'Parameter Values'!$A$78:$E$107,4,FALSE),'Parameter Values'!D$107)</f>
        <v>1069000</v>
      </c>
      <c r="F62" s="494">
        <f>IFERROR(VLOOKUP($A62,'Parameter Values'!$A$78:$E$109,5,FALSE),'Parameter Values'!E$109)</f>
        <v>357.11738358907206</v>
      </c>
      <c r="G62" s="476">
        <f t="shared" si="0"/>
        <v>0</v>
      </c>
      <c r="H62" s="478">
        <f t="shared" si="1"/>
        <v>0</v>
      </c>
      <c r="N62" s="356"/>
      <c r="O62"/>
      <c r="P62"/>
      <c r="Q62" s="111"/>
      <c r="R62" s="111"/>
      <c r="S62" s="111"/>
      <c r="T62" s="111"/>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s="353"/>
    </row>
    <row r="63" spans="1:62" ht="16.5" x14ac:dyDescent="0.35">
      <c r="E63" s="495"/>
      <c r="F63" s="496" t="s">
        <v>221</v>
      </c>
      <c r="G63" s="497">
        <f>SUM(G33:G62)</f>
        <v>9914737.8168524541</v>
      </c>
      <c r="H63" s="497">
        <f>SUM(H33:H62)</f>
        <v>4179056.6346379225</v>
      </c>
      <c r="N63" s="356"/>
      <c r="O63" s="420" t="s">
        <v>350</v>
      </c>
      <c r="P63" s="486" t="s">
        <v>351</v>
      </c>
      <c r="Q63" s="486" t="s">
        <v>352</v>
      </c>
      <c r="R63" s="486" t="s">
        <v>330</v>
      </c>
      <c r="S63" s="486" t="s">
        <v>331</v>
      </c>
      <c r="T63" s="486" t="s">
        <v>328</v>
      </c>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s="353"/>
    </row>
    <row r="64" spans="1:62" x14ac:dyDescent="0.35">
      <c r="E64" s="498"/>
      <c r="F64" s="496" t="s">
        <v>222</v>
      </c>
      <c r="G64" s="497">
        <f>NPV(0.031, G33:G62)/(1.031 ^ (Opening_Year - Base_Year - 1))</f>
        <v>5283964.7126426222</v>
      </c>
      <c r="H64" s="499">
        <f>NPV(0.02, H33:H62)/(1.02 ^ (Opening_Year - Base_Year - 1))</f>
        <v>2724217.8422590075</v>
      </c>
      <c r="N64" s="356"/>
      <c r="O64" s="487" t="s">
        <v>366</v>
      </c>
      <c r="P64" s="500">
        <f>_xlfn.IFNA(_xlfn.XLOOKUP($P$36, 'Emission Factors'!$D$303:$D$306, 'Emission Factors'!$E$303:$E$306), 0)</f>
        <v>6.2397813355251177</v>
      </c>
      <c r="Q64" s="500">
        <f>_xlfn.IFNA(_xlfn.XLOOKUP($P$36, 'Emission Factors'!$D$303:$D$306, 'Emission Factors'!$F$303:$F$306),0)</f>
        <v>7.4585605068153996E-2</v>
      </c>
      <c r="R64" s="500">
        <f>_xlfn.IFNA(_xlfn.XLOOKUP($P$36, 'Emission Factors'!$D$303:$D$306, 'Emission Factors'!$H$303:$H$306),0)</f>
        <v>0.25200677343208838</v>
      </c>
      <c r="S64" s="500">
        <f>_xlfn.IFNA(_xlfn.XLOOKUP($P$36,'Emission Factors'!$D$303:$D$306,'Emission Factors'!$I$303:$I$306),0)</f>
        <v>4487.4684606909595</v>
      </c>
      <c r="T64" s="500">
        <f>_xlfn.IFNA(_xlfn.XLOOKUP($P$36, 'Emission Factors'!$D$303:$D$306, 'Emission Factors'!$G$303:$G$306),0)</f>
        <v>1.2009811892487661</v>
      </c>
      <c r="U64" t="s">
        <v>367</v>
      </c>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s="353"/>
    </row>
    <row r="65" spans="14:62" x14ac:dyDescent="0.35">
      <c r="N65" s="356"/>
      <c r="O65" s="487" t="s">
        <v>368</v>
      </c>
      <c r="P65" s="501">
        <f>IFERROR(P60*P$64/1000000, 0)</f>
        <v>0.69120848148505176</v>
      </c>
      <c r="Q65" s="501">
        <f>IFERROR(P60*Q$64/1000000, 0)</f>
        <v>8.2621810040501842E-3</v>
      </c>
      <c r="R65" s="501">
        <f>IFERROR(P60*R$64/1000000, 0)</f>
        <v>2.7915917212711458E-2</v>
      </c>
      <c r="S65" s="501">
        <f>IFERROR(S$64*P$60/1000000,0)</f>
        <v>497.09694837651341</v>
      </c>
      <c r="T65" s="501">
        <f>IFERROR(T$64*P60/1000000, 0)</f>
        <v>0.13303805686051187</v>
      </c>
      <c r="U65" t="s">
        <v>369</v>
      </c>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s="353"/>
    </row>
    <row r="66" spans="14:62" x14ac:dyDescent="0.35">
      <c r="N66" s="356"/>
      <c r="O66" s="455" t="s">
        <v>370</v>
      </c>
      <c r="P66" s="501">
        <f>IFERROR(P61*P$64/1000000, 0)</f>
        <v>0.21942026167993345</v>
      </c>
      <c r="Q66" s="501">
        <f>IFERROR(P61*Q$64/1000000, 0)</f>
        <v>2.622783091522109E-3</v>
      </c>
      <c r="R66" s="501">
        <f>IFERROR(P61*R$64/1000000,0)</f>
        <v>8.8617515900388626E-3</v>
      </c>
      <c r="S66" s="501">
        <f>IFERROR(S$64*P61/1000000,0)</f>
        <v>157.80064251921331</v>
      </c>
      <c r="T66" s="501">
        <f>IFERROR(T$64*P61/1000000, 0)</f>
        <v>4.2232186137251083E-2</v>
      </c>
      <c r="U66" t="s">
        <v>371</v>
      </c>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s="353"/>
    </row>
    <row r="67" spans="14:62" x14ac:dyDescent="0.35">
      <c r="N67" s="356"/>
      <c r="O67" s="455" t="s">
        <v>372</v>
      </c>
      <c r="P67" s="502">
        <f>'Emission Factors'!D310</f>
        <v>88.545500360000005</v>
      </c>
      <c r="Q67" s="503" t="s">
        <v>171</v>
      </c>
      <c r="R67" s="504">
        <f>'Emission Factors'!G310</f>
        <v>1.1000000000000001</v>
      </c>
      <c r="S67" s="504">
        <f>'Emission Factors'!F310</f>
        <v>7833.43</v>
      </c>
      <c r="T67" s="504">
        <f>'Emission Factors'!E310</f>
        <v>12.56844813</v>
      </c>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s="353"/>
    </row>
    <row r="68" spans="14:62" x14ac:dyDescent="0.35">
      <c r="N68" s="356"/>
      <c r="O68" s="487" t="s">
        <v>373</v>
      </c>
      <c r="P68" s="501">
        <f>IFERROR(P60*P43*P67*Assumed_Heavy_Truck_Percent/1000000, 0)</f>
        <v>0.61421035032040028</v>
      </c>
      <c r="Q68" s="505" t="s">
        <v>171</v>
      </c>
      <c r="R68" s="501">
        <f>IFERROR(P60*P43*R67*Assumed_Heavy_Truck_Percent/1000000,0)</f>
        <v>7.630329972788244E-3</v>
      </c>
      <c r="S68" s="501">
        <f>IFERROR(P60*P43*S67*Assumed_Heavy_Truck_Percent/1000000,0)</f>
        <v>54.337868835216923</v>
      </c>
      <c r="T68" s="501">
        <f>IFERROR(P60*P43*T67*Assumed_Heavy_Truck_Percent/1000000,0)</f>
        <v>8.7183096797975784E-2</v>
      </c>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s="353"/>
    </row>
    <row r="69" spans="14:62" x14ac:dyDescent="0.35">
      <c r="N69" s="356"/>
      <c r="O69" s="455" t="s">
        <v>374</v>
      </c>
      <c r="P69" s="501">
        <f>IFERROR(P61*P43*P67*Assumed_Heavy_Truck_Percent/1000000, 0)</f>
        <v>0.19497763613124933</v>
      </c>
      <c r="Q69" s="505" t="s">
        <v>171</v>
      </c>
      <c r="R69" s="501">
        <f>IFERROR(P61*P43*R67*Assumed_Heavy_Truck_Percent/1000000,0)</f>
        <v>2.4222055200137809E-3</v>
      </c>
      <c r="S69" s="501">
        <f>IFERROR(P61*P43*S67*Assumed_Heavy_Truck_Percent/1000000,0)</f>
        <v>17.24925216967414</v>
      </c>
      <c r="T69" s="501">
        <f>IFERROR(P61*P43*T67*Assumed_Heavy_Truck_Percent/1000000,0)</f>
        <v>2.7675785853175348E-2</v>
      </c>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s="353"/>
    </row>
    <row r="70" spans="14:62" x14ac:dyDescent="0.35">
      <c r="N70" s="356"/>
      <c r="O70" s="451" t="s">
        <v>375</v>
      </c>
      <c r="P70" s="501">
        <f>$P46*'Emission Factors'!$E$314/1000000</f>
        <v>0</v>
      </c>
      <c r="Q70" s="501">
        <f>$P46*'Emission Factors'!$F$314/1000000</f>
        <v>0</v>
      </c>
      <c r="R70" s="501">
        <f>$P46*'Emission Factors'!$H$314/1000000</f>
        <v>0</v>
      </c>
      <c r="S70" s="501">
        <f>$P46*'Emission Factors'!$I$314/1000000</f>
        <v>0</v>
      </c>
      <c r="T70" s="501">
        <f>$P46*'Emission Factors'!$G$314/1000000</f>
        <v>0</v>
      </c>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s="353"/>
    </row>
    <row r="71" spans="14:62" x14ac:dyDescent="0.35">
      <c r="N71" s="356"/>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s="353"/>
    </row>
    <row r="72" spans="14:62" ht="16.5" x14ac:dyDescent="0.45">
      <c r="N72" s="356"/>
      <c r="O72" s="321" t="s">
        <v>173</v>
      </c>
      <c r="P72" s="319" t="s">
        <v>376</v>
      </c>
      <c r="Q72" s="319" t="s">
        <v>377</v>
      </c>
      <c r="R72" s="319"/>
      <c r="S72" s="320" t="s">
        <v>332</v>
      </c>
      <c r="T72" s="334" t="s">
        <v>333</v>
      </c>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s="353"/>
    </row>
    <row r="73" spans="14:62" x14ac:dyDescent="0.35">
      <c r="N73" s="356"/>
      <c r="O73" s="10">
        <f>'Project Information'!$B$9</f>
        <v>2030</v>
      </c>
      <c r="P73" s="506">
        <f>P47*$B$18</f>
        <v>0</v>
      </c>
      <c r="Q73" s="507">
        <f>IF(ISBLANK(S56), 0,P47*$C$18)</f>
        <v>0</v>
      </c>
      <c r="R73" s="10"/>
      <c r="S73" s="476">
        <f t="shared" ref="S73:S102" si="2">IF(O73&lt;&gt;"",P73+((MAX(0,$P$56-$P$57)+($P$65-$P$66)+$P$68-$P$69+$P$70)*$B33+(MAX(0,$Q$56-$Q$57)+($Q$65-$Q$66)+$Q$70)*$D33+(MAX(0,$R$56-$R$57)+($R$65-$R$66)+($R$68-$R$69)+$R$70)*$E33+(MAX(0,$T$56-$T$57)+($T$65-$T$66)+($T$68-$T$69)+$T$70)*$C33)*(1+Growth_Rate)^(O73-$O$73), "")</f>
        <v>280983.40698305052</v>
      </c>
      <c r="T73" s="336">
        <f t="shared" ref="T73:T102" si="3">IF(O73&lt;&gt;"", Q73+(MAX(0,$S$56-$S$57) + ($S$65-$S$66) +($S$68-$S$69)+$S$70)*$F33 * (1 + Growth_Rate) ^(O73-$O$73), "")</f>
        <v>96912.626060685419</v>
      </c>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s="353"/>
    </row>
    <row r="74" spans="14:62" x14ac:dyDescent="0.35">
      <c r="N74" s="356"/>
      <c r="O74" s="326">
        <f>IF(O73&lt;'Project Information'!$B$11,O73+1,"")</f>
        <v>2031</v>
      </c>
      <c r="P74" s="506">
        <f>IF($O74&lt;&gt;"", P73+(P73*Growth_Rate), 0)</f>
        <v>0</v>
      </c>
      <c r="Q74" s="507">
        <f t="shared" ref="Q74:Q102" si="4">IF(O74&lt;&gt;"", Q73+(Q73*Growth_Rate),0)</f>
        <v>0</v>
      </c>
      <c r="R74" s="326"/>
      <c r="S74" s="476">
        <f t="shared" si="2"/>
        <v>288710.45067508443</v>
      </c>
      <c r="T74" s="336">
        <f t="shared" si="3"/>
        <v>101309.50976913435</v>
      </c>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s="353"/>
    </row>
    <row r="75" spans="14:62" x14ac:dyDescent="0.35">
      <c r="N75" s="356"/>
      <c r="O75" s="326">
        <f>IF(O74&lt;'Project Information'!$B$11,O74+1,"")</f>
        <v>2032</v>
      </c>
      <c r="P75" s="506">
        <f t="shared" ref="P75:P102" si="5">IF(O75&lt;&gt;"", P74+(P74*Growth_Rate), 0)</f>
        <v>0</v>
      </c>
      <c r="Q75" s="507">
        <f t="shared" si="4"/>
        <v>0</v>
      </c>
      <c r="R75" s="326"/>
      <c r="S75" s="476">
        <f t="shared" si="2"/>
        <v>296649.98806864925</v>
      </c>
      <c r="T75" s="336">
        <f t="shared" si="3"/>
        <v>105430.07925301357</v>
      </c>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s="353"/>
    </row>
    <row r="76" spans="14:62" x14ac:dyDescent="0.35">
      <c r="N76" s="356"/>
      <c r="O76" s="326">
        <f>IF(O75&lt;'Project Information'!$B$11,O75+1,"")</f>
        <v>2033</v>
      </c>
      <c r="P76" s="506">
        <f t="shared" si="5"/>
        <v>0</v>
      </c>
      <c r="Q76" s="507">
        <f t="shared" si="4"/>
        <v>0</v>
      </c>
      <c r="R76" s="326"/>
      <c r="S76" s="476">
        <f t="shared" si="2"/>
        <v>304807.86274053715</v>
      </c>
      <c r="T76" s="336">
        <f t="shared" si="3"/>
        <v>110157.75084483383</v>
      </c>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s="353"/>
    </row>
    <row r="77" spans="14:62" x14ac:dyDescent="0.35">
      <c r="N77" s="356"/>
      <c r="O77" s="326">
        <f>IF(O76&lt;'Project Information'!$B$11,O76+1,"")</f>
        <v>2034</v>
      </c>
      <c r="P77" s="506">
        <f t="shared" si="5"/>
        <v>0</v>
      </c>
      <c r="Q77" s="507">
        <f t="shared" si="4"/>
        <v>0</v>
      </c>
      <c r="R77" s="326"/>
      <c r="S77" s="476">
        <f t="shared" si="2"/>
        <v>313190.07896590192</v>
      </c>
      <c r="T77" s="336">
        <f t="shared" si="3"/>
        <v>115065.71287676912</v>
      </c>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s="353"/>
    </row>
    <row r="78" spans="14:62" x14ac:dyDescent="0.35">
      <c r="N78" s="356"/>
      <c r="O78" s="326">
        <f>IF(O77&lt;'Project Information'!$B$11,O77+1,"")</f>
        <v>2035</v>
      </c>
      <c r="P78" s="506">
        <f t="shared" si="5"/>
        <v>0</v>
      </c>
      <c r="Q78" s="507">
        <f t="shared" si="4"/>
        <v>0</v>
      </c>
      <c r="R78" s="326"/>
      <c r="S78" s="476">
        <f t="shared" si="2"/>
        <v>321802.8061374643</v>
      </c>
      <c r="T78" s="336">
        <f t="shared" si="3"/>
        <v>119677.73451125842</v>
      </c>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s="353"/>
    </row>
    <row r="79" spans="14:62" x14ac:dyDescent="0.35">
      <c r="N79" s="356"/>
      <c r="O79" s="326">
        <f>IF(O78&lt;'Project Information'!$B$11,O78+1,"")</f>
        <v>2036</v>
      </c>
      <c r="P79" s="506">
        <f t="shared" si="5"/>
        <v>0</v>
      </c>
      <c r="Q79" s="507">
        <f t="shared" si="4"/>
        <v>0</v>
      </c>
      <c r="R79" s="326"/>
      <c r="S79" s="476">
        <f t="shared" si="2"/>
        <v>330652.38330624456</v>
      </c>
      <c r="T79" s="336">
        <f t="shared" si="3"/>
        <v>124952.24111693606</v>
      </c>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s="353"/>
    </row>
    <row r="80" spans="14:62" x14ac:dyDescent="0.35">
      <c r="N80" s="356"/>
      <c r="O80" s="326">
        <f>IF(O79&lt;'Project Information'!$B$11,O79+1,"")</f>
        <v>2037</v>
      </c>
      <c r="P80" s="506">
        <f t="shared" si="5"/>
        <v>0</v>
      </c>
      <c r="Q80" s="507">
        <f t="shared" si="4"/>
        <v>0</v>
      </c>
      <c r="R80" s="326"/>
      <c r="S80" s="476">
        <f t="shared" si="2"/>
        <v>339745.32384716626</v>
      </c>
      <c r="T80" s="336">
        <f t="shared" si="3"/>
        <v>130426.33929920182</v>
      </c>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s="353"/>
    </row>
    <row r="81" spans="14:62" x14ac:dyDescent="0.35">
      <c r="N81" s="356"/>
      <c r="O81" s="326">
        <f>IF(O80&lt;'Project Information'!$B$11,O80+1,"")</f>
        <v>2038</v>
      </c>
      <c r="P81" s="506">
        <f t="shared" si="5"/>
        <v>0</v>
      </c>
      <c r="Q81" s="507">
        <f t="shared" si="4"/>
        <v>0</v>
      </c>
      <c r="R81" s="326"/>
      <c r="S81" s="476">
        <f t="shared" si="2"/>
        <v>349088.32025296334</v>
      </c>
      <c r="T81" s="336">
        <f t="shared" si="3"/>
        <v>135583.52921934309</v>
      </c>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s="353"/>
    </row>
    <row r="82" spans="14:62" x14ac:dyDescent="0.35">
      <c r="N82" s="356"/>
      <c r="O82" s="326">
        <f>IF(O81&lt;'Project Information'!$B$11,O81+1,"")</f>
        <v>2039</v>
      </c>
      <c r="P82" s="506">
        <f t="shared" si="5"/>
        <v>0</v>
      </c>
      <c r="Q82" s="507">
        <f t="shared" si="4"/>
        <v>0</v>
      </c>
      <c r="R82" s="326"/>
      <c r="S82" s="476">
        <f t="shared" si="2"/>
        <v>358688.24905991991</v>
      </c>
      <c r="T82" s="336">
        <f t="shared" si="3"/>
        <v>141463.61413037122</v>
      </c>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s="353"/>
    </row>
    <row r="83" spans="14:62" x14ac:dyDescent="0.35">
      <c r="N83" s="356"/>
      <c r="O83" s="326">
        <f>IF(O82&lt;'Project Information'!$B$11,O82+1,"")</f>
        <v>2040</v>
      </c>
      <c r="P83" s="506">
        <f t="shared" si="5"/>
        <v>0</v>
      </c>
      <c r="Q83" s="507">
        <f t="shared" si="4"/>
        <v>0</v>
      </c>
      <c r="R83" s="326"/>
      <c r="S83" s="476">
        <f t="shared" si="2"/>
        <v>368552.17590906768</v>
      </c>
      <c r="T83" s="336">
        <f t="shared" si="3"/>
        <v>147564.56866753372</v>
      </c>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s="353"/>
    </row>
    <row r="84" spans="14:62" x14ac:dyDescent="0.35">
      <c r="N84" s="356"/>
      <c r="O84" s="326">
        <f>IF(O83&lt;'Project Information'!$B$11,O83+1,"")</f>
        <v>2041</v>
      </c>
      <c r="P84" s="506">
        <f t="shared" si="5"/>
        <v>0</v>
      </c>
      <c r="Q84" s="507">
        <f t="shared" si="4"/>
        <v>0</v>
      </c>
      <c r="R84" s="326"/>
      <c r="S84" s="476">
        <f t="shared" si="2"/>
        <v>378687.36074656708</v>
      </c>
      <c r="T84" s="336">
        <f t="shared" si="3"/>
        <v>153894.09384605402</v>
      </c>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s="353"/>
    </row>
    <row r="85" spans="14:62" x14ac:dyDescent="0.35">
      <c r="N85" s="356"/>
      <c r="O85" s="326">
        <f>IF(O84&lt;'Project Information'!$B$11,O84+1,"")</f>
        <v>2042</v>
      </c>
      <c r="P85" s="506">
        <f t="shared" si="5"/>
        <v>0</v>
      </c>
      <c r="Q85" s="507">
        <f t="shared" si="4"/>
        <v>0</v>
      </c>
      <c r="R85" s="326"/>
      <c r="S85" s="476">
        <f t="shared" si="2"/>
        <v>389101.26316709764</v>
      </c>
      <c r="T85" s="336">
        <f t="shared" si="3"/>
        <v>160460.14720433817</v>
      </c>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s="353"/>
    </row>
    <row r="86" spans="14:62" x14ac:dyDescent="0.35">
      <c r="N86" s="356"/>
      <c r="O86" s="326">
        <f>IF(O85&lt;'Project Information'!$B$11,O85+1,"")</f>
        <v>2043</v>
      </c>
      <c r="P86" s="506">
        <f t="shared" si="5"/>
        <v>0</v>
      </c>
      <c r="Q86" s="507">
        <f t="shared" si="4"/>
        <v>0</v>
      </c>
      <c r="R86" s="326"/>
      <c r="S86" s="476">
        <f t="shared" si="2"/>
        <v>399801.54790419294</v>
      </c>
      <c r="T86" s="336">
        <f t="shared" si="3"/>
        <v>167270.95108885691</v>
      </c>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s="353"/>
    </row>
    <row r="87" spans="14:62" x14ac:dyDescent="0.35">
      <c r="N87" s="356"/>
      <c r="O87" s="326">
        <f>IF(O86&lt;'Project Information'!$B$11,O86+1,"")</f>
        <v>2044</v>
      </c>
      <c r="P87" s="506">
        <f t="shared" si="5"/>
        <v>0</v>
      </c>
      <c r="Q87" s="507">
        <f t="shared" si="4"/>
        <v>0</v>
      </c>
      <c r="R87" s="326"/>
      <c r="S87" s="476">
        <f t="shared" si="2"/>
        <v>410796.09047155827</v>
      </c>
      <c r="T87" s="336">
        <f t="shared" si="3"/>
        <v>174335.00120070082</v>
      </c>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s="353"/>
    </row>
    <row r="88" spans="14:62" x14ac:dyDescent="0.35">
      <c r="N88" s="356"/>
      <c r="O88" s="326">
        <f>IF(O87&lt;'Project Information'!$B$11,O87+1,"")</f>
        <v>2045</v>
      </c>
      <c r="P88" s="506">
        <f t="shared" si="5"/>
        <v>0</v>
      </c>
      <c r="Q88" s="507">
        <f t="shared" si="4"/>
        <v>0</v>
      </c>
      <c r="R88" s="326"/>
      <c r="S88" s="476">
        <f t="shared" si="2"/>
        <v>422092.98295952607</v>
      </c>
      <c r="T88" s="336">
        <f t="shared" si="3"/>
        <v>181661.07541193522</v>
      </c>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s="353"/>
    </row>
    <row r="89" spans="14:62" x14ac:dyDescent="0.35">
      <c r="N89" s="356"/>
      <c r="O89" s="326">
        <f>IF(O88&lt;'Project Information'!$B$11,O88+1,"")</f>
        <v>2046</v>
      </c>
      <c r="P89" s="506">
        <f t="shared" si="5"/>
        <v>0</v>
      </c>
      <c r="Q89" s="507">
        <f t="shared" si="4"/>
        <v>0</v>
      </c>
      <c r="R89" s="326"/>
      <c r="S89" s="476">
        <f t="shared" si="2"/>
        <v>433700.53999091301</v>
      </c>
      <c r="T89" s="336">
        <f t="shared" si="3"/>
        <v>189258.24286012945</v>
      </c>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s="353"/>
    </row>
    <row r="90" spans="14:62" x14ac:dyDescent="0.35">
      <c r="N90" s="356"/>
      <c r="O90" s="326">
        <f>IF(O89&lt;'Project Information'!$B$11,O89+1,"")</f>
        <v>2047</v>
      </c>
      <c r="P90" s="506">
        <f t="shared" si="5"/>
        <v>0</v>
      </c>
      <c r="Q90" s="507">
        <f t="shared" si="4"/>
        <v>0</v>
      </c>
      <c r="R90" s="326"/>
      <c r="S90" s="476">
        <f t="shared" si="2"/>
        <v>445627.30484066316</v>
      </c>
      <c r="T90" s="336">
        <f t="shared" si="3"/>
        <v>197804.13052742192</v>
      </c>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s="353"/>
    </row>
    <row r="91" spans="14:62" x14ac:dyDescent="0.35">
      <c r="N91" s="356"/>
      <c r="O91" s="326">
        <f>IF(O90&lt;'Project Information'!$B$11,O90+1,"")</f>
        <v>2048</v>
      </c>
      <c r="P91" s="506">
        <f t="shared" si="5"/>
        <v>0</v>
      </c>
      <c r="Q91" s="507">
        <f t="shared" si="4"/>
        <v>0</v>
      </c>
      <c r="R91" s="326"/>
      <c r="S91" s="476">
        <f t="shared" si="2"/>
        <v>457882.05572378146</v>
      </c>
      <c r="T91" s="336">
        <f t="shared" si="3"/>
        <v>205990.28119958722</v>
      </c>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s="353"/>
    </row>
    <row r="92" spans="14:62" x14ac:dyDescent="0.35">
      <c r="N92" s="356"/>
      <c r="O92" s="326">
        <f>IF(O91&lt;'Project Information'!$B$11,O91+1,"")</f>
        <v>2049</v>
      </c>
      <c r="P92" s="506">
        <f t="shared" si="5"/>
        <v>0</v>
      </c>
      <c r="Q92" s="507">
        <f t="shared" si="4"/>
        <v>0</v>
      </c>
      <c r="R92" s="326"/>
      <c r="S92" s="476">
        <f t="shared" si="2"/>
        <v>470473.8122561854</v>
      </c>
      <c r="T92" s="336">
        <f t="shared" si="3"/>
        <v>214477.08078501018</v>
      </c>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s="353"/>
    </row>
    <row r="93" spans="14:62" x14ac:dyDescent="0.35">
      <c r="N93" s="356"/>
      <c r="O93" s="326">
        <f>IF(O92&lt;'Project Information'!$B$11,O92+1,"")</f>
        <v>2050</v>
      </c>
      <c r="P93" s="506">
        <f t="shared" si="5"/>
        <v>0</v>
      </c>
      <c r="Q93" s="507">
        <f t="shared" si="4"/>
        <v>0</v>
      </c>
      <c r="R93" s="326"/>
      <c r="S93" s="476">
        <f t="shared" si="2"/>
        <v>483411.84209323052</v>
      </c>
      <c r="T93" s="336">
        <f t="shared" si="3"/>
        <v>223274.87419747427</v>
      </c>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s="353"/>
    </row>
    <row r="94" spans="14:62" x14ac:dyDescent="0.35">
      <c r="N94" s="356"/>
      <c r="O94" s="326">
        <f>IF(O93&lt;'Project Information'!$B$11,O93+1,"")</f>
        <v>2051</v>
      </c>
      <c r="P94" s="506">
        <f t="shared" si="5"/>
        <v>0</v>
      </c>
      <c r="Q94" s="507">
        <f t="shared" si="4"/>
        <v>0</v>
      </c>
      <c r="R94" s="326"/>
      <c r="S94" s="476">
        <f t="shared" si="2"/>
        <v>496705.6677507945</v>
      </c>
      <c r="T94" s="336">
        <f t="shared" si="3"/>
        <v>232394.34795528027</v>
      </c>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s="353"/>
    </row>
    <row r="95" spans="14:62" x14ac:dyDescent="0.35">
      <c r="N95" s="356"/>
      <c r="O95" s="326">
        <f>IF(O94&lt;'Project Information'!$B$11,O94+1,"")</f>
        <v>2052</v>
      </c>
      <c r="P95" s="506">
        <f t="shared" si="5"/>
        <v>0</v>
      </c>
      <c r="Q95" s="507">
        <f t="shared" si="4"/>
        <v>0</v>
      </c>
      <c r="R95" s="326"/>
      <c r="S95" s="476">
        <f t="shared" si="2"/>
        <v>510365.07361394132</v>
      </c>
      <c r="T95" s="336">
        <f t="shared" si="3"/>
        <v>241081.20399062787</v>
      </c>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s="353"/>
    </row>
    <row r="96" spans="14:62" x14ac:dyDescent="0.35">
      <c r="N96" s="356"/>
      <c r="O96" s="326">
        <f>IF(O95&lt;'Project Information'!$B$11,O95+1,"")</f>
        <v>2053</v>
      </c>
      <c r="P96" s="506">
        <f t="shared" si="5"/>
        <v>0</v>
      </c>
      <c r="Q96" s="507">
        <f t="shared" si="4"/>
        <v>0</v>
      </c>
      <c r="R96" s="326"/>
      <c r="S96" s="476">
        <f t="shared" si="2"/>
        <v>524400.1131383247</v>
      </c>
      <c r="T96" s="336">
        <f t="shared" si="3"/>
        <v>250856.47280958117</v>
      </c>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s="353"/>
    </row>
    <row r="97" spans="14:62" x14ac:dyDescent="0.35">
      <c r="N97" s="356"/>
      <c r="O97" s="326">
        <f>IF(O96&lt;'Project Information'!$B$11,O96+1,"")</f>
        <v>2054</v>
      </c>
      <c r="P97" s="506">
        <f t="shared" si="5"/>
        <v>0</v>
      </c>
      <c r="Q97" s="507">
        <f t="shared" si="4"/>
        <v>0</v>
      </c>
      <c r="R97" s="326"/>
      <c r="S97" s="476">
        <f t="shared" si="2"/>
        <v>538821.1162496286</v>
      </c>
      <c r="T97" s="336">
        <f t="shared" si="3"/>
        <v>257755.02581184465</v>
      </c>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s="353"/>
    </row>
    <row r="98" spans="14:62" x14ac:dyDescent="0.35">
      <c r="N98" s="356"/>
      <c r="O98" s="326" t="str">
        <f>IF(O97&lt;'Project Information'!$B$11,O97+1,"")</f>
        <v/>
      </c>
      <c r="P98" s="506">
        <f t="shared" si="5"/>
        <v>0</v>
      </c>
      <c r="Q98" s="507">
        <f t="shared" si="4"/>
        <v>0</v>
      </c>
      <c r="R98" s="326"/>
      <c r="S98" s="476" t="str">
        <f t="shared" si="2"/>
        <v/>
      </c>
      <c r="T98" s="336" t="str">
        <f t="shared" si="3"/>
        <v/>
      </c>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s="353"/>
    </row>
    <row r="99" spans="14:62" x14ac:dyDescent="0.35">
      <c r="N99" s="356"/>
      <c r="O99" s="326" t="str">
        <f>IF(O98&lt;'Project Information'!$B$11,O98+1,"")</f>
        <v/>
      </c>
      <c r="P99" s="506">
        <f t="shared" si="5"/>
        <v>0</v>
      </c>
      <c r="Q99" s="507">
        <f t="shared" si="4"/>
        <v>0</v>
      </c>
      <c r="R99" s="326"/>
      <c r="S99" s="476" t="str">
        <f t="shared" si="2"/>
        <v/>
      </c>
      <c r="T99" s="336" t="str">
        <f t="shared" si="3"/>
        <v/>
      </c>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s="353"/>
    </row>
    <row r="100" spans="14:62" x14ac:dyDescent="0.35">
      <c r="N100" s="356"/>
      <c r="O100" s="326" t="str">
        <f>IF(O99&lt;'Project Information'!$B$11,O99+1,"")</f>
        <v/>
      </c>
      <c r="P100" s="506">
        <f t="shared" si="5"/>
        <v>0</v>
      </c>
      <c r="Q100" s="507">
        <f t="shared" si="4"/>
        <v>0</v>
      </c>
      <c r="R100" s="326"/>
      <c r="S100" s="476" t="str">
        <f t="shared" si="2"/>
        <v/>
      </c>
      <c r="T100" s="336" t="str">
        <f t="shared" si="3"/>
        <v/>
      </c>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s="353"/>
    </row>
    <row r="101" spans="14:62" x14ac:dyDescent="0.35">
      <c r="N101" s="356"/>
      <c r="O101" s="326" t="str">
        <f>IF(O100&lt;'Project Information'!$B$11,O100+1,"")</f>
        <v/>
      </c>
      <c r="P101" s="506">
        <f t="shared" si="5"/>
        <v>0</v>
      </c>
      <c r="Q101" s="507">
        <f t="shared" si="4"/>
        <v>0</v>
      </c>
      <c r="R101" s="326"/>
      <c r="S101" s="476" t="str">
        <f t="shared" si="2"/>
        <v/>
      </c>
      <c r="T101" s="336" t="str">
        <f t="shared" si="3"/>
        <v/>
      </c>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s="353"/>
    </row>
    <row r="102" spans="14:62" x14ac:dyDescent="0.35">
      <c r="O102" s="508" t="str">
        <f>IF(O101&lt;'Project Information'!$B$11,O101+1,"")</f>
        <v/>
      </c>
      <c r="P102" s="509">
        <f t="shared" si="5"/>
        <v>0</v>
      </c>
      <c r="Q102" s="509">
        <f t="shared" si="4"/>
        <v>0</v>
      </c>
      <c r="R102" s="12"/>
      <c r="S102" s="476" t="str">
        <f t="shared" si="2"/>
        <v/>
      </c>
      <c r="T102" s="336" t="str">
        <f t="shared" si="3"/>
        <v/>
      </c>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s="353"/>
    </row>
    <row r="103" spans="14:62" x14ac:dyDescent="0.35">
      <c r="O103" s="352"/>
      <c r="P103"/>
      <c r="Q103"/>
      <c r="R103" s="401" t="s">
        <v>221</v>
      </c>
      <c r="S103" s="497">
        <f>SUM(S73:S102)</f>
        <v>9914737.8168524541</v>
      </c>
      <c r="T103" s="497">
        <f>SUM(T73:T102)</f>
        <v>4179056.6346379225</v>
      </c>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s="353"/>
    </row>
    <row r="104" spans="14:62" x14ac:dyDescent="0.35">
      <c r="O104" s="352"/>
      <c r="P104"/>
      <c r="Q104"/>
      <c r="R104" s="510" t="s">
        <v>222</v>
      </c>
      <c r="S104" s="499">
        <f>NPV(0.031, S73:S102)/(1.031 ^(Opening_Year - Base_Year - 1))</f>
        <v>5283964.7126426222</v>
      </c>
      <c r="T104" s="511">
        <f>NPV(0.02, T73:T102)/(1.02 ^(Opening_Year - Base_Year - 1))</f>
        <v>2724217.8422590075</v>
      </c>
      <c r="U104"/>
      <c r="V104"/>
      <c r="W104"/>
      <c r="X104"/>
      <c r="Y104"/>
      <c r="Z104"/>
      <c r="AA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s="353"/>
    </row>
    <row r="105" spans="14:62" x14ac:dyDescent="0.35">
      <c r="O105" s="352"/>
      <c r="P105"/>
      <c r="Q105"/>
      <c r="R105"/>
      <c r="S105"/>
      <c r="T105"/>
      <c r="U105"/>
      <c r="V105"/>
      <c r="W105"/>
      <c r="X105"/>
      <c r="Y105"/>
      <c r="Z105"/>
      <c r="AA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s="353"/>
    </row>
    <row r="106" spans="14:62" x14ac:dyDescent="0.35">
      <c r="O106" s="352"/>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s="353"/>
    </row>
    <row r="107" spans="14:62" x14ac:dyDescent="0.35">
      <c r="O107" s="352"/>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s="353"/>
    </row>
    <row r="108" spans="14:62" x14ac:dyDescent="0.35">
      <c r="O108" s="352"/>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s="353"/>
    </row>
    <row r="109" spans="14:62" x14ac:dyDescent="0.35">
      <c r="O109" s="352"/>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s="353"/>
    </row>
    <row r="110" spans="14:62" x14ac:dyDescent="0.35">
      <c r="O110" s="352"/>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s="353"/>
    </row>
    <row r="111" spans="14:62" x14ac:dyDescent="0.35">
      <c r="O111" s="352"/>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s="353"/>
    </row>
    <row r="112" spans="14:62" x14ac:dyDescent="0.35">
      <c r="O112" s="35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s="353"/>
    </row>
    <row r="113" spans="15:62" x14ac:dyDescent="0.35">
      <c r="O113" s="352"/>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s="353"/>
    </row>
    <row r="114" spans="15:62" ht="15" thickBot="1" x14ac:dyDescent="0.4">
      <c r="O114" s="446"/>
      <c r="P114" s="382"/>
      <c r="Q114" s="382"/>
      <c r="R114" s="382"/>
      <c r="S114" s="382"/>
      <c r="T114" s="382"/>
      <c r="U114" s="382"/>
      <c r="V114" s="382"/>
      <c r="W114" s="382"/>
      <c r="X114" s="382"/>
      <c r="Y114" s="382"/>
      <c r="Z114" s="382"/>
      <c r="AA114" s="382"/>
      <c r="AB114" s="382"/>
      <c r="AC114" s="382"/>
      <c r="AD114" s="382"/>
      <c r="AE114" s="382"/>
      <c r="AF114" s="382"/>
      <c r="AG114" s="382"/>
      <c r="AH114" s="382"/>
      <c r="AI114" s="382"/>
      <c r="AJ114" s="382"/>
      <c r="AK114" s="382"/>
      <c r="AL114" s="382"/>
      <c r="AM114" s="382"/>
      <c r="AN114" s="382"/>
      <c r="AO114" s="382"/>
      <c r="AP114" s="382"/>
      <c r="AQ114" s="382"/>
      <c r="AR114" s="382"/>
      <c r="AS114" s="382"/>
      <c r="AT114" s="382"/>
      <c r="AU114" s="382"/>
      <c r="AV114" s="382"/>
      <c r="AW114" s="382"/>
      <c r="AX114" s="382"/>
      <c r="AY114" s="382"/>
      <c r="AZ114" s="382"/>
      <c r="BA114" s="382"/>
      <c r="BB114" s="382"/>
      <c r="BC114" s="382"/>
      <c r="BD114" s="382"/>
      <c r="BE114" s="382"/>
      <c r="BF114" s="382"/>
      <c r="BG114" s="382"/>
      <c r="BH114" s="382"/>
      <c r="BI114" s="382"/>
      <c r="BJ114" s="383"/>
    </row>
  </sheetData>
  <sheetProtection algorithmName="SHA-512" hashValue="skOEqBAfcV126ePOdR0cySJoIgxrO3Oix6Cj6wBc7xo6e9ZaHQpCMhWbLFOQWbEx+7/r4ZwFQDrULJJE/az9Jw==" saltValue="qgM0WEAgoeEk/m9dMV/HrA==" spinCount="100000" sheet="1" objects="1" scenarios="1"/>
  <conditionalFormatting sqref="Q73:Q102">
    <cfRule type="expression" dxfId="18" priority="1">
      <formula>$O73=""</formula>
    </cfRule>
  </conditionalFormatting>
  <conditionalFormatting sqref="P73:P102">
    <cfRule type="expression" dxfId="17" priority="2">
      <formula>$O73=""</formula>
    </cfRule>
  </conditionalFormatting>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B56DD7-867B-41D0-B8B6-870E6C89745A}">
  <sheetPr codeName="Sheet11">
    <tabColor theme="5" tint="0.59999389629810485"/>
  </sheetPr>
  <dimension ref="A1:BB115"/>
  <sheetViews>
    <sheetView workbookViewId="0">
      <selection activeCell="J68" sqref="J68"/>
    </sheetView>
  </sheetViews>
  <sheetFormatPr defaultColWidth="9.1796875" defaultRowHeight="14.5" x14ac:dyDescent="0.35"/>
  <cols>
    <col min="1" max="1" width="28.54296875" style="42" customWidth="1"/>
    <col min="2" max="2" width="35.1796875" style="42" customWidth="1"/>
    <col min="3" max="3" width="25.81640625" style="42" customWidth="1"/>
    <col min="4" max="4" width="27" style="42" customWidth="1"/>
    <col min="5" max="6" width="9.1796875" style="42"/>
    <col min="7" max="7" width="17.81640625" style="42" customWidth="1"/>
    <col min="8" max="8" width="30" style="42" bestFit="1" customWidth="1"/>
    <col min="9" max="9" width="27" style="42" bestFit="1" customWidth="1"/>
    <col min="10" max="10" width="30.1796875" style="42" bestFit="1" customWidth="1"/>
    <col min="11" max="11" width="32.81640625" style="42" bestFit="1" customWidth="1"/>
    <col min="12" max="12" width="12.1796875" style="42" bestFit="1" customWidth="1"/>
    <col min="13" max="13" width="18.81640625" style="42" customWidth="1"/>
    <col min="14" max="14" width="15" style="42" bestFit="1" customWidth="1"/>
    <col min="15" max="15" width="17.81640625" style="42" bestFit="1" customWidth="1"/>
    <col min="16" max="16" width="15.1796875" style="42" customWidth="1"/>
    <col min="17" max="18" width="9.1796875" style="42"/>
    <col min="19" max="19" width="18.81640625" style="42" customWidth="1"/>
    <col min="20" max="24" width="9.1796875" style="42"/>
    <col min="25" max="25" width="20.1796875" style="42" customWidth="1"/>
    <col min="26" max="16384" width="9.1796875" style="42"/>
  </cols>
  <sheetData>
    <row r="1" spans="1:9" ht="20" thickBot="1" x14ac:dyDescent="0.5">
      <c r="A1" s="316" t="s">
        <v>378</v>
      </c>
    </row>
    <row r="2" spans="1:9" ht="15" thickTop="1" x14ac:dyDescent="0.35">
      <c r="A2" s="512"/>
      <c r="B2" s="362"/>
      <c r="C2" s="362"/>
      <c r="D2" s="362"/>
      <c r="E2" s="362"/>
      <c r="F2" s="362"/>
    </row>
    <row r="3" spans="1:9" x14ac:dyDescent="0.35">
      <c r="A3" s="42" t="s">
        <v>171</v>
      </c>
    </row>
    <row r="4" spans="1:9" x14ac:dyDescent="0.35">
      <c r="A4" s="513"/>
      <c r="B4" s="362"/>
      <c r="C4" s="362"/>
      <c r="D4" s="362"/>
      <c r="E4" s="362"/>
      <c r="F4" s="362"/>
      <c r="G4" s="362"/>
      <c r="H4" s="362"/>
      <c r="I4" s="362"/>
    </row>
    <row r="5" spans="1:9" x14ac:dyDescent="0.35">
      <c r="A5" s="363" t="s">
        <v>171</v>
      </c>
    </row>
    <row r="6" spans="1:9" x14ac:dyDescent="0.35">
      <c r="A6" s="318" t="s">
        <v>223</v>
      </c>
    </row>
    <row r="7" spans="1:9" x14ac:dyDescent="0.35">
      <c r="A7" s="406" t="s">
        <v>297</v>
      </c>
      <c r="B7" s="406" t="s">
        <v>305</v>
      </c>
    </row>
    <row r="8" spans="1:9" x14ac:dyDescent="0.35">
      <c r="A8" s="407" t="s">
        <v>379</v>
      </c>
      <c r="B8" s="514">
        <f>'Parameter Values'!B53</f>
        <v>0.52</v>
      </c>
    </row>
    <row r="9" spans="1:9" x14ac:dyDescent="0.35">
      <c r="A9" s="407" t="s">
        <v>380</v>
      </c>
      <c r="B9" s="514">
        <f>'Parameter Values'!B54</f>
        <v>1.32</v>
      </c>
    </row>
    <row r="10" spans="1:9" x14ac:dyDescent="0.35">
      <c r="A10" s="406" t="s">
        <v>318</v>
      </c>
      <c r="B10" s="406" t="s">
        <v>319</v>
      </c>
    </row>
    <row r="11" spans="1:9" x14ac:dyDescent="0.35">
      <c r="A11" s="471" t="s">
        <v>320</v>
      </c>
      <c r="B11" s="468" t="s">
        <v>381</v>
      </c>
    </row>
    <row r="12" spans="1:9" x14ac:dyDescent="0.35">
      <c r="A12" s="407" t="s">
        <v>321</v>
      </c>
      <c r="B12" s="472">
        <f>'Parameter Values'!B63</f>
        <v>273</v>
      </c>
    </row>
    <row r="13" spans="1:9" x14ac:dyDescent="0.35">
      <c r="A13" s="407" t="s">
        <v>322</v>
      </c>
      <c r="B13" s="472">
        <f>'Parameter Values'!B64</f>
        <v>299</v>
      </c>
    </row>
    <row r="14" spans="1:9" x14ac:dyDescent="0.35">
      <c r="A14" s="407" t="s">
        <v>323</v>
      </c>
      <c r="B14" s="472">
        <f>'Parameter Values'!B65</f>
        <v>747</v>
      </c>
    </row>
    <row r="15" spans="1:9" x14ac:dyDescent="0.35">
      <c r="A15" s="407" t="s">
        <v>324</v>
      </c>
      <c r="B15" s="472">
        <f>'Parameter Values'!B66</f>
        <v>331</v>
      </c>
    </row>
    <row r="16" spans="1:9" x14ac:dyDescent="0.35">
      <c r="A16" s="471" t="s">
        <v>325</v>
      </c>
      <c r="B16" s="468" t="s">
        <v>381</v>
      </c>
    </row>
    <row r="17" spans="1:54" x14ac:dyDescent="0.35">
      <c r="A17" s="407" t="s">
        <v>321</v>
      </c>
      <c r="B17" s="472">
        <f>'Parameter Values'!B68</f>
        <v>799</v>
      </c>
    </row>
    <row r="18" spans="1:54" x14ac:dyDescent="0.35">
      <c r="A18" s="407" t="s">
        <v>322</v>
      </c>
      <c r="B18" s="472">
        <f>'Parameter Values'!B69</f>
        <v>778</v>
      </c>
    </row>
    <row r="19" spans="1:54" x14ac:dyDescent="0.35">
      <c r="A19" s="407" t="s">
        <v>323</v>
      </c>
      <c r="B19" s="472">
        <f>'Parameter Values'!B70</f>
        <v>1226</v>
      </c>
    </row>
    <row r="20" spans="1:54" x14ac:dyDescent="0.35">
      <c r="A20" s="407" t="s">
        <v>324</v>
      </c>
      <c r="B20" s="472">
        <f>'Parameter Values'!B71</f>
        <v>810</v>
      </c>
    </row>
    <row r="21" spans="1:54" x14ac:dyDescent="0.35">
      <c r="A21" s="471" t="s">
        <v>382</v>
      </c>
      <c r="B21" s="468" t="s">
        <v>381</v>
      </c>
    </row>
    <row r="22" spans="1:54" x14ac:dyDescent="0.35">
      <c r="A22" s="407" t="s">
        <v>383</v>
      </c>
      <c r="B22" s="514">
        <f>'Parameter Values'!B73</f>
        <v>1.03</v>
      </c>
    </row>
    <row r="23" spans="1:54" x14ac:dyDescent="0.35">
      <c r="A23" s="363" t="s">
        <v>171</v>
      </c>
      <c r="B23" s="363"/>
    </row>
    <row r="24" spans="1:54" ht="15" thickBot="1" x14ac:dyDescent="0.4">
      <c r="A24" s="318" t="s">
        <v>378</v>
      </c>
    </row>
    <row r="25" spans="1:54" x14ac:dyDescent="0.35">
      <c r="A25" s="321" t="s">
        <v>173</v>
      </c>
      <c r="B25" s="334" t="s">
        <v>384</v>
      </c>
      <c r="C25" s="334" t="s">
        <v>385</v>
      </c>
      <c r="D25" s="411" t="s">
        <v>175</v>
      </c>
      <c r="G25" s="347" t="s">
        <v>211</v>
      </c>
      <c r="H25" s="348"/>
      <c r="I25" s="348"/>
      <c r="J25" s="348"/>
      <c r="K25" s="348"/>
      <c r="L25" s="348"/>
      <c r="M25" s="348"/>
      <c r="N25" s="348"/>
      <c r="O25" s="348"/>
      <c r="P25" s="348"/>
      <c r="Q25" s="348"/>
      <c r="R25" s="348"/>
      <c r="S25" s="347"/>
      <c r="T25" s="348"/>
      <c r="U25" s="348"/>
      <c r="V25" s="348"/>
      <c r="W25" s="348"/>
      <c r="X25" s="348"/>
      <c r="Y25" s="347"/>
      <c r="Z25" s="348"/>
      <c r="AA25" s="348"/>
      <c r="AB25" s="348"/>
      <c r="AC25" s="348"/>
      <c r="AD25" s="348"/>
      <c r="AE25" s="348"/>
      <c r="AF25" s="348"/>
      <c r="AG25" s="348"/>
      <c r="AH25" s="348"/>
      <c r="AI25" s="348"/>
      <c r="AJ25" s="348"/>
      <c r="AK25" s="348"/>
      <c r="AL25" s="348"/>
      <c r="AM25" s="348"/>
      <c r="AN25" s="348"/>
      <c r="AO25" s="348"/>
      <c r="AP25" s="348"/>
      <c r="AQ25" s="348"/>
      <c r="AR25" s="348"/>
      <c r="AS25" s="348"/>
      <c r="AT25" s="348"/>
      <c r="AU25" s="348"/>
      <c r="AV25" s="348"/>
      <c r="AW25" s="348"/>
      <c r="AX25" s="348"/>
      <c r="AY25" s="348"/>
      <c r="AZ25" s="348"/>
      <c r="BA25" s="348"/>
      <c r="BB25" s="349"/>
    </row>
    <row r="26" spans="1:54" x14ac:dyDescent="0.35">
      <c r="A26" s="10">
        <f>'Project Information'!$B$9</f>
        <v>2030</v>
      </c>
      <c r="B26" s="368">
        <v>0</v>
      </c>
      <c r="C26" s="368">
        <f t="shared" ref="C26:C55" si="0">IF(A26 = "", 0,I37)</f>
        <v>0</v>
      </c>
      <c r="D26" s="389">
        <f>B26-C26</f>
        <v>0</v>
      </c>
      <c r="G26" s="369"/>
      <c r="H26" s="370"/>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s="353"/>
    </row>
    <row r="27" spans="1:54" x14ac:dyDescent="0.35">
      <c r="A27" s="326">
        <f>IF(A26&lt;'Project Information'!$B$11,A26+1,"")</f>
        <v>2031</v>
      </c>
      <c r="B27" s="368">
        <v>0</v>
      </c>
      <c r="C27" s="368">
        <f t="shared" si="0"/>
        <v>0</v>
      </c>
      <c r="D27" s="325">
        <f t="shared" ref="D27:D55" si="1">B27-C27</f>
        <v>0</v>
      </c>
      <c r="F27" s="356"/>
      <c r="G27" s="371" t="s">
        <v>212</v>
      </c>
      <c r="H27" s="372">
        <f>Project_ID</f>
        <v>1057</v>
      </c>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s="353"/>
    </row>
    <row r="28" spans="1:54" x14ac:dyDescent="0.35">
      <c r="A28" s="326">
        <f>IF(A27&lt;'Project Information'!$B$11,A27+1,"")</f>
        <v>2032</v>
      </c>
      <c r="B28" s="368">
        <v>0</v>
      </c>
      <c r="C28" s="368">
        <f t="shared" si="0"/>
        <v>0</v>
      </c>
      <c r="D28" s="325">
        <f t="shared" si="1"/>
        <v>0</v>
      </c>
      <c r="F28" s="356"/>
      <c r="G28" s="448"/>
      <c r="H28" s="479"/>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s="353"/>
    </row>
    <row r="29" spans="1:54" x14ac:dyDescent="0.35">
      <c r="A29" s="326">
        <f>IF(A28&lt;'Project Information'!$B$11,A28+1,"")</f>
        <v>2033</v>
      </c>
      <c r="B29" s="368">
        <v>0</v>
      </c>
      <c r="C29" s="368">
        <f t="shared" si="0"/>
        <v>0</v>
      </c>
      <c r="D29" s="325">
        <f t="shared" si="1"/>
        <v>0</v>
      </c>
      <c r="F29" s="356"/>
      <c r="G29" s="371" t="s">
        <v>240</v>
      </c>
      <c r="H29" s="452">
        <f>Growth_Rate</f>
        <v>2.75E-2</v>
      </c>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s="353"/>
    </row>
    <row r="30" spans="1:54" x14ac:dyDescent="0.35">
      <c r="A30" s="326">
        <f>IF(A29&lt;'Project Information'!$B$11,A29+1,"")</f>
        <v>2034</v>
      </c>
      <c r="B30" s="368">
        <v>0</v>
      </c>
      <c r="C30" s="368">
        <f t="shared" si="0"/>
        <v>0</v>
      </c>
      <c r="D30" s="325">
        <f t="shared" si="1"/>
        <v>0</v>
      </c>
      <c r="F30" s="356"/>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s="353"/>
    </row>
    <row r="31" spans="1:54" x14ac:dyDescent="0.35">
      <c r="A31" s="326">
        <f>IF(A30&lt;'Project Information'!$B$11,A30+1,"")</f>
        <v>2035</v>
      </c>
      <c r="B31" s="368">
        <v>0</v>
      </c>
      <c r="C31" s="368">
        <f t="shared" si="0"/>
        <v>0</v>
      </c>
      <c r="D31" s="325">
        <f t="shared" si="1"/>
        <v>0</v>
      </c>
      <c r="F31" s="356"/>
      <c r="G31" s="421" t="s">
        <v>297</v>
      </c>
      <c r="H31" s="515" t="s">
        <v>386</v>
      </c>
      <c r="I31" s="516" t="s">
        <v>387</v>
      </c>
      <c r="J31" s="517" t="s">
        <v>388</v>
      </c>
      <c r="K31" s="421" t="s">
        <v>389</v>
      </c>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s="353"/>
    </row>
    <row r="32" spans="1:54" x14ac:dyDescent="0.35">
      <c r="A32" s="326">
        <f>IF(A31&lt;'Project Information'!$B$11,A31+1,"")</f>
        <v>2036</v>
      </c>
      <c r="B32" s="368">
        <v>0</v>
      </c>
      <c r="C32" s="368">
        <f t="shared" si="0"/>
        <v>0</v>
      </c>
      <c r="D32" s="325">
        <f t="shared" si="1"/>
        <v>0</v>
      </c>
      <c r="F32" s="356"/>
      <c r="G32" s="518" t="s">
        <v>379</v>
      </c>
      <c r="H32" s="419">
        <f>No_Build_Start_Annual_VMT</f>
        <v>127479767.08724634</v>
      </c>
      <c r="I32" s="419">
        <f>Build_Start_Annual_VMT</f>
        <v>127479767.08724634</v>
      </c>
      <c r="J32" s="419">
        <f>H32-I32</f>
        <v>0</v>
      </c>
      <c r="K32" s="519">
        <f>J32*$B$8</f>
        <v>0</v>
      </c>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s="353"/>
    </row>
    <row r="33" spans="1:54" x14ac:dyDescent="0.35">
      <c r="A33" s="326">
        <f>IF(A32&lt;'Project Information'!$B$11,A32+1,"")</f>
        <v>2037</v>
      </c>
      <c r="B33" s="368">
        <v>0</v>
      </c>
      <c r="C33" s="368">
        <f t="shared" si="0"/>
        <v>0</v>
      </c>
      <c r="D33" s="325">
        <f t="shared" si="1"/>
        <v>0</v>
      </c>
      <c r="F33" s="356"/>
      <c r="G33" t="s">
        <v>390</v>
      </c>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s="353"/>
    </row>
    <row r="34" spans="1:54" x14ac:dyDescent="0.35">
      <c r="A34" s="326">
        <f>IF(A33&lt;'Project Information'!$B$11,A33+1,"")</f>
        <v>2038</v>
      </c>
      <c r="B34" s="368">
        <v>0</v>
      </c>
      <c r="C34" s="368">
        <f t="shared" si="0"/>
        <v>0</v>
      </c>
      <c r="D34" s="325">
        <f t="shared" si="1"/>
        <v>0</v>
      </c>
      <c r="F34" s="356"/>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s="353"/>
    </row>
    <row r="35" spans="1:54" x14ac:dyDescent="0.35">
      <c r="A35" s="326">
        <f>IF(A34&lt;'Project Information'!$B$11,A34+1,"")</f>
        <v>2039</v>
      </c>
      <c r="B35" s="368">
        <v>0</v>
      </c>
      <c r="C35" s="368">
        <f t="shared" si="0"/>
        <v>0</v>
      </c>
      <c r="D35" s="325">
        <f t="shared" si="1"/>
        <v>0</v>
      </c>
      <c r="F35" s="356"/>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s="353"/>
    </row>
    <row r="36" spans="1:54" x14ac:dyDescent="0.35">
      <c r="A36" s="326">
        <f>IF(A35&lt;'Project Information'!$B$11,A35+1,"")</f>
        <v>2040</v>
      </c>
      <c r="B36" s="368">
        <v>0</v>
      </c>
      <c r="C36" s="368">
        <f t="shared" si="0"/>
        <v>0</v>
      </c>
      <c r="D36" s="325">
        <f t="shared" si="1"/>
        <v>0</v>
      </c>
      <c r="F36" s="356"/>
      <c r="G36" s="321" t="s">
        <v>173</v>
      </c>
      <c r="H36" s="334" t="s">
        <v>384</v>
      </c>
      <c r="I36" s="334" t="s">
        <v>385</v>
      </c>
      <c r="J36" s="411" t="s">
        <v>175</v>
      </c>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s="353"/>
    </row>
    <row r="37" spans="1:54" x14ac:dyDescent="0.35">
      <c r="A37" s="326">
        <f>IF(A36&lt;'Project Information'!$B$11,A36+1,"")</f>
        <v>2041</v>
      </c>
      <c r="B37" s="368">
        <v>0</v>
      </c>
      <c r="C37" s="368">
        <f t="shared" si="0"/>
        <v>0</v>
      </c>
      <c r="D37" s="325">
        <f t="shared" si="1"/>
        <v>0</v>
      </c>
      <c r="F37" s="356"/>
      <c r="G37" s="10">
        <f>'Project Information'!$B$9</f>
        <v>2030</v>
      </c>
      <c r="H37" s="368">
        <v>0</v>
      </c>
      <c r="I37" s="368">
        <f>IF(G37 = "", 0,-(K32+K33))</f>
        <v>0</v>
      </c>
      <c r="J37" s="389">
        <f>H37-I37</f>
        <v>0</v>
      </c>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s="353"/>
    </row>
    <row r="38" spans="1:54" x14ac:dyDescent="0.35">
      <c r="A38" s="326">
        <f>IF(A37&lt;'Project Information'!$B$11,A37+1,"")</f>
        <v>2042</v>
      </c>
      <c r="B38" s="368">
        <v>0</v>
      </c>
      <c r="C38" s="368">
        <f t="shared" si="0"/>
        <v>0</v>
      </c>
      <c r="D38" s="325">
        <f t="shared" si="1"/>
        <v>0</v>
      </c>
      <c r="F38" s="356"/>
      <c r="G38" s="326">
        <f>IF(G37&lt;'Project Information'!$B$11,G37+1,"")</f>
        <v>2031</v>
      </c>
      <c r="H38" s="368">
        <v>0</v>
      </c>
      <c r="I38" s="368">
        <f t="shared" ref="I38:I66" si="2">IF(G38="", 0, I37+(I37*Growth_Rate))</f>
        <v>0</v>
      </c>
      <c r="J38" s="325">
        <f t="shared" ref="J38:J66" si="3">H38-I38</f>
        <v>0</v>
      </c>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s="353"/>
    </row>
    <row r="39" spans="1:54" x14ac:dyDescent="0.35">
      <c r="A39" s="326">
        <f>IF(A38&lt;'Project Information'!$B$11,A38+1,"")</f>
        <v>2043</v>
      </c>
      <c r="B39" s="368">
        <v>0</v>
      </c>
      <c r="C39" s="368">
        <f t="shared" si="0"/>
        <v>0</v>
      </c>
      <c r="D39" s="325">
        <f t="shared" si="1"/>
        <v>0</v>
      </c>
      <c r="F39" s="356"/>
      <c r="G39" s="326">
        <f>IF(G38&lt;'Project Information'!$B$11,G38+1,"")</f>
        <v>2032</v>
      </c>
      <c r="H39" s="368">
        <v>0</v>
      </c>
      <c r="I39" s="368">
        <f t="shared" si="2"/>
        <v>0</v>
      </c>
      <c r="J39" s="325">
        <f t="shared" si="3"/>
        <v>0</v>
      </c>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s="353"/>
    </row>
    <row r="40" spans="1:54" x14ac:dyDescent="0.35">
      <c r="A40" s="326">
        <f>IF(A39&lt;'Project Information'!$B$11,A39+1,"")</f>
        <v>2044</v>
      </c>
      <c r="B40" s="368">
        <v>0</v>
      </c>
      <c r="C40" s="368">
        <f t="shared" si="0"/>
        <v>0</v>
      </c>
      <c r="D40" s="325">
        <f t="shared" si="1"/>
        <v>0</v>
      </c>
      <c r="F40" s="356"/>
      <c r="G40" s="326">
        <f>IF(G39&lt;'Project Information'!$B$11,G39+1,"")</f>
        <v>2033</v>
      </c>
      <c r="H40" s="368">
        <v>0</v>
      </c>
      <c r="I40" s="368">
        <f t="shared" si="2"/>
        <v>0</v>
      </c>
      <c r="J40" s="325">
        <f t="shared" si="3"/>
        <v>0</v>
      </c>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s="353"/>
    </row>
    <row r="41" spans="1:54" x14ac:dyDescent="0.35">
      <c r="A41" s="326">
        <f>IF(A40&lt;'Project Information'!$B$11,A40+1,"")</f>
        <v>2045</v>
      </c>
      <c r="B41" s="368">
        <v>0</v>
      </c>
      <c r="C41" s="368">
        <f t="shared" si="0"/>
        <v>0</v>
      </c>
      <c r="D41" s="325">
        <f t="shared" si="1"/>
        <v>0</v>
      </c>
      <c r="F41" s="356"/>
      <c r="G41" s="326">
        <f>IF(G40&lt;'Project Information'!$B$11,G40+1,"")</f>
        <v>2034</v>
      </c>
      <c r="H41" s="368">
        <v>0</v>
      </c>
      <c r="I41" s="368">
        <f t="shared" si="2"/>
        <v>0</v>
      </c>
      <c r="J41" s="325">
        <f t="shared" si="3"/>
        <v>0</v>
      </c>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s="353"/>
    </row>
    <row r="42" spans="1:54" x14ac:dyDescent="0.35">
      <c r="A42" s="326">
        <f>IF(A41&lt;'Project Information'!$B$11,A41+1,"")</f>
        <v>2046</v>
      </c>
      <c r="B42" s="368">
        <v>0</v>
      </c>
      <c r="C42" s="368">
        <f t="shared" si="0"/>
        <v>0</v>
      </c>
      <c r="D42" s="325">
        <f t="shared" si="1"/>
        <v>0</v>
      </c>
      <c r="F42" s="356"/>
      <c r="G42" s="326">
        <f>IF(G41&lt;'Project Information'!$B$11,G41+1,"")</f>
        <v>2035</v>
      </c>
      <c r="H42" s="368">
        <v>0</v>
      </c>
      <c r="I42" s="368">
        <f t="shared" si="2"/>
        <v>0</v>
      </c>
      <c r="J42" s="325">
        <f t="shared" si="3"/>
        <v>0</v>
      </c>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s="353"/>
    </row>
    <row r="43" spans="1:54" x14ac:dyDescent="0.35">
      <c r="A43" s="326">
        <f>IF(A42&lt;'Project Information'!$B$11,A42+1,"")</f>
        <v>2047</v>
      </c>
      <c r="B43" s="368">
        <v>0</v>
      </c>
      <c r="C43" s="368">
        <f t="shared" si="0"/>
        <v>0</v>
      </c>
      <c r="D43" s="325">
        <f t="shared" si="1"/>
        <v>0</v>
      </c>
      <c r="F43" s="356"/>
      <c r="G43" s="326">
        <f>IF(G42&lt;'Project Information'!$B$11,G42+1,"")</f>
        <v>2036</v>
      </c>
      <c r="H43" s="368">
        <v>0</v>
      </c>
      <c r="I43" s="368">
        <f t="shared" si="2"/>
        <v>0</v>
      </c>
      <c r="J43" s="325">
        <f t="shared" si="3"/>
        <v>0</v>
      </c>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s="353"/>
    </row>
    <row r="44" spans="1:54" x14ac:dyDescent="0.35">
      <c r="A44" s="326">
        <f>IF(A43&lt;'Project Information'!$B$11,A43+1,"")</f>
        <v>2048</v>
      </c>
      <c r="B44" s="368">
        <v>0</v>
      </c>
      <c r="C44" s="368">
        <f t="shared" si="0"/>
        <v>0</v>
      </c>
      <c r="D44" s="325">
        <f t="shared" si="1"/>
        <v>0</v>
      </c>
      <c r="F44" s="356"/>
      <c r="G44" s="326">
        <f>IF(G43&lt;'Project Information'!$B$11,G43+1,"")</f>
        <v>2037</v>
      </c>
      <c r="H44" s="368">
        <v>0</v>
      </c>
      <c r="I44" s="368">
        <f t="shared" si="2"/>
        <v>0</v>
      </c>
      <c r="J44" s="325">
        <f t="shared" si="3"/>
        <v>0</v>
      </c>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s="353"/>
    </row>
    <row r="45" spans="1:54" x14ac:dyDescent="0.35">
      <c r="A45" s="326">
        <f>IF(A44&lt;'Project Information'!$B$11,A44+1,"")</f>
        <v>2049</v>
      </c>
      <c r="B45" s="368">
        <v>0</v>
      </c>
      <c r="C45" s="368">
        <f t="shared" si="0"/>
        <v>0</v>
      </c>
      <c r="D45" s="325">
        <f t="shared" si="1"/>
        <v>0</v>
      </c>
      <c r="F45" s="356"/>
      <c r="G45" s="326">
        <f>IF(G44&lt;'Project Information'!$B$11,G44+1,"")</f>
        <v>2038</v>
      </c>
      <c r="H45" s="368">
        <v>0</v>
      </c>
      <c r="I45" s="368">
        <f t="shared" si="2"/>
        <v>0</v>
      </c>
      <c r="J45" s="325">
        <f t="shared" si="3"/>
        <v>0</v>
      </c>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s="353"/>
    </row>
    <row r="46" spans="1:54" x14ac:dyDescent="0.35">
      <c r="A46" s="326">
        <f>IF(A45&lt;'Project Information'!$B$11,A45+1,"")</f>
        <v>2050</v>
      </c>
      <c r="B46" s="368">
        <v>0</v>
      </c>
      <c r="C46" s="368">
        <f t="shared" si="0"/>
        <v>0</v>
      </c>
      <c r="D46" s="325">
        <f t="shared" si="1"/>
        <v>0</v>
      </c>
      <c r="F46" s="356"/>
      <c r="G46" s="326">
        <f>IF(G45&lt;'Project Information'!$B$11,G45+1,"")</f>
        <v>2039</v>
      </c>
      <c r="H46" s="368">
        <v>0</v>
      </c>
      <c r="I46" s="368">
        <f t="shared" si="2"/>
        <v>0</v>
      </c>
      <c r="J46" s="325">
        <f t="shared" si="3"/>
        <v>0</v>
      </c>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s="353"/>
    </row>
    <row r="47" spans="1:54" x14ac:dyDescent="0.35">
      <c r="A47" s="326">
        <f>IF(A46&lt;'Project Information'!$B$11,A46+1,"")</f>
        <v>2051</v>
      </c>
      <c r="B47" s="368">
        <v>0</v>
      </c>
      <c r="C47" s="368">
        <f t="shared" si="0"/>
        <v>0</v>
      </c>
      <c r="D47" s="325">
        <f t="shared" si="1"/>
        <v>0</v>
      </c>
      <c r="F47" s="356"/>
      <c r="G47" s="326">
        <f>IF(G46&lt;'Project Information'!$B$11,G46+1,"")</f>
        <v>2040</v>
      </c>
      <c r="H47" s="368">
        <v>0</v>
      </c>
      <c r="I47" s="368">
        <f t="shared" si="2"/>
        <v>0</v>
      </c>
      <c r="J47" s="325">
        <f t="shared" si="3"/>
        <v>0</v>
      </c>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s="353"/>
    </row>
    <row r="48" spans="1:54" x14ac:dyDescent="0.35">
      <c r="A48" s="326">
        <f>IF(A47&lt;'Project Information'!$B$11,A47+1,"")</f>
        <v>2052</v>
      </c>
      <c r="B48" s="368">
        <v>0</v>
      </c>
      <c r="C48" s="368">
        <f t="shared" si="0"/>
        <v>0</v>
      </c>
      <c r="D48" s="325">
        <f t="shared" si="1"/>
        <v>0</v>
      </c>
      <c r="F48" s="356"/>
      <c r="G48" s="326">
        <f>IF(G47&lt;'Project Information'!$B$11,G47+1,"")</f>
        <v>2041</v>
      </c>
      <c r="H48" s="368">
        <v>0</v>
      </c>
      <c r="I48" s="368">
        <f t="shared" si="2"/>
        <v>0</v>
      </c>
      <c r="J48" s="325">
        <f t="shared" si="3"/>
        <v>0</v>
      </c>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s="353"/>
    </row>
    <row r="49" spans="1:54" x14ac:dyDescent="0.35">
      <c r="A49" s="326">
        <f>IF(A48&lt;'Project Information'!$B$11,A48+1,"")</f>
        <v>2053</v>
      </c>
      <c r="B49" s="368">
        <v>0</v>
      </c>
      <c r="C49" s="368">
        <f t="shared" si="0"/>
        <v>0</v>
      </c>
      <c r="D49" s="325">
        <f t="shared" si="1"/>
        <v>0</v>
      </c>
      <c r="F49" s="356"/>
      <c r="G49" s="326">
        <f>IF(G48&lt;'Project Information'!$B$11,G48+1,"")</f>
        <v>2042</v>
      </c>
      <c r="H49" s="368">
        <v>0</v>
      </c>
      <c r="I49" s="368">
        <f t="shared" si="2"/>
        <v>0</v>
      </c>
      <c r="J49" s="325">
        <f t="shared" si="3"/>
        <v>0</v>
      </c>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s="353"/>
    </row>
    <row r="50" spans="1:54" x14ac:dyDescent="0.35">
      <c r="A50" s="326">
        <f>IF(A49&lt;'Project Information'!$B$11,A49+1,"")</f>
        <v>2054</v>
      </c>
      <c r="B50" s="368">
        <v>0</v>
      </c>
      <c r="C50" s="368">
        <f t="shared" si="0"/>
        <v>0</v>
      </c>
      <c r="D50" s="325">
        <f t="shared" si="1"/>
        <v>0</v>
      </c>
      <c r="F50" s="356"/>
      <c r="G50" s="326">
        <f>IF(G49&lt;'Project Information'!$B$11,G49+1,"")</f>
        <v>2043</v>
      </c>
      <c r="H50" s="368">
        <v>0</v>
      </c>
      <c r="I50" s="368">
        <f t="shared" si="2"/>
        <v>0</v>
      </c>
      <c r="J50" s="325">
        <f t="shared" si="3"/>
        <v>0</v>
      </c>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s="353"/>
    </row>
    <row r="51" spans="1:54" x14ac:dyDescent="0.35">
      <c r="A51" s="326" t="str">
        <f>IF(A50&lt;'Project Information'!$B$11,A50+1,"")</f>
        <v/>
      </c>
      <c r="B51" s="368">
        <v>0</v>
      </c>
      <c r="C51" s="368">
        <f t="shared" si="0"/>
        <v>0</v>
      </c>
      <c r="D51" s="325">
        <f t="shared" si="1"/>
        <v>0</v>
      </c>
      <c r="F51" s="356"/>
      <c r="G51" s="326">
        <f>IF(G50&lt;'Project Information'!$B$11,G50+1,"")</f>
        <v>2044</v>
      </c>
      <c r="H51" s="368">
        <v>0</v>
      </c>
      <c r="I51" s="368">
        <f t="shared" si="2"/>
        <v>0</v>
      </c>
      <c r="J51" s="325">
        <f t="shared" si="3"/>
        <v>0</v>
      </c>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s="353"/>
    </row>
    <row r="52" spans="1:54" x14ac:dyDescent="0.35">
      <c r="A52" s="326" t="str">
        <f>IF(A51&lt;'Project Information'!$B$11,A51+1,"")</f>
        <v/>
      </c>
      <c r="B52" s="368">
        <v>0</v>
      </c>
      <c r="C52" s="368">
        <f t="shared" si="0"/>
        <v>0</v>
      </c>
      <c r="D52" s="325">
        <f t="shared" si="1"/>
        <v>0</v>
      </c>
      <c r="F52" s="356"/>
      <c r="G52" s="326">
        <f>IF(G51&lt;'Project Information'!$B$11,G51+1,"")</f>
        <v>2045</v>
      </c>
      <c r="H52" s="368">
        <v>0</v>
      </c>
      <c r="I52" s="368">
        <f t="shared" si="2"/>
        <v>0</v>
      </c>
      <c r="J52" s="325">
        <f t="shared" si="3"/>
        <v>0</v>
      </c>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s="353"/>
    </row>
    <row r="53" spans="1:54" x14ac:dyDescent="0.35">
      <c r="A53" s="326" t="str">
        <f>IF(A52&lt;'Project Information'!$B$11,A52+1,"")</f>
        <v/>
      </c>
      <c r="B53" s="368">
        <v>0</v>
      </c>
      <c r="C53" s="368">
        <f t="shared" si="0"/>
        <v>0</v>
      </c>
      <c r="D53" s="325">
        <f t="shared" si="1"/>
        <v>0</v>
      </c>
      <c r="F53" s="356"/>
      <c r="G53" s="326">
        <f>IF(G52&lt;'Project Information'!$B$11,G52+1,"")</f>
        <v>2046</v>
      </c>
      <c r="H53" s="368">
        <v>0</v>
      </c>
      <c r="I53" s="368">
        <f t="shared" si="2"/>
        <v>0</v>
      </c>
      <c r="J53" s="325">
        <f t="shared" si="3"/>
        <v>0</v>
      </c>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s="353"/>
    </row>
    <row r="54" spans="1:54" x14ac:dyDescent="0.35">
      <c r="A54" s="326" t="str">
        <f>IF(A53&lt;'Project Information'!$B$11,A53+1,"")</f>
        <v/>
      </c>
      <c r="B54" s="368">
        <v>0</v>
      </c>
      <c r="C54" s="368">
        <f t="shared" si="0"/>
        <v>0</v>
      </c>
      <c r="D54" s="325">
        <f t="shared" si="1"/>
        <v>0</v>
      </c>
      <c r="F54" s="356"/>
      <c r="G54" s="326">
        <f>IF(G53&lt;'Project Information'!$B$11,G53+1,"")</f>
        <v>2047</v>
      </c>
      <c r="H54" s="368">
        <v>0</v>
      </c>
      <c r="I54" s="368">
        <f t="shared" si="2"/>
        <v>0</v>
      </c>
      <c r="J54" s="325">
        <f t="shared" si="3"/>
        <v>0</v>
      </c>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s="353"/>
    </row>
    <row r="55" spans="1:54" x14ac:dyDescent="0.35">
      <c r="A55" s="326" t="str">
        <f>IF(A54&lt;'Project Information'!$B$11,A54+1,"")</f>
        <v/>
      </c>
      <c r="B55" s="368">
        <v>0</v>
      </c>
      <c r="C55" s="368">
        <f t="shared" si="0"/>
        <v>0</v>
      </c>
      <c r="D55" s="396">
        <f t="shared" si="1"/>
        <v>0</v>
      </c>
      <c r="F55" s="356"/>
      <c r="G55" s="326">
        <f>IF(G54&lt;'Project Information'!$B$11,G54+1,"")</f>
        <v>2048</v>
      </c>
      <c r="H55" s="368">
        <v>0</v>
      </c>
      <c r="I55" s="368">
        <f t="shared" si="2"/>
        <v>0</v>
      </c>
      <c r="J55" s="325">
        <f t="shared" si="3"/>
        <v>0</v>
      </c>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s="353"/>
    </row>
    <row r="56" spans="1:54" x14ac:dyDescent="0.35">
      <c r="A56" s="427" t="s">
        <v>221</v>
      </c>
      <c r="B56" s="395"/>
      <c r="C56" s="395">
        <f>SUM(C26:C55)</f>
        <v>0</v>
      </c>
      <c r="D56" s="520">
        <f>SUM(D26:D55)</f>
        <v>0</v>
      </c>
      <c r="F56" s="356"/>
      <c r="G56" s="326">
        <f>IF(G55&lt;'Project Information'!$B$11,G55+1,"")</f>
        <v>2049</v>
      </c>
      <c r="H56" s="368">
        <v>0</v>
      </c>
      <c r="I56" s="368">
        <f t="shared" si="2"/>
        <v>0</v>
      </c>
      <c r="J56" s="325">
        <f t="shared" si="3"/>
        <v>0</v>
      </c>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s="353"/>
    </row>
    <row r="57" spans="1:54" x14ac:dyDescent="0.35">
      <c r="A57" s="521" t="s">
        <v>222</v>
      </c>
      <c r="B57" s="395"/>
      <c r="C57" s="395">
        <f>NPV(0.031, C26:C55)/(1.031 ^ (Opening_Year - Base_Year - 1))</f>
        <v>0</v>
      </c>
      <c r="D57" s="522">
        <f>NPV(0.031, D26:D55)/(1.031 ^ (Opening_Year - Base_Year - 1))</f>
        <v>0</v>
      </c>
      <c r="F57" s="356"/>
      <c r="G57" s="326">
        <f>IF(G56&lt;'Project Information'!$B$11,G56+1,"")</f>
        <v>2050</v>
      </c>
      <c r="H57" s="368">
        <v>0</v>
      </c>
      <c r="I57" s="368">
        <f t="shared" si="2"/>
        <v>0</v>
      </c>
      <c r="J57" s="325">
        <f t="shared" si="3"/>
        <v>0</v>
      </c>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s="353"/>
    </row>
    <row r="58" spans="1:54" x14ac:dyDescent="0.35">
      <c r="B58" s="381"/>
      <c r="C58" s="381"/>
      <c r="D58" s="340"/>
      <c r="F58" s="356"/>
      <c r="G58" s="326">
        <f>IF(G57&lt;'Project Information'!$B$11,G57+1,"")</f>
        <v>2051</v>
      </c>
      <c r="H58" s="368">
        <v>0</v>
      </c>
      <c r="I58" s="368">
        <f t="shared" si="2"/>
        <v>0</v>
      </c>
      <c r="J58" s="325">
        <f t="shared" si="3"/>
        <v>0</v>
      </c>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s="353"/>
    </row>
    <row r="59" spans="1:54" x14ac:dyDescent="0.35">
      <c r="B59" s="381"/>
      <c r="C59" s="381"/>
      <c r="D59" s="340"/>
      <c r="F59" s="356"/>
      <c r="G59" s="326">
        <f>IF(G58&lt;'Project Information'!$B$11,G58+1,"")</f>
        <v>2052</v>
      </c>
      <c r="H59" s="368">
        <v>0</v>
      </c>
      <c r="I59" s="368">
        <f t="shared" si="2"/>
        <v>0</v>
      </c>
      <c r="J59" s="325">
        <f t="shared" si="3"/>
        <v>0</v>
      </c>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s="353"/>
    </row>
    <row r="60" spans="1:54" x14ac:dyDescent="0.35">
      <c r="B60" s="381"/>
      <c r="C60" s="381"/>
      <c r="D60" s="340"/>
      <c r="F60" s="356"/>
      <c r="G60" s="326">
        <f>IF(G59&lt;'Project Information'!$B$11,G59+1,"")</f>
        <v>2053</v>
      </c>
      <c r="H60" s="368">
        <v>0</v>
      </c>
      <c r="I60" s="368">
        <f t="shared" si="2"/>
        <v>0</v>
      </c>
      <c r="J60" s="325">
        <f t="shared" si="3"/>
        <v>0</v>
      </c>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s="353"/>
    </row>
    <row r="61" spans="1:54" x14ac:dyDescent="0.35">
      <c r="B61" s="381"/>
      <c r="C61" s="381"/>
      <c r="D61" s="340"/>
      <c r="F61" s="356"/>
      <c r="G61" s="326">
        <f>IF(G60&lt;'Project Information'!$B$11,G60+1,"")</f>
        <v>2054</v>
      </c>
      <c r="H61" s="368">
        <v>0</v>
      </c>
      <c r="I61" s="368">
        <f t="shared" si="2"/>
        <v>0</v>
      </c>
      <c r="J61" s="325">
        <f t="shared" si="3"/>
        <v>0</v>
      </c>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s="353"/>
    </row>
    <row r="62" spans="1:54" x14ac:dyDescent="0.35">
      <c r="B62" s="381"/>
      <c r="C62" s="381"/>
      <c r="D62" s="340"/>
      <c r="F62" s="356"/>
      <c r="G62" s="326" t="str">
        <f>IF(G61&lt;'Project Information'!$B$11,G61+1,"")</f>
        <v/>
      </c>
      <c r="H62" s="368">
        <v>0</v>
      </c>
      <c r="I62" s="368">
        <f t="shared" si="2"/>
        <v>0</v>
      </c>
      <c r="J62" s="325">
        <f t="shared" si="3"/>
        <v>0</v>
      </c>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s="353"/>
    </row>
    <row r="63" spans="1:54" x14ac:dyDescent="0.35">
      <c r="B63" s="381"/>
      <c r="C63" s="381"/>
      <c r="D63" s="340"/>
      <c r="F63" s="356"/>
      <c r="G63" s="326" t="str">
        <f>IF(G62&lt;'Project Information'!$B$11,G62+1,"")</f>
        <v/>
      </c>
      <c r="H63" s="368">
        <v>0</v>
      </c>
      <c r="I63" s="368">
        <f t="shared" si="2"/>
        <v>0</v>
      </c>
      <c r="J63" s="325">
        <f t="shared" si="3"/>
        <v>0</v>
      </c>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s="353"/>
    </row>
    <row r="64" spans="1:54" x14ac:dyDescent="0.35">
      <c r="B64" s="381"/>
      <c r="C64" s="381"/>
      <c r="D64" s="340"/>
      <c r="F64" s="356"/>
      <c r="G64" s="326" t="str">
        <f>IF(G63&lt;'Project Information'!$B$11,G63+1,"")</f>
        <v/>
      </c>
      <c r="H64" s="368">
        <v>0</v>
      </c>
      <c r="I64" s="368">
        <f t="shared" si="2"/>
        <v>0</v>
      </c>
      <c r="J64" s="325">
        <f t="shared" si="3"/>
        <v>0</v>
      </c>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s="353"/>
    </row>
    <row r="65" spans="2:54" x14ac:dyDescent="0.35">
      <c r="B65" s="381"/>
      <c r="C65" s="381"/>
      <c r="D65" s="340"/>
      <c r="F65" s="356"/>
      <c r="G65" s="326" t="str">
        <f>IF(G64&lt;'Project Information'!$B$11,G64+1,"")</f>
        <v/>
      </c>
      <c r="H65" s="368">
        <v>0</v>
      </c>
      <c r="I65" s="368">
        <f t="shared" si="2"/>
        <v>0</v>
      </c>
      <c r="J65" s="325">
        <f t="shared" si="3"/>
        <v>0</v>
      </c>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s="353"/>
    </row>
    <row r="66" spans="2:54" x14ac:dyDescent="0.35">
      <c r="F66" s="356"/>
      <c r="G66" s="508" t="str">
        <f>IF(G65&lt;'Project Information'!$B$11,G65+1,"")</f>
        <v/>
      </c>
      <c r="H66" s="395">
        <v>0</v>
      </c>
      <c r="I66" s="523">
        <f t="shared" si="2"/>
        <v>0</v>
      </c>
      <c r="J66" s="396">
        <f t="shared" si="3"/>
        <v>0</v>
      </c>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s="353"/>
    </row>
    <row r="67" spans="2:54" x14ac:dyDescent="0.35">
      <c r="G67" s="400" t="s">
        <v>221</v>
      </c>
      <c r="H67" s="524"/>
      <c r="I67" s="402">
        <f>SUM(I37:I66)</f>
        <v>0</v>
      </c>
      <c r="J67" s="399">
        <f>SUM(J37:J66)</f>
        <v>0</v>
      </c>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s="353"/>
    </row>
    <row r="68" spans="2:54" x14ac:dyDescent="0.35">
      <c r="F68" s="356"/>
      <c r="G68" s="427" t="s">
        <v>222</v>
      </c>
      <c r="H68" s="427"/>
      <c r="I68" s="520">
        <f xml:space="preserve"> NPV(0.031, I37:I66)/(1.031 ^ (Opening_Year - Base_Year - 1))</f>
        <v>0</v>
      </c>
      <c r="J68" s="395">
        <f xml:space="preserve"> NPV(0.031, J37:J66)/(1.031 ^ (Opening_Year - Base_Year - 1))</f>
        <v>0</v>
      </c>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s="353"/>
    </row>
    <row r="69" spans="2:54" x14ac:dyDescent="0.35">
      <c r="F69" s="356"/>
      <c r="G69" s="352"/>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s="353"/>
    </row>
    <row r="70" spans="2:54" x14ac:dyDescent="0.35">
      <c r="G70" s="352"/>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s="353"/>
    </row>
    <row r="71" spans="2:54" x14ac:dyDescent="0.35">
      <c r="G71" s="352"/>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s="353"/>
    </row>
    <row r="72" spans="2:54" x14ac:dyDescent="0.35">
      <c r="G72" s="35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s="353"/>
    </row>
    <row r="73" spans="2:54" x14ac:dyDescent="0.35">
      <c r="G73" s="352"/>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s="353"/>
    </row>
    <row r="74" spans="2:54" x14ac:dyDescent="0.35">
      <c r="G74" s="352"/>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s="353"/>
    </row>
    <row r="75" spans="2:54" x14ac:dyDescent="0.35">
      <c r="G75" s="352"/>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s="353"/>
    </row>
    <row r="76" spans="2:54" x14ac:dyDescent="0.35">
      <c r="G76" s="352"/>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s="353"/>
    </row>
    <row r="77" spans="2:54" x14ac:dyDescent="0.35">
      <c r="G77" s="352"/>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s="353"/>
    </row>
    <row r="78" spans="2:54" x14ac:dyDescent="0.35">
      <c r="G78" s="352"/>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s="353"/>
    </row>
    <row r="79" spans="2:54" x14ac:dyDescent="0.35">
      <c r="G79" s="352"/>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s="353"/>
    </row>
    <row r="80" spans="2:54" x14ac:dyDescent="0.35">
      <c r="G80" s="352"/>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s="353"/>
    </row>
    <row r="81" spans="7:54" x14ac:dyDescent="0.35">
      <c r="G81" s="352"/>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s="353"/>
    </row>
    <row r="82" spans="7:54" x14ac:dyDescent="0.35">
      <c r="G82" s="35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s="353"/>
    </row>
    <row r="83" spans="7:54" x14ac:dyDescent="0.35">
      <c r="G83" s="352"/>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s="353"/>
    </row>
    <row r="84" spans="7:54" x14ac:dyDescent="0.35">
      <c r="G84" s="352"/>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s="353"/>
    </row>
    <row r="85" spans="7:54" x14ac:dyDescent="0.35">
      <c r="G85" s="352"/>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s="353"/>
    </row>
    <row r="86" spans="7:54" x14ac:dyDescent="0.35">
      <c r="G86" s="352"/>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s="353"/>
    </row>
    <row r="87" spans="7:54" x14ac:dyDescent="0.35">
      <c r="G87" s="352"/>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s="353"/>
    </row>
    <row r="88" spans="7:54" x14ac:dyDescent="0.35">
      <c r="G88" s="352"/>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s="353"/>
    </row>
    <row r="89" spans="7:54" x14ac:dyDescent="0.35">
      <c r="G89" s="352"/>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s="353"/>
    </row>
    <row r="90" spans="7:54" x14ac:dyDescent="0.35">
      <c r="G90" s="352"/>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s="353"/>
    </row>
    <row r="91" spans="7:54" x14ac:dyDescent="0.35">
      <c r="G91" s="352"/>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s="353"/>
    </row>
    <row r="92" spans="7:54" x14ac:dyDescent="0.35">
      <c r="G92" s="35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s="353"/>
    </row>
    <row r="93" spans="7:54" x14ac:dyDescent="0.35">
      <c r="G93" s="352"/>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s="353"/>
    </row>
    <row r="94" spans="7:54" x14ac:dyDescent="0.35">
      <c r="G94" s="352"/>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s="353"/>
    </row>
    <row r="95" spans="7:54" x14ac:dyDescent="0.35">
      <c r="G95" s="352"/>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s="353"/>
    </row>
    <row r="96" spans="7:54" x14ac:dyDescent="0.35">
      <c r="G96" s="352"/>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s="353"/>
    </row>
    <row r="97" spans="7:54" x14ac:dyDescent="0.35">
      <c r="G97" s="352"/>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s="353"/>
    </row>
    <row r="98" spans="7:54" x14ac:dyDescent="0.35">
      <c r="G98" s="352"/>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s="353"/>
    </row>
    <row r="99" spans="7:54" x14ac:dyDescent="0.35">
      <c r="G99" s="352"/>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s="353"/>
    </row>
    <row r="100" spans="7:54" x14ac:dyDescent="0.35">
      <c r="G100" s="352"/>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s="353"/>
    </row>
    <row r="101" spans="7:54" x14ac:dyDescent="0.35">
      <c r="G101" s="352"/>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s="353"/>
    </row>
    <row r="102" spans="7:54" x14ac:dyDescent="0.35">
      <c r="G102" s="35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s="353"/>
    </row>
    <row r="103" spans="7:54" x14ac:dyDescent="0.35">
      <c r="G103" s="352"/>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s="353"/>
    </row>
    <row r="104" spans="7:54" x14ac:dyDescent="0.35">
      <c r="G104" s="352"/>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s="353"/>
    </row>
    <row r="105" spans="7:54" x14ac:dyDescent="0.35">
      <c r="G105" s="352"/>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s="353"/>
    </row>
    <row r="106" spans="7:54" x14ac:dyDescent="0.35">
      <c r="G106" s="352"/>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s="353"/>
    </row>
    <row r="107" spans="7:54" x14ac:dyDescent="0.35">
      <c r="G107" s="352"/>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s="353"/>
    </row>
    <row r="108" spans="7:54" x14ac:dyDescent="0.35">
      <c r="G108" s="352"/>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s="353"/>
    </row>
    <row r="109" spans="7:54" x14ac:dyDescent="0.35">
      <c r="G109" s="352"/>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s="353"/>
    </row>
    <row r="110" spans="7:54" x14ac:dyDescent="0.35">
      <c r="G110" s="352"/>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s="353"/>
    </row>
    <row r="111" spans="7:54" x14ac:dyDescent="0.35">
      <c r="G111" s="352"/>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s="353"/>
    </row>
    <row r="112" spans="7:54" x14ac:dyDescent="0.35">
      <c r="G112" s="35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s="353"/>
    </row>
    <row r="113" spans="7:54" x14ac:dyDescent="0.35">
      <c r="G113" s="352"/>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s="353"/>
    </row>
    <row r="114" spans="7:54" x14ac:dyDescent="0.35">
      <c r="G114" s="352"/>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s="353"/>
    </row>
    <row r="115" spans="7:54" ht="15" thickBot="1" x14ac:dyDescent="0.4">
      <c r="G115" s="446"/>
      <c r="H115" s="382"/>
      <c r="I115" s="382"/>
      <c r="J115" s="382"/>
      <c r="K115" s="382"/>
      <c r="L115" s="382"/>
      <c r="M115" s="382"/>
      <c r="N115" s="382"/>
      <c r="O115" s="382"/>
      <c r="P115" s="382"/>
      <c r="Q115" s="382"/>
      <c r="R115" s="382"/>
      <c r="S115" s="382"/>
      <c r="T115" s="382"/>
      <c r="U115" s="382"/>
      <c r="V115" s="382"/>
      <c r="W115" s="382"/>
      <c r="X115" s="382"/>
      <c r="Y115" s="382"/>
      <c r="Z115" s="382"/>
      <c r="AA115" s="382"/>
      <c r="AB115" s="382"/>
      <c r="AC115" s="382"/>
      <c r="AD115" s="382"/>
      <c r="AE115" s="382"/>
      <c r="AF115" s="382"/>
      <c r="AG115" s="382"/>
      <c r="AH115" s="382"/>
      <c r="AI115" s="382"/>
      <c r="AJ115" s="382"/>
      <c r="AK115" s="382"/>
      <c r="AL115" s="382"/>
      <c r="AM115" s="382"/>
      <c r="AN115" s="382"/>
      <c r="AO115" s="382"/>
      <c r="AP115" s="382"/>
      <c r="AQ115" s="382"/>
      <c r="AR115" s="382"/>
      <c r="AS115" s="382"/>
      <c r="AT115" s="382"/>
      <c r="AU115" s="382"/>
      <c r="AV115" s="382"/>
      <c r="AW115" s="382"/>
      <c r="AX115" s="382"/>
      <c r="AY115" s="382"/>
      <c r="AZ115" s="382"/>
      <c r="BA115" s="382"/>
      <c r="BB115" s="383"/>
    </row>
  </sheetData>
  <sheetProtection algorithmName="SHA-512" hashValue="4oOVZQ9er5ehCTa3pJl7OUpfZFuC7LL45w7f/E2PBWlRDLiyuZ/BO30akmBIHIcD2fj3hdqbj3XtZ1Z16Pb4fA==" saltValue="Lgae7eBAGlmtWkAeiSutrQ==" spinCount="100000" sheet="1" objects="1" scenarios="1"/>
  <conditionalFormatting sqref="B26:C55">
    <cfRule type="expression" dxfId="16" priority="2">
      <formula>$A26=""</formula>
    </cfRule>
  </conditionalFormatting>
  <conditionalFormatting sqref="I68:J68 H37:I66">
    <cfRule type="expression" dxfId="15" priority="1">
      <formula>$G37=""</formula>
    </cfRule>
  </conditionalFormatting>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40E5A9-749F-4F80-BFD8-19E8F19DAB87}">
  <sheetPr codeName="Sheet12">
    <tabColor theme="5" tint="0.59999389629810485"/>
  </sheetPr>
  <dimension ref="A1:BA89"/>
  <sheetViews>
    <sheetView topLeftCell="A23" workbookViewId="0">
      <selection activeCell="G64" sqref="G64"/>
    </sheetView>
  </sheetViews>
  <sheetFormatPr defaultColWidth="9.1796875" defaultRowHeight="14.5" x14ac:dyDescent="0.35"/>
  <cols>
    <col min="1" max="1" width="32" style="42" customWidth="1"/>
    <col min="2" max="2" width="24.453125" style="42" customWidth="1"/>
    <col min="3" max="3" width="25.81640625" style="42" customWidth="1"/>
    <col min="4" max="4" width="24.453125" style="42" customWidth="1"/>
    <col min="5" max="5" width="9.1796875" style="42"/>
    <col min="6" max="6" width="29.1796875" style="42" customWidth="1"/>
    <col min="7" max="7" width="37.453125" style="42" bestFit="1" customWidth="1"/>
    <col min="8" max="8" width="39.1796875" style="42" customWidth="1"/>
    <col min="9" max="9" width="9.1796875" style="42"/>
    <col min="10" max="10" width="27.1796875" style="42" customWidth="1"/>
    <col min="11" max="11" width="10.1796875" style="42" customWidth="1"/>
    <col min="12" max="16384" width="9.1796875" style="42"/>
  </cols>
  <sheetData>
    <row r="1" spans="1:11" ht="20" thickBot="1" x14ac:dyDescent="0.5">
      <c r="A1" s="316" t="s">
        <v>391</v>
      </c>
    </row>
    <row r="2" spans="1:11" ht="15" thickTop="1" x14ac:dyDescent="0.35">
      <c r="A2" s="512"/>
      <c r="B2" s="362"/>
      <c r="C2" s="362"/>
      <c r="D2" s="362"/>
      <c r="E2" s="362"/>
      <c r="F2" s="362"/>
      <c r="G2" s="362"/>
      <c r="H2" s="362"/>
      <c r="I2" s="362"/>
    </row>
    <row r="3" spans="1:11" x14ac:dyDescent="0.35">
      <c r="A3" s="42" t="s">
        <v>171</v>
      </c>
    </row>
    <row r="4" spans="1:11" x14ac:dyDescent="0.35">
      <c r="A4" s="361"/>
      <c r="B4" s="362"/>
      <c r="C4" s="362"/>
      <c r="D4" s="362"/>
      <c r="E4" s="362"/>
      <c r="F4" s="362"/>
      <c r="G4" s="362"/>
      <c r="H4" s="362"/>
      <c r="I4" s="362"/>
      <c r="J4" s="362"/>
      <c r="K4" s="362"/>
    </row>
    <row r="5" spans="1:11" x14ac:dyDescent="0.35">
      <c r="A5" s="363" t="s">
        <v>171</v>
      </c>
    </row>
    <row r="6" spans="1:11" x14ac:dyDescent="0.35">
      <c r="A6" s="318" t="s">
        <v>223</v>
      </c>
    </row>
    <row r="7" spans="1:11" x14ac:dyDescent="0.35">
      <c r="A7" s="421" t="s">
        <v>304</v>
      </c>
      <c r="B7" s="525" t="s">
        <v>392</v>
      </c>
      <c r="C7" s="526" t="s">
        <v>393</v>
      </c>
      <c r="D7" s="444" t="s">
        <v>394</v>
      </c>
    </row>
    <row r="8" spans="1:11" x14ac:dyDescent="0.35">
      <c r="A8" s="418" t="str">
        <f>'Parameter Values'!A232</f>
        <v>Light-Duty Vehicles - Urban</v>
      </c>
      <c r="B8" s="527">
        <f>'Parameter Values'!B232</f>
        <v>0.13800000000000001</v>
      </c>
      <c r="C8" s="528">
        <f>'Parameter Values'!C232</f>
        <v>1.9E-3</v>
      </c>
      <c r="D8" s="529">
        <f>'Parameter Values'!D232</f>
        <v>1.7000000000000001E-2</v>
      </c>
    </row>
    <row r="9" spans="1:11" x14ac:dyDescent="0.35">
      <c r="A9" s="418" t="str">
        <f>'Parameter Values'!A233</f>
        <v>Light-Duty Vehicles - Rural</v>
      </c>
      <c r="B9" s="527">
        <f>'Parameter Values'!B233</f>
        <v>2.9000000000000001E-2</v>
      </c>
      <c r="C9" s="528">
        <f>'Parameter Values'!C233</f>
        <v>2.0000000000000001E-4</v>
      </c>
      <c r="D9" s="529">
        <f>'Parameter Values'!D233</f>
        <v>9.6000000000000002E-2</v>
      </c>
    </row>
    <row r="10" spans="1:11" x14ac:dyDescent="0.35">
      <c r="A10" s="418" t="str">
        <f>'Parameter Values'!A234</f>
        <v>Light-Duty Vehicles – All Locations</v>
      </c>
      <c r="B10" s="527">
        <f>'Parameter Values'!B234</f>
        <v>0.11600000000000001</v>
      </c>
      <c r="C10" s="528">
        <f>'Parameter Values'!C234</f>
        <v>1.1000000000000001E-3</v>
      </c>
      <c r="D10" s="529">
        <f>'Parameter Values'!D234</f>
        <v>0.04</v>
      </c>
    </row>
    <row r="11" spans="1:11" x14ac:dyDescent="0.35">
      <c r="A11" s="418" t="str">
        <f>'Parameter Values'!A235</f>
        <v>Buses and Trucks - Urban</v>
      </c>
      <c r="B11" s="527">
        <f>'Parameter Values'!B235</f>
        <v>0.34499999999999997</v>
      </c>
      <c r="C11" s="528">
        <f>'Parameter Values'!C235</f>
        <v>4.3700000000000003E-2</v>
      </c>
      <c r="D11" s="529">
        <f>'Parameter Values'!D235</f>
        <v>1.6E-2</v>
      </c>
    </row>
    <row r="12" spans="1:11" x14ac:dyDescent="0.35">
      <c r="A12" s="418" t="str">
        <f>'Parameter Values'!A236</f>
        <v>Buses and Trucks - Rural</v>
      </c>
      <c r="B12" s="527">
        <f>'Parameter Values'!B236</f>
        <v>7.4999999999999997E-2</v>
      </c>
      <c r="C12" s="528">
        <f>'Parameter Values'!C236</f>
        <v>3.7000000000000002E-3</v>
      </c>
      <c r="D12" s="529">
        <f>'Parameter Values'!D236</f>
        <v>2.7E-2</v>
      </c>
    </row>
    <row r="13" spans="1:11" x14ac:dyDescent="0.35">
      <c r="A13" s="418" t="str">
        <f>'Parameter Values'!A237</f>
        <v>Buses and Trucks – All Locations</v>
      </c>
      <c r="B13" s="527">
        <f>'Parameter Values'!B237</f>
        <v>0.23599999999999999</v>
      </c>
      <c r="C13" s="528">
        <f>'Parameter Values'!C237</f>
        <v>2.1999999999999999E-2</v>
      </c>
      <c r="D13" s="529">
        <f>'Parameter Values'!D237</f>
        <v>2.1000000000000001E-2</v>
      </c>
    </row>
    <row r="14" spans="1:11" x14ac:dyDescent="0.35">
      <c r="A14" s="418" t="str">
        <f>'Parameter Values'!A238</f>
        <v>All Vehicles - Urban</v>
      </c>
      <c r="B14" s="527">
        <f>'Parameter Values'!B238</f>
        <v>0.154</v>
      </c>
      <c r="C14" s="528">
        <f>'Parameter Values'!C238</f>
        <v>5.1000000000000004E-3</v>
      </c>
      <c r="D14" s="529">
        <f>'Parameter Values'!D238</f>
        <v>1.7000000000000001E-2</v>
      </c>
    </row>
    <row r="15" spans="1:11" x14ac:dyDescent="0.35">
      <c r="A15" s="418" t="str">
        <f>'Parameter Values'!A239</f>
        <v>All Vehicles - Rural</v>
      </c>
      <c r="B15" s="527">
        <f>'Parameter Values'!B239</f>
        <v>3.5999999999999997E-2</v>
      </c>
      <c r="C15" s="528">
        <f>'Parameter Values'!C239</f>
        <v>6.9999999999999999E-4</v>
      </c>
      <c r="D15" s="529">
        <f>'Parameter Values'!D239</f>
        <v>8.5999999999999993E-2</v>
      </c>
    </row>
    <row r="16" spans="1:11" x14ac:dyDescent="0.35">
      <c r="A16" s="418" t="str">
        <f>'Parameter Values'!A240</f>
        <v>All Vehicles – All Locations</v>
      </c>
      <c r="B16" s="527">
        <f>'Parameter Values'!B240</f>
        <v>0.128</v>
      </c>
      <c r="C16" s="528">
        <f>'Parameter Values'!C240</f>
        <v>3.0999999999999999E-3</v>
      </c>
      <c r="D16" s="529">
        <f>'Parameter Values'!D240</f>
        <v>3.7999999999999999E-2</v>
      </c>
    </row>
    <row r="17" spans="1:53" x14ac:dyDescent="0.35">
      <c r="A17" s="363" t="s">
        <v>171</v>
      </c>
    </row>
    <row r="18" spans="1:53" ht="15" thickBot="1" x14ac:dyDescent="0.4">
      <c r="A18" s="318" t="s">
        <v>395</v>
      </c>
    </row>
    <row r="19" spans="1:53" x14ac:dyDescent="0.35">
      <c r="A19" s="321" t="s">
        <v>173</v>
      </c>
      <c r="B19" s="334" t="s">
        <v>396</v>
      </c>
      <c r="F19" s="347" t="s">
        <v>203</v>
      </c>
      <c r="G19" s="348"/>
      <c r="H19" s="348"/>
      <c r="I19" s="348"/>
      <c r="J19" s="348"/>
      <c r="K19" s="348"/>
      <c r="L19" s="348"/>
      <c r="M19" s="348"/>
      <c r="N19" s="348"/>
      <c r="O19" s="348"/>
      <c r="P19" s="348"/>
      <c r="Q19" s="348"/>
      <c r="R19" s="348"/>
      <c r="S19" s="348"/>
      <c r="T19" s="348"/>
      <c r="U19" s="348"/>
      <c r="V19" s="348"/>
      <c r="W19" s="348"/>
      <c r="X19" s="348"/>
      <c r="Y19" s="348"/>
      <c r="Z19" s="348"/>
      <c r="AA19" s="348"/>
      <c r="AB19" s="348"/>
      <c r="AC19" s="348"/>
      <c r="AD19" s="348"/>
      <c r="AE19" s="348"/>
      <c r="AF19" s="348"/>
      <c r="AG19" s="348"/>
      <c r="AH19" s="348"/>
      <c r="AI19" s="348"/>
      <c r="AJ19" s="348"/>
      <c r="AK19" s="348"/>
      <c r="AL19" s="348"/>
      <c r="AM19" s="348"/>
      <c r="AN19" s="348"/>
      <c r="AO19" s="348"/>
      <c r="AP19" s="348"/>
      <c r="AQ19" s="348"/>
      <c r="AR19" s="348"/>
      <c r="AS19" s="348"/>
      <c r="AT19" s="348"/>
      <c r="AU19" s="348"/>
      <c r="AV19" s="348"/>
      <c r="AW19" s="348"/>
      <c r="AX19" s="348"/>
      <c r="AY19" s="348"/>
      <c r="AZ19" s="348"/>
      <c r="BA19" s="349"/>
    </row>
    <row r="20" spans="1:53" x14ac:dyDescent="0.35">
      <c r="A20" s="10">
        <f>'Project Information'!$B$9</f>
        <v>2030</v>
      </c>
      <c r="B20" s="462">
        <f t="shared" ref="B20:B49" si="0">IF(A20 = "", 0, G33)</f>
        <v>0</v>
      </c>
      <c r="F20" s="369"/>
      <c r="G20" s="37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s="353"/>
    </row>
    <row r="21" spans="1:53" x14ac:dyDescent="0.35">
      <c r="A21" s="326">
        <f>IF(A20&lt;'Project Information'!$B$11,A20+1,"")</f>
        <v>2031</v>
      </c>
      <c r="B21" s="462">
        <f t="shared" si="0"/>
        <v>0</v>
      </c>
      <c r="E21" s="356"/>
      <c r="F21" s="392" t="s">
        <v>397</v>
      </c>
      <c r="G21" s="372">
        <f>Project_ID</f>
        <v>1057</v>
      </c>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s="353"/>
    </row>
    <row r="22" spans="1:53" x14ac:dyDescent="0.35">
      <c r="A22" s="326">
        <f>IF(A21&lt;'Project Information'!$B$11,A21+1,"")</f>
        <v>2032</v>
      </c>
      <c r="B22" s="462">
        <f t="shared" si="0"/>
        <v>0</v>
      </c>
      <c r="E22" s="356"/>
      <c r="F22" s="391"/>
      <c r="G22" s="391"/>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s="353"/>
    </row>
    <row r="23" spans="1:53" x14ac:dyDescent="0.35">
      <c r="A23" s="326">
        <f>IF(A22&lt;'Project Information'!$B$11,A22+1,"")</f>
        <v>2033</v>
      </c>
      <c r="B23" s="462">
        <f t="shared" si="0"/>
        <v>0</v>
      </c>
      <c r="E23" s="356"/>
      <c r="F23" s="392" t="s">
        <v>240</v>
      </c>
      <c r="G23" s="530">
        <f>Growth_Rate</f>
        <v>2.75E-2</v>
      </c>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s="353"/>
    </row>
    <row r="24" spans="1:53" x14ac:dyDescent="0.35">
      <c r="A24" s="326">
        <f>IF(A23&lt;'Project Information'!$B$11,A23+1,"")</f>
        <v>2034</v>
      </c>
      <c r="B24" s="462">
        <f t="shared" si="0"/>
        <v>0</v>
      </c>
      <c r="E24" s="356"/>
      <c r="F24" s="352"/>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s="353"/>
    </row>
    <row r="25" spans="1:53" x14ac:dyDescent="0.35">
      <c r="A25" s="326">
        <f>IF(A24&lt;'Project Information'!$B$11,A24+1,"")</f>
        <v>2035</v>
      </c>
      <c r="B25" s="462">
        <f t="shared" si="0"/>
        <v>0</v>
      </c>
      <c r="F25" s="531" t="s">
        <v>304</v>
      </c>
      <c r="G25" s="532" t="s">
        <v>398</v>
      </c>
      <c r="H25" s="533" t="s">
        <v>399</v>
      </c>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s="353"/>
    </row>
    <row r="26" spans="1:53" x14ac:dyDescent="0.35">
      <c r="A26" s="326">
        <f>IF(A25&lt;'Project Information'!$B$11,A25+1,"")</f>
        <v>2036</v>
      </c>
      <c r="B26" s="462">
        <f t="shared" si="0"/>
        <v>0</v>
      </c>
      <c r="F26" s="534" t="str">
        <f>$A$16</f>
        <v>All Vehicles – All Locations</v>
      </c>
      <c r="G26" s="345">
        <f>Reduced_Annual_VMT_Open_Year</f>
        <v>0</v>
      </c>
      <c r="H26" s="441">
        <f>G26*($B$16+$C$16+$D$16)</f>
        <v>0</v>
      </c>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s="353"/>
    </row>
    <row r="27" spans="1:53" x14ac:dyDescent="0.35">
      <c r="A27" s="326">
        <f>IF(A26&lt;'Project Information'!$B$11,A26+1,"")</f>
        <v>2037</v>
      </c>
      <c r="B27" s="462">
        <f t="shared" si="0"/>
        <v>0</v>
      </c>
      <c r="F27" s="352"/>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s="353"/>
    </row>
    <row r="28" spans="1:53" x14ac:dyDescent="0.35">
      <c r="A28" s="326">
        <f>IF(A27&lt;'Project Information'!$B$11,A27+1,"")</f>
        <v>2038</v>
      </c>
      <c r="B28" s="462">
        <f t="shared" si="0"/>
        <v>0</v>
      </c>
      <c r="F28" s="352" t="s">
        <v>400</v>
      </c>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s="353"/>
    </row>
    <row r="29" spans="1:53" x14ac:dyDescent="0.35">
      <c r="A29" s="326">
        <f>IF(A28&lt;'Project Information'!$B$11,A28+1,"")</f>
        <v>2039</v>
      </c>
      <c r="B29" s="462">
        <f t="shared" si="0"/>
        <v>0</v>
      </c>
      <c r="F29" s="352" t="s">
        <v>401</v>
      </c>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s="353"/>
    </row>
    <row r="30" spans="1:53" x14ac:dyDescent="0.35">
      <c r="A30" s="326">
        <f>IF(A29&lt;'Project Information'!$B$11,A29+1,"")</f>
        <v>2040</v>
      </c>
      <c r="B30" s="462">
        <f t="shared" si="0"/>
        <v>0</v>
      </c>
      <c r="F30" s="352" t="s">
        <v>402</v>
      </c>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s="353"/>
    </row>
    <row r="31" spans="1:53" x14ac:dyDescent="0.35">
      <c r="A31" s="326">
        <f>IF(A30&lt;'Project Information'!$B$11,A30+1,"")</f>
        <v>2041</v>
      </c>
      <c r="B31" s="462">
        <f t="shared" si="0"/>
        <v>0</v>
      </c>
      <c r="F31" s="352"/>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s="353"/>
    </row>
    <row r="32" spans="1:53" x14ac:dyDescent="0.35">
      <c r="A32" s="326">
        <f>IF(A31&lt;'Project Information'!$B$11,A31+1,"")</f>
        <v>2042</v>
      </c>
      <c r="B32" s="462">
        <f t="shared" si="0"/>
        <v>0</v>
      </c>
      <c r="E32" s="356"/>
      <c r="F32" s="334" t="s">
        <v>173</v>
      </c>
      <c r="G32" s="334" t="s">
        <v>396</v>
      </c>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s="353"/>
    </row>
    <row r="33" spans="1:53" x14ac:dyDescent="0.35">
      <c r="A33" s="326">
        <f>IF(A32&lt;'Project Information'!$B$11,A32+1,"")</f>
        <v>2043</v>
      </c>
      <c r="B33" s="462">
        <f t="shared" si="0"/>
        <v>0</v>
      </c>
      <c r="E33" s="356"/>
      <c r="F33" s="10">
        <f>'Project Information'!$B$9</f>
        <v>2030</v>
      </c>
      <c r="G33" s="462">
        <f>IF(F33 = "", 0, H26)</f>
        <v>0</v>
      </c>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s="353"/>
    </row>
    <row r="34" spans="1:53" x14ac:dyDescent="0.35">
      <c r="A34" s="326">
        <f>IF(A33&lt;'Project Information'!$B$11,A33+1,"")</f>
        <v>2044</v>
      </c>
      <c r="B34" s="462">
        <f t="shared" si="0"/>
        <v>0</v>
      </c>
      <c r="E34" s="356"/>
      <c r="F34" s="326">
        <f>IF(F33&lt;'Project Information'!$B$11,F33+1,"")</f>
        <v>2031</v>
      </c>
      <c r="G34" s="462">
        <f t="shared" ref="G34:G62" si="1">IF(F34 = "", 0, G33+(G33*Growth_Rate))</f>
        <v>0</v>
      </c>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s="353"/>
    </row>
    <row r="35" spans="1:53" x14ac:dyDescent="0.35">
      <c r="A35" s="326">
        <f>IF(A34&lt;'Project Information'!$B$11,A34+1,"")</f>
        <v>2045</v>
      </c>
      <c r="B35" s="462">
        <f t="shared" si="0"/>
        <v>0</v>
      </c>
      <c r="E35" s="356"/>
      <c r="F35" s="326">
        <f>IF(F34&lt;'Project Information'!$B$11,F34+1,"")</f>
        <v>2032</v>
      </c>
      <c r="G35" s="462">
        <f t="shared" si="1"/>
        <v>0</v>
      </c>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s="353"/>
    </row>
    <row r="36" spans="1:53" x14ac:dyDescent="0.35">
      <c r="A36" s="326">
        <f>IF(A35&lt;'Project Information'!$B$11,A35+1,"")</f>
        <v>2046</v>
      </c>
      <c r="B36" s="462">
        <f t="shared" si="0"/>
        <v>0</v>
      </c>
      <c r="E36" s="356"/>
      <c r="F36" s="326">
        <f>IF(F35&lt;'Project Information'!$B$11,F35+1,"")</f>
        <v>2033</v>
      </c>
      <c r="G36" s="462">
        <f t="shared" si="1"/>
        <v>0</v>
      </c>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s="353"/>
    </row>
    <row r="37" spans="1:53" x14ac:dyDescent="0.35">
      <c r="A37" s="326">
        <f>IF(A36&lt;'Project Information'!$B$11,A36+1,"")</f>
        <v>2047</v>
      </c>
      <c r="B37" s="462">
        <f t="shared" si="0"/>
        <v>0</v>
      </c>
      <c r="E37" s="356"/>
      <c r="F37" s="326">
        <f>IF(F36&lt;'Project Information'!$B$11,F36+1,"")</f>
        <v>2034</v>
      </c>
      <c r="G37" s="462">
        <f t="shared" si="1"/>
        <v>0</v>
      </c>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s="353"/>
    </row>
    <row r="38" spans="1:53" x14ac:dyDescent="0.35">
      <c r="A38" s="326">
        <f>IF(A37&lt;'Project Information'!$B$11,A37+1,"")</f>
        <v>2048</v>
      </c>
      <c r="B38" s="462">
        <f t="shared" si="0"/>
        <v>0</v>
      </c>
      <c r="E38" s="356"/>
      <c r="F38" s="326">
        <f>IF(F37&lt;'Project Information'!$B$11,F37+1,"")</f>
        <v>2035</v>
      </c>
      <c r="G38" s="462">
        <f t="shared" si="1"/>
        <v>0</v>
      </c>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s="353"/>
    </row>
    <row r="39" spans="1:53" x14ac:dyDescent="0.35">
      <c r="A39" s="326">
        <f>IF(A38&lt;'Project Information'!$B$11,A38+1,"")</f>
        <v>2049</v>
      </c>
      <c r="B39" s="462">
        <f t="shared" si="0"/>
        <v>0</v>
      </c>
      <c r="E39" s="356"/>
      <c r="F39" s="326">
        <f>IF(F38&lt;'Project Information'!$B$11,F38+1,"")</f>
        <v>2036</v>
      </c>
      <c r="G39" s="462">
        <f t="shared" si="1"/>
        <v>0</v>
      </c>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s="353"/>
    </row>
    <row r="40" spans="1:53" x14ac:dyDescent="0.35">
      <c r="A40" s="326">
        <f>IF(A39&lt;'Project Information'!$B$11,A39+1,"")</f>
        <v>2050</v>
      </c>
      <c r="B40" s="462">
        <f t="shared" si="0"/>
        <v>0</v>
      </c>
      <c r="E40" s="356"/>
      <c r="F40" s="326">
        <f>IF(F39&lt;'Project Information'!$B$11,F39+1,"")</f>
        <v>2037</v>
      </c>
      <c r="G40" s="462">
        <f t="shared" si="1"/>
        <v>0</v>
      </c>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s="353"/>
    </row>
    <row r="41" spans="1:53" x14ac:dyDescent="0.35">
      <c r="A41" s="326">
        <f>IF(A40&lt;'Project Information'!$B$11,A40+1,"")</f>
        <v>2051</v>
      </c>
      <c r="B41" s="462">
        <f t="shared" si="0"/>
        <v>0</v>
      </c>
      <c r="E41" s="356"/>
      <c r="F41" s="326">
        <f>IF(F40&lt;'Project Information'!$B$11,F40+1,"")</f>
        <v>2038</v>
      </c>
      <c r="G41" s="462">
        <f t="shared" si="1"/>
        <v>0</v>
      </c>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s="353"/>
    </row>
    <row r="42" spans="1:53" x14ac:dyDescent="0.35">
      <c r="A42" s="326">
        <f>IF(A41&lt;'Project Information'!$B$11,A41+1,"")</f>
        <v>2052</v>
      </c>
      <c r="B42" s="462">
        <f t="shared" si="0"/>
        <v>0</v>
      </c>
      <c r="E42" s="356"/>
      <c r="F42" s="326">
        <f>IF(F41&lt;'Project Information'!$B$11,F41+1,"")</f>
        <v>2039</v>
      </c>
      <c r="G42" s="462">
        <f t="shared" si="1"/>
        <v>0</v>
      </c>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s="353"/>
    </row>
    <row r="43" spans="1:53" x14ac:dyDescent="0.35">
      <c r="A43" s="326">
        <f>IF(A42&lt;'Project Information'!$B$11,A42+1,"")</f>
        <v>2053</v>
      </c>
      <c r="B43" s="462">
        <f t="shared" si="0"/>
        <v>0</v>
      </c>
      <c r="E43" s="356"/>
      <c r="F43" s="326">
        <f>IF(F42&lt;'Project Information'!$B$11,F42+1,"")</f>
        <v>2040</v>
      </c>
      <c r="G43" s="462">
        <f t="shared" si="1"/>
        <v>0</v>
      </c>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s="353"/>
    </row>
    <row r="44" spans="1:53" x14ac:dyDescent="0.35">
      <c r="A44" s="326">
        <f>IF(A43&lt;'Project Information'!$B$11,A43+1,"")</f>
        <v>2054</v>
      </c>
      <c r="B44" s="462">
        <f t="shared" si="0"/>
        <v>0</v>
      </c>
      <c r="E44" s="356"/>
      <c r="F44" s="326">
        <f>IF(F43&lt;'Project Information'!$B$11,F43+1,"")</f>
        <v>2041</v>
      </c>
      <c r="G44" s="462">
        <f t="shared" si="1"/>
        <v>0</v>
      </c>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s="353"/>
    </row>
    <row r="45" spans="1:53" x14ac:dyDescent="0.35">
      <c r="A45" s="326" t="str">
        <f>IF(A44&lt;'Project Information'!$B$11,A44+1,"")</f>
        <v/>
      </c>
      <c r="B45" s="462">
        <f t="shared" si="0"/>
        <v>0</v>
      </c>
      <c r="E45" s="356"/>
      <c r="F45" s="326">
        <f>IF(F44&lt;'Project Information'!$B$11,F44+1,"")</f>
        <v>2042</v>
      </c>
      <c r="G45" s="462">
        <f t="shared" si="1"/>
        <v>0</v>
      </c>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s="353"/>
    </row>
    <row r="46" spans="1:53" x14ac:dyDescent="0.35">
      <c r="A46" s="326" t="str">
        <f>IF(A45&lt;'Project Information'!$B$11,A45+1,"")</f>
        <v/>
      </c>
      <c r="B46" s="462">
        <f t="shared" si="0"/>
        <v>0</v>
      </c>
      <c r="E46" s="356"/>
      <c r="F46" s="326">
        <f>IF(F45&lt;'Project Information'!$B$11,F45+1,"")</f>
        <v>2043</v>
      </c>
      <c r="G46" s="462">
        <f t="shared" si="1"/>
        <v>0</v>
      </c>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s="353"/>
    </row>
    <row r="47" spans="1:53" x14ac:dyDescent="0.35">
      <c r="A47" s="326" t="str">
        <f>IF(A46&lt;'Project Information'!$B$11,A46+1,"")</f>
        <v/>
      </c>
      <c r="B47" s="462">
        <f t="shared" si="0"/>
        <v>0</v>
      </c>
      <c r="E47" s="356"/>
      <c r="F47" s="326">
        <f>IF(F46&lt;'Project Information'!$B$11,F46+1,"")</f>
        <v>2044</v>
      </c>
      <c r="G47" s="462">
        <f t="shared" si="1"/>
        <v>0</v>
      </c>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s="353"/>
    </row>
    <row r="48" spans="1:53" x14ac:dyDescent="0.35">
      <c r="A48" s="326" t="str">
        <f>IF(A47&lt;'Project Information'!$B$11,A47+1,"")</f>
        <v/>
      </c>
      <c r="B48" s="462">
        <f t="shared" si="0"/>
        <v>0</v>
      </c>
      <c r="E48" s="356"/>
      <c r="F48" s="326">
        <f>IF(F47&lt;'Project Information'!$B$11,F47+1,"")</f>
        <v>2045</v>
      </c>
      <c r="G48" s="462">
        <f t="shared" si="1"/>
        <v>0</v>
      </c>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s="353"/>
    </row>
    <row r="49" spans="1:53" x14ac:dyDescent="0.35">
      <c r="A49" s="12" t="str">
        <f>IF(A48&lt;'Project Information'!$B$11,A48+1,"")</f>
        <v/>
      </c>
      <c r="B49" s="395">
        <f t="shared" si="0"/>
        <v>0</v>
      </c>
      <c r="E49" s="356"/>
      <c r="F49" s="326">
        <f>IF(F48&lt;'Project Information'!$B$11,F48+1,"")</f>
        <v>2046</v>
      </c>
      <c r="G49" s="462">
        <f t="shared" si="1"/>
        <v>0</v>
      </c>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s="353"/>
    </row>
    <row r="50" spans="1:53" x14ac:dyDescent="0.35">
      <c r="A50" s="400" t="s">
        <v>221</v>
      </c>
      <c r="B50" s="399">
        <f>SUM(B20:B49)</f>
        <v>0</v>
      </c>
      <c r="E50" s="356"/>
      <c r="F50" s="326">
        <f>IF(F49&lt;'Project Information'!$B$11,F49+1,"")</f>
        <v>2047</v>
      </c>
      <c r="G50" s="462">
        <f t="shared" si="1"/>
        <v>0</v>
      </c>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s="353"/>
    </row>
    <row r="51" spans="1:53" x14ac:dyDescent="0.35">
      <c r="A51" s="397" t="s">
        <v>222</v>
      </c>
      <c r="B51" s="520">
        <f>NPV(0.031, B20:B49)/(1.031 ^ (Opening_Year - Base_Year - 1))</f>
        <v>0</v>
      </c>
      <c r="E51" s="356"/>
      <c r="F51" s="326">
        <f>IF(F50&lt;'Project Information'!$B$11,F50+1,"")</f>
        <v>2048</v>
      </c>
      <c r="G51" s="462">
        <f t="shared" si="1"/>
        <v>0</v>
      </c>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s="353"/>
    </row>
    <row r="52" spans="1:53" x14ac:dyDescent="0.35">
      <c r="E52" s="356"/>
      <c r="F52" s="326">
        <f>IF(F51&lt;'Project Information'!$B$11,F51+1,"")</f>
        <v>2049</v>
      </c>
      <c r="G52" s="462">
        <f t="shared" si="1"/>
        <v>0</v>
      </c>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s="353"/>
    </row>
    <row r="53" spans="1:53" x14ac:dyDescent="0.35">
      <c r="E53" s="356"/>
      <c r="F53" s="326">
        <f>IF(F52&lt;'Project Information'!$B$11,F52+1,"")</f>
        <v>2050</v>
      </c>
      <c r="G53" s="462">
        <f t="shared" si="1"/>
        <v>0</v>
      </c>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s="353"/>
    </row>
    <row r="54" spans="1:53" x14ac:dyDescent="0.35">
      <c r="E54" s="356"/>
      <c r="F54" s="326">
        <f>IF(F53&lt;'Project Information'!$B$11,F53+1,"")</f>
        <v>2051</v>
      </c>
      <c r="G54" s="462">
        <f t="shared" si="1"/>
        <v>0</v>
      </c>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s="353"/>
    </row>
    <row r="55" spans="1:53" x14ac:dyDescent="0.35">
      <c r="E55" s="356"/>
      <c r="F55" s="326">
        <f>IF(F54&lt;'Project Information'!$B$11,F54+1,"")</f>
        <v>2052</v>
      </c>
      <c r="G55" s="462">
        <f t="shared" si="1"/>
        <v>0</v>
      </c>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s="353"/>
    </row>
    <row r="56" spans="1:53" x14ac:dyDescent="0.35">
      <c r="E56" s="356"/>
      <c r="F56" s="326">
        <f>IF(F55&lt;'Project Information'!$B$11,F55+1,"")</f>
        <v>2053</v>
      </c>
      <c r="G56" s="462">
        <f t="shared" si="1"/>
        <v>0</v>
      </c>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s="353"/>
    </row>
    <row r="57" spans="1:53" x14ac:dyDescent="0.35">
      <c r="E57" s="356"/>
      <c r="F57" s="326">
        <f>IF(F56&lt;'Project Information'!$B$11,F56+1,"")</f>
        <v>2054</v>
      </c>
      <c r="G57" s="462">
        <f t="shared" si="1"/>
        <v>0</v>
      </c>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s="353"/>
    </row>
    <row r="58" spans="1:53" x14ac:dyDescent="0.35">
      <c r="E58" s="356"/>
      <c r="F58" s="326" t="str">
        <f>IF(F57&lt;'Project Information'!$B$11,F57+1,"")</f>
        <v/>
      </c>
      <c r="G58" s="462">
        <f t="shared" si="1"/>
        <v>0</v>
      </c>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s="353"/>
    </row>
    <row r="59" spans="1:53" x14ac:dyDescent="0.35">
      <c r="E59" s="356"/>
      <c r="F59" s="326" t="str">
        <f>IF(F58&lt;'Project Information'!$B$11,F58+1,"")</f>
        <v/>
      </c>
      <c r="G59" s="462">
        <f t="shared" si="1"/>
        <v>0</v>
      </c>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s="353"/>
    </row>
    <row r="60" spans="1:53" x14ac:dyDescent="0.35">
      <c r="E60" s="356"/>
      <c r="F60" s="326" t="str">
        <f>IF(F59&lt;'Project Information'!$B$11,F59+1,"")</f>
        <v/>
      </c>
      <c r="G60" s="462">
        <f t="shared" si="1"/>
        <v>0</v>
      </c>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s="353"/>
    </row>
    <row r="61" spans="1:53" x14ac:dyDescent="0.35">
      <c r="E61" s="356"/>
      <c r="F61" s="326" t="str">
        <f>IF(F60&lt;'Project Information'!$B$11,F60+1,"")</f>
        <v/>
      </c>
      <c r="G61" s="462">
        <f t="shared" si="1"/>
        <v>0</v>
      </c>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s="353"/>
    </row>
    <row r="62" spans="1:53" x14ac:dyDescent="0.35">
      <c r="E62" s="356"/>
      <c r="F62" s="394" t="str">
        <f>IF(F61&lt;'Project Information'!$B$11,F61+1,"")</f>
        <v/>
      </c>
      <c r="G62" s="395">
        <f t="shared" si="1"/>
        <v>0</v>
      </c>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s="353"/>
    </row>
    <row r="63" spans="1:53" x14ac:dyDescent="0.35">
      <c r="E63" s="356"/>
      <c r="F63" s="400" t="s">
        <v>221</v>
      </c>
      <c r="G63" s="535">
        <f>SUM(G33:G62)</f>
        <v>0</v>
      </c>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s="353"/>
    </row>
    <row r="64" spans="1:53" x14ac:dyDescent="0.35">
      <c r="E64" s="356"/>
      <c r="F64" s="400" t="s">
        <v>222</v>
      </c>
      <c r="G64" s="395">
        <f>NPV(0.031, G33:G62)/(1.031 ^ (Opening_Year - Base_Year - 1))</f>
        <v>0</v>
      </c>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s="353"/>
    </row>
    <row r="65" spans="5:53" x14ac:dyDescent="0.35">
      <c r="E65" s="356"/>
      <c r="F65" s="352"/>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s="353"/>
    </row>
    <row r="66" spans="5:53" x14ac:dyDescent="0.35">
      <c r="E66" s="356"/>
      <c r="F66" s="352"/>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s="353"/>
    </row>
    <row r="67" spans="5:53" x14ac:dyDescent="0.35">
      <c r="E67" s="356"/>
      <c r="F67" s="352"/>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s="353"/>
    </row>
    <row r="68" spans="5:53" x14ac:dyDescent="0.35">
      <c r="E68" s="356"/>
      <c r="F68" s="352"/>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s="353"/>
    </row>
    <row r="69" spans="5:53" x14ac:dyDescent="0.35">
      <c r="E69" s="356"/>
      <c r="F69" s="352"/>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s="353"/>
    </row>
    <row r="70" spans="5:53" x14ac:dyDescent="0.35">
      <c r="E70" s="356"/>
      <c r="F70" s="352"/>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s="353"/>
    </row>
    <row r="71" spans="5:53" x14ac:dyDescent="0.35">
      <c r="E71" s="356"/>
      <c r="F71" s="352"/>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s="353"/>
    </row>
    <row r="72" spans="5:53" x14ac:dyDescent="0.35">
      <c r="E72" s="356"/>
      <c r="F72" s="35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s="353"/>
    </row>
    <row r="73" spans="5:53" x14ac:dyDescent="0.35">
      <c r="E73" s="356"/>
      <c r="F73" s="352"/>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s="353"/>
    </row>
    <row r="74" spans="5:53" x14ac:dyDescent="0.35">
      <c r="E74" s="356"/>
      <c r="F74" s="352"/>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s="353"/>
    </row>
    <row r="75" spans="5:53" x14ac:dyDescent="0.35">
      <c r="F75" s="352"/>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s="353"/>
    </row>
    <row r="76" spans="5:53" x14ac:dyDescent="0.35">
      <c r="F76" s="352"/>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s="353"/>
    </row>
    <row r="77" spans="5:53" x14ac:dyDescent="0.35">
      <c r="F77" s="352"/>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s="353"/>
    </row>
    <row r="78" spans="5:53" x14ac:dyDescent="0.35">
      <c r="F78" s="352"/>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s="353"/>
    </row>
    <row r="79" spans="5:53" x14ac:dyDescent="0.35">
      <c r="F79" s="352"/>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s="353"/>
    </row>
    <row r="80" spans="5:53" x14ac:dyDescent="0.35">
      <c r="F80" s="352"/>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s="353"/>
    </row>
    <row r="81" spans="6:53" x14ac:dyDescent="0.35">
      <c r="F81" s="352"/>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s="353"/>
    </row>
    <row r="82" spans="6:53" x14ac:dyDescent="0.35">
      <c r="F82" s="35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s="353"/>
    </row>
    <row r="83" spans="6:53" x14ac:dyDescent="0.35">
      <c r="F83" s="352"/>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s="353"/>
    </row>
    <row r="84" spans="6:53" x14ac:dyDescent="0.35">
      <c r="F84" s="352"/>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s="353"/>
    </row>
    <row r="85" spans="6:53" x14ac:dyDescent="0.35">
      <c r="F85" s="352"/>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s="353"/>
    </row>
    <row r="86" spans="6:53" x14ac:dyDescent="0.35">
      <c r="F86" s="352"/>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s="353"/>
    </row>
    <row r="87" spans="6:53" x14ac:dyDescent="0.35">
      <c r="F87" s="352"/>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s="353"/>
    </row>
    <row r="88" spans="6:53" ht="15" thickBot="1" x14ac:dyDescent="0.4">
      <c r="F88" s="446"/>
      <c r="G88" s="382"/>
      <c r="H88" s="382"/>
      <c r="I88" s="382"/>
      <c r="J88" s="382"/>
      <c r="K88" s="382"/>
      <c r="L88" s="382"/>
      <c r="M88" s="382"/>
      <c r="N88" s="382"/>
      <c r="O88" s="382"/>
      <c r="P88" s="382"/>
      <c r="Q88" s="382"/>
      <c r="R88" s="382"/>
      <c r="S88" s="382"/>
      <c r="T88" s="382"/>
      <c r="U88" s="382"/>
      <c r="V88" s="382"/>
      <c r="W88" s="382"/>
      <c r="X88" s="382"/>
      <c r="Y88" s="382"/>
      <c r="Z88" s="382"/>
      <c r="AA88" s="382"/>
      <c r="AB88" s="382"/>
      <c r="AC88" s="382"/>
      <c r="AD88" s="382"/>
      <c r="AE88" s="382"/>
      <c r="AF88" s="382"/>
      <c r="AG88" s="382"/>
      <c r="AH88" s="382"/>
      <c r="AI88" s="382"/>
      <c r="AJ88" s="382"/>
      <c r="AK88" s="382"/>
      <c r="AL88" s="382"/>
      <c r="AM88" s="382"/>
      <c r="AN88" s="382"/>
      <c r="AO88" s="382"/>
      <c r="AP88" s="382"/>
      <c r="AQ88" s="382"/>
      <c r="AR88" s="382"/>
      <c r="AS88" s="382"/>
      <c r="AT88" s="382"/>
      <c r="AU88" s="382"/>
      <c r="AV88" s="382"/>
      <c r="AW88" s="382"/>
      <c r="AX88" s="382"/>
      <c r="AY88" s="382"/>
      <c r="AZ88" s="382"/>
      <c r="BA88" s="383"/>
    </row>
    <row r="89" spans="6:53" x14ac:dyDescent="0.35">
      <c r="BA89" s="536"/>
    </row>
  </sheetData>
  <sheetProtection algorithmName="SHA-512" hashValue="Z1srIM2cqtSnmG7x55EkEnAJHHy8hNaireg9/mJp/CJzoAE6HwgmReA6fXvmMJfD4p7ov79ieJgvtEX4k9cL7g==" saltValue="23Fk9dmxuZ4kGM7uNblrIA==" spinCount="100000" sheet="1" objects="1" scenarios="1"/>
  <conditionalFormatting sqref="B20:B49">
    <cfRule type="expression" dxfId="14" priority="3">
      <formula>$A20=""</formula>
    </cfRule>
  </conditionalFormatting>
  <conditionalFormatting sqref="G64 G33:G62">
    <cfRule type="expression" dxfId="13" priority="2">
      <formula>$F33=""</formula>
    </cfRule>
  </conditionalFormatting>
  <conditionalFormatting sqref="B51">
    <cfRule type="expression" dxfId="12" priority="1">
      <formula>$F40=""</formula>
    </cfRule>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0F794F-1D3C-4105-ACAC-6B2DC1CE49ED}">
  <sheetPr codeName="Sheet14">
    <tabColor theme="5" tint="0.59999389629810485"/>
  </sheetPr>
  <dimension ref="A1:AZ90"/>
  <sheetViews>
    <sheetView topLeftCell="A12" workbookViewId="0">
      <selection activeCell="H79" sqref="H79"/>
    </sheetView>
  </sheetViews>
  <sheetFormatPr defaultColWidth="9.1796875" defaultRowHeight="14.5" x14ac:dyDescent="0.35"/>
  <cols>
    <col min="1" max="1" width="26.453125" style="42" customWidth="1"/>
    <col min="2" max="2" width="28.81640625" style="42" customWidth="1"/>
    <col min="3" max="4" width="9.1796875" style="42"/>
    <col min="5" max="5" width="48" style="42" customWidth="1"/>
    <col min="6" max="6" width="17.81640625" style="42" customWidth="1"/>
    <col min="7" max="7" width="17.54296875" style="42" customWidth="1"/>
    <col min="8" max="8" width="17.81640625" style="42" customWidth="1"/>
    <col min="9" max="9" width="16.81640625" style="42" customWidth="1"/>
    <col min="10" max="10" width="15.81640625" style="42" customWidth="1"/>
    <col min="11" max="16384" width="9.1796875" style="42"/>
  </cols>
  <sheetData>
    <row r="1" spans="1:52" ht="20" thickBot="1" x14ac:dyDescent="0.5">
      <c r="A1" s="316" t="s">
        <v>179</v>
      </c>
    </row>
    <row r="2" spans="1:52" ht="15" thickTop="1" x14ac:dyDescent="0.35">
      <c r="A2" s="512"/>
      <c r="B2" s="362"/>
      <c r="C2" s="362"/>
      <c r="D2" s="362"/>
      <c r="E2" s="362"/>
      <c r="F2" s="362"/>
      <c r="G2" s="362"/>
      <c r="H2" s="362"/>
      <c r="I2" s="362"/>
      <c r="J2" s="362"/>
      <c r="K2" s="362"/>
    </row>
    <row r="3" spans="1:52" x14ac:dyDescent="0.35">
      <c r="A3" s="42" t="s">
        <v>171</v>
      </c>
    </row>
    <row r="4" spans="1:52" x14ac:dyDescent="0.35">
      <c r="A4" s="361"/>
      <c r="B4" s="362"/>
      <c r="C4" s="362"/>
      <c r="D4" s="362"/>
      <c r="E4" s="362"/>
      <c r="F4" s="362"/>
      <c r="G4" s="362"/>
      <c r="H4" s="362"/>
      <c r="I4" s="362"/>
      <c r="J4" s="362"/>
      <c r="K4" s="362"/>
      <c r="L4" s="362"/>
      <c r="M4" s="362"/>
      <c r="N4" s="362"/>
    </row>
    <row r="5" spans="1:52" x14ac:dyDescent="0.35">
      <c r="A5" s="363" t="s">
        <v>171</v>
      </c>
    </row>
    <row r="6" spans="1:52" x14ac:dyDescent="0.35">
      <c r="A6" s="537" t="s">
        <v>403</v>
      </c>
      <c r="B6" s="317"/>
      <c r="C6" s="317"/>
      <c r="D6" s="317"/>
      <c r="E6" s="317"/>
    </row>
    <row r="7" spans="1:52" x14ac:dyDescent="0.35">
      <c r="A7" s="537" t="s">
        <v>404</v>
      </c>
      <c r="B7" s="317"/>
      <c r="C7" s="317"/>
      <c r="D7" s="317"/>
      <c r="E7" s="317"/>
      <c r="F7" s="317"/>
      <c r="G7" s="317"/>
      <c r="H7" s="317"/>
    </row>
    <row r="8" spans="1:52" x14ac:dyDescent="0.35">
      <c r="A8" s="42" t="s">
        <v>171</v>
      </c>
    </row>
    <row r="9" spans="1:52" ht="15" thickBot="1" x14ac:dyDescent="0.4">
      <c r="A9" s="318" t="s">
        <v>179</v>
      </c>
    </row>
    <row r="10" spans="1:52" x14ac:dyDescent="0.35">
      <c r="A10" s="321" t="s">
        <v>173</v>
      </c>
      <c r="B10" s="334" t="s">
        <v>179</v>
      </c>
      <c r="E10" s="347" t="s">
        <v>211</v>
      </c>
      <c r="F10" s="348"/>
      <c r="G10" s="348"/>
      <c r="H10" s="348"/>
      <c r="I10" s="348"/>
      <c r="J10" s="348"/>
      <c r="K10" s="348"/>
      <c r="L10" s="348"/>
      <c r="M10" s="348"/>
      <c r="N10" s="348"/>
      <c r="O10" s="348"/>
      <c r="P10" s="348"/>
      <c r="Q10" s="348"/>
      <c r="R10" s="348"/>
      <c r="S10" s="348"/>
      <c r="T10" s="348"/>
      <c r="U10" s="348"/>
      <c r="V10" s="348"/>
      <c r="W10" s="348"/>
      <c r="X10" s="348"/>
      <c r="Y10" s="348"/>
      <c r="Z10" s="348"/>
      <c r="AA10" s="348"/>
      <c r="AB10" s="348"/>
      <c r="AC10" s="348"/>
      <c r="AD10" s="348"/>
      <c r="AE10" s="348"/>
      <c r="AF10" s="348"/>
      <c r="AG10" s="348"/>
      <c r="AH10" s="348"/>
      <c r="AI10" s="348"/>
      <c r="AJ10" s="348"/>
      <c r="AK10" s="348"/>
      <c r="AL10" s="348"/>
      <c r="AM10" s="348"/>
      <c r="AN10" s="348"/>
      <c r="AO10" s="348"/>
      <c r="AP10" s="348"/>
      <c r="AQ10" s="348"/>
      <c r="AR10" s="348"/>
      <c r="AS10" s="348"/>
      <c r="AT10" s="348"/>
      <c r="AU10" s="348"/>
      <c r="AV10" s="348"/>
      <c r="AW10" s="348"/>
      <c r="AX10" s="348"/>
      <c r="AY10" s="348"/>
      <c r="AZ10" s="349"/>
    </row>
    <row r="11" spans="1:52" x14ac:dyDescent="0.35">
      <c r="A11" s="10">
        <f>'Project Information'!$B$9</f>
        <v>2030</v>
      </c>
      <c r="B11" s="462">
        <f t="shared" ref="B11:B40" si="0">IF(A11 = "", 0, F33)</f>
        <v>0</v>
      </c>
      <c r="E11" s="369"/>
      <c r="F11" s="370"/>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s="353"/>
    </row>
    <row r="12" spans="1:52" x14ac:dyDescent="0.35">
      <c r="A12" s="326">
        <f>IF(A11&lt;'Project Information'!$B$11,A11+1,"")</f>
        <v>2031</v>
      </c>
      <c r="B12" s="462">
        <f t="shared" si="0"/>
        <v>0</v>
      </c>
      <c r="D12" s="356"/>
      <c r="E12" s="371" t="s">
        <v>397</v>
      </c>
      <c r="F12" s="424">
        <f>Project_ID</f>
        <v>1057</v>
      </c>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s="353"/>
    </row>
    <row r="13" spans="1:52" x14ac:dyDescent="0.35">
      <c r="A13" s="326">
        <f>IF(A12&lt;'Project Information'!$B$11,A12+1,"")</f>
        <v>2032</v>
      </c>
      <c r="B13" s="462">
        <f t="shared" si="0"/>
        <v>0</v>
      </c>
      <c r="D13" s="356"/>
      <c r="E13" s="448"/>
      <c r="F13" s="479"/>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s="353"/>
    </row>
    <row r="14" spans="1:52" x14ac:dyDescent="0.35">
      <c r="A14" s="326">
        <f>IF(A13&lt;'Project Information'!$B$11,A13+1,"")</f>
        <v>2033</v>
      </c>
      <c r="B14" s="462">
        <f t="shared" si="0"/>
        <v>0</v>
      </c>
      <c r="D14" s="356"/>
      <c r="E14" s="371" t="s">
        <v>244</v>
      </c>
      <c r="F14" s="372">
        <f>BikePed_GR</f>
        <v>0</v>
      </c>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s="353"/>
    </row>
    <row r="15" spans="1:52" x14ac:dyDescent="0.35">
      <c r="A15" s="326">
        <f>IF(A14&lt;'Project Information'!$B$11,A14+1,"")</f>
        <v>2034</v>
      </c>
      <c r="B15" s="462">
        <f t="shared" si="0"/>
        <v>0</v>
      </c>
      <c r="D15" s="356"/>
      <c r="E15" s="371" t="s">
        <v>405</v>
      </c>
      <c r="F15" s="414">
        <f>Build_Project_Length</f>
        <v>2.7</v>
      </c>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s="353"/>
    </row>
    <row r="16" spans="1:52" x14ac:dyDescent="0.35">
      <c r="A16" s="326">
        <f>IF(A15&lt;'Project Information'!$B$11,A15+1,"")</f>
        <v>2035</v>
      </c>
      <c r="B16" s="462">
        <f t="shared" si="0"/>
        <v>0</v>
      </c>
      <c r="D16" s="35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s="353"/>
    </row>
    <row r="17" spans="1:52" x14ac:dyDescent="0.35">
      <c r="A17" s="326">
        <f>IF(A16&lt;'Project Information'!$B$11,A16+1,"")</f>
        <v>2036</v>
      </c>
      <c r="B17" s="462">
        <f t="shared" si="0"/>
        <v>0</v>
      </c>
      <c r="D17" s="356"/>
      <c r="E17" s="422" t="s">
        <v>406</v>
      </c>
      <c r="F17" s="538"/>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s="353"/>
    </row>
    <row r="18" spans="1:52" x14ac:dyDescent="0.35">
      <c r="A18" s="326">
        <f>IF(A17&lt;'Project Information'!$B$11,A17+1,"")</f>
        <v>2037</v>
      </c>
      <c r="B18" s="462">
        <f t="shared" si="0"/>
        <v>0</v>
      </c>
      <c r="D18" s="356"/>
      <c r="E18" s="392" t="s">
        <v>38</v>
      </c>
      <c r="F18" s="372">
        <f>'Project Information'!B28</f>
        <v>0</v>
      </c>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s="353"/>
    </row>
    <row r="19" spans="1:52" x14ac:dyDescent="0.35">
      <c r="A19" s="326">
        <f>IF(A18&lt;'Project Information'!$B$11,A18+1,"")</f>
        <v>2038</v>
      </c>
      <c r="B19" s="462">
        <f t="shared" si="0"/>
        <v>0</v>
      </c>
      <c r="D19" s="356"/>
      <c r="E19" s="392" t="s">
        <v>407</v>
      </c>
      <c r="F19" s="343">
        <v>25</v>
      </c>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s="353"/>
    </row>
    <row r="20" spans="1:52" x14ac:dyDescent="0.35">
      <c r="A20" s="326">
        <f>IF(A19&lt;'Project Information'!$B$11,A19+1,"")</f>
        <v>2039</v>
      </c>
      <c r="B20" s="462">
        <f t="shared" si="0"/>
        <v>0</v>
      </c>
      <c r="D20" s="356"/>
      <c r="E20" s="392" t="s">
        <v>408</v>
      </c>
      <c r="F20" s="539">
        <f>MIN(F18, 31)*'Parameter Values'!$B$140</f>
        <v>0</v>
      </c>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s="353"/>
    </row>
    <row r="21" spans="1:52" x14ac:dyDescent="0.35">
      <c r="A21" s="326">
        <f>IF(A20&lt;'Project Information'!$B$11,A20+1,"")</f>
        <v>2040</v>
      </c>
      <c r="B21" s="462">
        <f t="shared" si="0"/>
        <v>0</v>
      </c>
      <c r="D21" s="356"/>
      <c r="E21" s="327" t="s">
        <v>409</v>
      </c>
      <c r="F21" s="540">
        <f>No_Build_Start_Daily_Walking_Trips*MAX(Build_Project_Length, 0.86)*365</f>
        <v>33507.000000000007</v>
      </c>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s="353"/>
    </row>
    <row r="22" spans="1:52" x14ac:dyDescent="0.35">
      <c r="A22" s="326">
        <f>IF(A21&lt;'Project Information'!$B$11,A21+1,"")</f>
        <v>2041</v>
      </c>
      <c r="B22" s="462">
        <f t="shared" si="0"/>
        <v>0</v>
      </c>
      <c r="D22" s="356"/>
      <c r="E22" s="326" t="s">
        <v>410</v>
      </c>
      <c r="F22" s="540">
        <f>IF(F18&gt;0, Induced_Daily_Walking_Trips *MAX(Build_Project_Length, 0.86)*365, 0)</f>
        <v>0</v>
      </c>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s="353"/>
    </row>
    <row r="23" spans="1:52" x14ac:dyDescent="0.35">
      <c r="A23" s="326">
        <f>IF(A22&lt;'Project Information'!$B$11,A22+1,"")</f>
        <v>2042</v>
      </c>
      <c r="B23" s="462">
        <f t="shared" si="0"/>
        <v>0</v>
      </c>
      <c r="D23" s="356"/>
      <c r="E23" s="392" t="s">
        <v>411</v>
      </c>
      <c r="F23" s="541">
        <f>(F21 + 0.5*F22) *F20</f>
        <v>0</v>
      </c>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s="353"/>
    </row>
    <row r="24" spans="1:52" x14ac:dyDescent="0.35">
      <c r="A24" s="326">
        <f>IF(A23&lt;'Project Information'!$B$11,A23+1,"")</f>
        <v>2043</v>
      </c>
      <c r="B24" s="462">
        <f t="shared" si="0"/>
        <v>0</v>
      </c>
      <c r="D24" s="356"/>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s="353"/>
    </row>
    <row r="25" spans="1:52" x14ac:dyDescent="0.35">
      <c r="A25" s="326">
        <f>IF(A24&lt;'Project Information'!$B$11,A24+1,"")</f>
        <v>2044</v>
      </c>
      <c r="B25" s="462">
        <f t="shared" si="0"/>
        <v>0</v>
      </c>
      <c r="D25" s="356"/>
      <c r="E25" s="533" t="s">
        <v>412</v>
      </c>
      <c r="F25" s="542"/>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s="353"/>
    </row>
    <row r="26" spans="1:52" x14ac:dyDescent="0.35">
      <c r="A26" s="326">
        <f>IF(A25&lt;'Project Information'!$B$11,A25+1,"")</f>
        <v>2045</v>
      </c>
      <c r="B26" s="462">
        <f t="shared" si="0"/>
        <v>0</v>
      </c>
      <c r="D26" s="356"/>
      <c r="E26" s="543" t="s">
        <v>413</v>
      </c>
      <c r="F26" s="544" t="str">
        <f>'Project Information'!B34</f>
        <v>No</v>
      </c>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s="353"/>
    </row>
    <row r="27" spans="1:52" x14ac:dyDescent="0.35">
      <c r="A27" s="326">
        <f>IF(A26&lt;'Project Information'!$B$11,A26+1,"")</f>
        <v>2046</v>
      </c>
      <c r="B27" s="462">
        <f t="shared" si="0"/>
        <v>0</v>
      </c>
      <c r="D27" s="356"/>
      <c r="E27" s="508" t="s">
        <v>407</v>
      </c>
      <c r="F27" s="17">
        <v>25</v>
      </c>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s="353"/>
    </row>
    <row r="28" spans="1:52" x14ac:dyDescent="0.35">
      <c r="A28" s="326">
        <f>IF(A27&lt;'Project Information'!$B$11,A27+1,"")</f>
        <v>2047</v>
      </c>
      <c r="B28" s="462">
        <f t="shared" si="0"/>
        <v>0</v>
      </c>
      <c r="D28" s="356"/>
      <c r="E28" s="327" t="s">
        <v>414</v>
      </c>
      <c r="F28" s="540">
        <f>No_Build_Start_Daily_Cycling_Trips*MAX(Build_Project_Length, 2.38)*365</f>
        <v>33507.000000000007</v>
      </c>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s="353"/>
    </row>
    <row r="29" spans="1:52" x14ac:dyDescent="0.35">
      <c r="A29" s="326">
        <f>IF(A28&lt;'Project Information'!$B$11,A28+1,"")</f>
        <v>2048</v>
      </c>
      <c r="B29" s="462">
        <f t="shared" si="0"/>
        <v>0</v>
      </c>
      <c r="D29" s="356"/>
      <c r="E29" s="327" t="s">
        <v>415</v>
      </c>
      <c r="F29" s="540">
        <f>IF(F26="Yes", Induced_Daily_Cycling_Trips*MAX(Build_Project_Length, 2.38)*365, 0)</f>
        <v>0</v>
      </c>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s="353"/>
    </row>
    <row r="30" spans="1:52" x14ac:dyDescent="0.35">
      <c r="A30" s="326">
        <f>IF(A29&lt;'Project Information'!$B$11,A29+1,"")</f>
        <v>2049</v>
      </c>
      <c r="B30" s="462">
        <f t="shared" si="0"/>
        <v>0</v>
      </c>
      <c r="D30" s="356"/>
      <c r="E30" s="392" t="s">
        <v>411</v>
      </c>
      <c r="F30" s="545">
        <f>IF(F26="Yes", 'Parameter Values'!$B$156*(F28 + 0.5*F29), 0)</f>
        <v>0</v>
      </c>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s="353"/>
    </row>
    <row r="31" spans="1:52" x14ac:dyDescent="0.35">
      <c r="A31" s="326">
        <f>IF(A30&lt;'Project Information'!$B$11,A30+1,"")</f>
        <v>2050</v>
      </c>
      <c r="B31" s="462">
        <f t="shared" si="0"/>
        <v>0</v>
      </c>
      <c r="D31" s="356"/>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s="353"/>
    </row>
    <row r="32" spans="1:52" x14ac:dyDescent="0.35">
      <c r="A32" s="326">
        <f>IF(A31&lt;'Project Information'!$B$11,A31+1,"")</f>
        <v>2051</v>
      </c>
      <c r="B32" s="462">
        <f t="shared" si="0"/>
        <v>0</v>
      </c>
      <c r="D32" s="356"/>
      <c r="E32" s="334" t="s">
        <v>173</v>
      </c>
      <c r="F32" s="334" t="s">
        <v>179</v>
      </c>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s="353"/>
    </row>
    <row r="33" spans="1:52" x14ac:dyDescent="0.35">
      <c r="A33" s="326">
        <f>IF(A32&lt;'Project Information'!$B$11,A32+1,"")</f>
        <v>2052</v>
      </c>
      <c r="B33" s="462">
        <f t="shared" si="0"/>
        <v>0</v>
      </c>
      <c r="D33" s="356"/>
      <c r="E33" s="10">
        <f>'Project Information'!$B$9</f>
        <v>2030</v>
      </c>
      <c r="F33" s="462">
        <f t="shared" ref="F33:F62" si="1">IF($E33 = "", 0, (IF($E33 - $E$33 &lt; F$19, 1, 0) * F$23  +  IF($E33 - $E$33 &lt; F$27, 1, 0)* F$30)*(1 + BikePed_GR) ^($E33 - $E$33) )</f>
        <v>0</v>
      </c>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s="353"/>
    </row>
    <row r="34" spans="1:52" x14ac:dyDescent="0.35">
      <c r="A34" s="326">
        <f>IF(A33&lt;'Project Information'!$B$11,A33+1,"")</f>
        <v>2053</v>
      </c>
      <c r="B34" s="462">
        <f t="shared" si="0"/>
        <v>0</v>
      </c>
      <c r="D34" s="356"/>
      <c r="E34" s="326">
        <f>IF(E33&lt;'Project Information'!$B$11,E33+1,"")</f>
        <v>2031</v>
      </c>
      <c r="F34" s="462">
        <f t="shared" si="1"/>
        <v>0</v>
      </c>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s="353"/>
    </row>
    <row r="35" spans="1:52" x14ac:dyDescent="0.35">
      <c r="A35" s="326">
        <f>IF(A34&lt;'Project Information'!$B$11,A34+1,"")</f>
        <v>2054</v>
      </c>
      <c r="B35" s="462">
        <f t="shared" si="0"/>
        <v>0</v>
      </c>
      <c r="D35" s="356"/>
      <c r="E35" s="326">
        <f>IF(E34&lt;'Project Information'!$B$11,E34+1,"")</f>
        <v>2032</v>
      </c>
      <c r="F35" s="462">
        <f t="shared" si="1"/>
        <v>0</v>
      </c>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s="353"/>
    </row>
    <row r="36" spans="1:52" x14ac:dyDescent="0.35">
      <c r="A36" s="326" t="str">
        <f>IF(A35&lt;'Project Information'!$B$11,A35+1,"")</f>
        <v/>
      </c>
      <c r="B36" s="462">
        <f t="shared" si="0"/>
        <v>0</v>
      </c>
      <c r="D36" s="356"/>
      <c r="E36" s="326">
        <f>IF(E35&lt;'Project Information'!$B$11,E35+1,"")</f>
        <v>2033</v>
      </c>
      <c r="F36" s="462">
        <f t="shared" si="1"/>
        <v>0</v>
      </c>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s="353"/>
    </row>
    <row r="37" spans="1:52" x14ac:dyDescent="0.35">
      <c r="A37" s="326" t="str">
        <f>IF(A36&lt;'Project Information'!$B$11,A36+1,"")</f>
        <v/>
      </c>
      <c r="B37" s="462">
        <f t="shared" si="0"/>
        <v>0</v>
      </c>
      <c r="D37" s="356"/>
      <c r="E37" s="326">
        <f>IF(E36&lt;'Project Information'!$B$11,E36+1,"")</f>
        <v>2034</v>
      </c>
      <c r="F37" s="462">
        <f t="shared" si="1"/>
        <v>0</v>
      </c>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s="353"/>
    </row>
    <row r="38" spans="1:52" x14ac:dyDescent="0.35">
      <c r="A38" s="326" t="str">
        <f>IF(A37&lt;'Project Information'!$B$11,A37+1,"")</f>
        <v/>
      </c>
      <c r="B38" s="462">
        <f t="shared" si="0"/>
        <v>0</v>
      </c>
      <c r="D38" s="356"/>
      <c r="E38" s="326">
        <f>IF(E37&lt;'Project Information'!$B$11,E37+1,"")</f>
        <v>2035</v>
      </c>
      <c r="F38" s="462">
        <f t="shared" si="1"/>
        <v>0</v>
      </c>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s="353"/>
    </row>
    <row r="39" spans="1:52" x14ac:dyDescent="0.35">
      <c r="A39" s="326" t="str">
        <f>IF(A38&lt;'Project Information'!$B$11,A38+1,"")</f>
        <v/>
      </c>
      <c r="B39" s="462">
        <f t="shared" si="0"/>
        <v>0</v>
      </c>
      <c r="D39" s="356"/>
      <c r="E39" s="326">
        <f>IF(E38&lt;'Project Information'!$B$11,E38+1,"")</f>
        <v>2036</v>
      </c>
      <c r="F39" s="462">
        <f t="shared" si="1"/>
        <v>0</v>
      </c>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s="353"/>
    </row>
    <row r="40" spans="1:52" x14ac:dyDescent="0.35">
      <c r="A40" s="394" t="str">
        <f>IF(A39&lt;'Project Information'!$B$11,A39+1,"")</f>
        <v/>
      </c>
      <c r="B40" s="395">
        <f t="shared" si="0"/>
        <v>0</v>
      </c>
      <c r="D40" s="356"/>
      <c r="E40" s="326">
        <f>IF(E39&lt;'Project Information'!$B$11,E39+1,"")</f>
        <v>2037</v>
      </c>
      <c r="F40" s="462">
        <f t="shared" si="1"/>
        <v>0</v>
      </c>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s="353"/>
    </row>
    <row r="41" spans="1:52" x14ac:dyDescent="0.35">
      <c r="A41" s="400" t="s">
        <v>221</v>
      </c>
      <c r="B41" s="399">
        <f>SUM(B11:B40)</f>
        <v>0</v>
      </c>
      <c r="D41" s="356"/>
      <c r="E41" s="326">
        <f>IF(E40&lt;'Project Information'!$B$11,E40+1,"")</f>
        <v>2038</v>
      </c>
      <c r="F41" s="462">
        <f t="shared" si="1"/>
        <v>0</v>
      </c>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s="353"/>
    </row>
    <row r="42" spans="1:52" x14ac:dyDescent="0.35">
      <c r="A42" s="400" t="s">
        <v>222</v>
      </c>
      <c r="B42" s="395">
        <f>NPV(0.031, B11:B40)/(1.031 ^ (Opening_Year - Base_Year - 1))</f>
        <v>0</v>
      </c>
      <c r="D42" s="356"/>
      <c r="E42" s="326">
        <f>IF(E41&lt;'Project Information'!$B$11,E41+1,"")</f>
        <v>2039</v>
      </c>
      <c r="F42" s="462">
        <f t="shared" si="1"/>
        <v>0</v>
      </c>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s="353"/>
    </row>
    <row r="43" spans="1:52" x14ac:dyDescent="0.35">
      <c r="D43" s="356"/>
      <c r="E43" s="326">
        <f>IF(E42&lt;'Project Information'!$B$11,E42+1,"")</f>
        <v>2040</v>
      </c>
      <c r="F43" s="462">
        <f t="shared" si="1"/>
        <v>0</v>
      </c>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s="353"/>
    </row>
    <row r="44" spans="1:52" x14ac:dyDescent="0.35">
      <c r="D44" s="356"/>
      <c r="E44" s="326">
        <f>IF(E43&lt;'Project Information'!$B$11,E43+1,"")</f>
        <v>2041</v>
      </c>
      <c r="F44" s="462">
        <f t="shared" si="1"/>
        <v>0</v>
      </c>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s="353"/>
    </row>
    <row r="45" spans="1:52" x14ac:dyDescent="0.35">
      <c r="D45" s="356"/>
      <c r="E45" s="326">
        <f>IF(E44&lt;'Project Information'!$B$11,E44+1,"")</f>
        <v>2042</v>
      </c>
      <c r="F45" s="462">
        <f t="shared" si="1"/>
        <v>0</v>
      </c>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s="353"/>
    </row>
    <row r="46" spans="1:52" x14ac:dyDescent="0.35">
      <c r="D46" s="356"/>
      <c r="E46" s="326">
        <f>IF(E45&lt;'Project Information'!$B$11,E45+1,"")</f>
        <v>2043</v>
      </c>
      <c r="F46" s="462">
        <f t="shared" si="1"/>
        <v>0</v>
      </c>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s="353"/>
    </row>
    <row r="47" spans="1:52" x14ac:dyDescent="0.35">
      <c r="D47" s="356"/>
      <c r="E47" s="326">
        <f>IF(E46&lt;'Project Information'!$B$11,E46+1,"")</f>
        <v>2044</v>
      </c>
      <c r="F47" s="462">
        <f t="shared" si="1"/>
        <v>0</v>
      </c>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s="353"/>
    </row>
    <row r="48" spans="1:52" x14ac:dyDescent="0.35">
      <c r="D48" s="356"/>
      <c r="E48" s="326">
        <f>IF(E47&lt;'Project Information'!$B$11,E47+1,"")</f>
        <v>2045</v>
      </c>
      <c r="F48" s="462">
        <f t="shared" si="1"/>
        <v>0</v>
      </c>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s="353"/>
    </row>
    <row r="49" spans="4:52" x14ac:dyDescent="0.35">
      <c r="D49" s="356"/>
      <c r="E49" s="326">
        <f>IF(E48&lt;'Project Information'!$B$11,E48+1,"")</f>
        <v>2046</v>
      </c>
      <c r="F49" s="462">
        <f t="shared" si="1"/>
        <v>0</v>
      </c>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s="353"/>
    </row>
    <row r="50" spans="4:52" x14ac:dyDescent="0.35">
      <c r="D50" s="356"/>
      <c r="E50" s="326">
        <f>IF(E49&lt;'Project Information'!$B$11,E49+1,"")</f>
        <v>2047</v>
      </c>
      <c r="F50" s="462">
        <f t="shared" si="1"/>
        <v>0</v>
      </c>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s="353"/>
    </row>
    <row r="51" spans="4:52" x14ac:dyDescent="0.35">
      <c r="D51" s="356"/>
      <c r="E51" s="326">
        <f>IF(E50&lt;'Project Information'!$B$11,E50+1,"")</f>
        <v>2048</v>
      </c>
      <c r="F51" s="462">
        <f t="shared" si="1"/>
        <v>0</v>
      </c>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s="353"/>
    </row>
    <row r="52" spans="4:52" x14ac:dyDescent="0.35">
      <c r="D52" s="356"/>
      <c r="E52" s="326">
        <f>IF(E51&lt;'Project Information'!$B$11,E51+1,"")</f>
        <v>2049</v>
      </c>
      <c r="F52" s="462">
        <f t="shared" si="1"/>
        <v>0</v>
      </c>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s="353"/>
    </row>
    <row r="53" spans="4:52" x14ac:dyDescent="0.35">
      <c r="D53" s="356"/>
      <c r="E53" s="326">
        <f>IF(E52&lt;'Project Information'!$B$11,E52+1,"")</f>
        <v>2050</v>
      </c>
      <c r="F53" s="462">
        <f t="shared" si="1"/>
        <v>0</v>
      </c>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s="353"/>
    </row>
    <row r="54" spans="4:52" x14ac:dyDescent="0.35">
      <c r="D54" s="356"/>
      <c r="E54" s="326">
        <f>IF(E53&lt;'Project Information'!$B$11,E53+1,"")</f>
        <v>2051</v>
      </c>
      <c r="F54" s="462">
        <f t="shared" si="1"/>
        <v>0</v>
      </c>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s="353"/>
    </row>
    <row r="55" spans="4:52" x14ac:dyDescent="0.35">
      <c r="D55" s="356"/>
      <c r="E55" s="326">
        <f>IF(E54&lt;'Project Information'!$B$11,E54+1,"")</f>
        <v>2052</v>
      </c>
      <c r="F55" s="462">
        <f t="shared" si="1"/>
        <v>0</v>
      </c>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s="353"/>
    </row>
    <row r="56" spans="4:52" x14ac:dyDescent="0.35">
      <c r="D56" s="356"/>
      <c r="E56" s="326">
        <f>IF(E55&lt;'Project Information'!$B$11,E55+1,"")</f>
        <v>2053</v>
      </c>
      <c r="F56" s="462">
        <f t="shared" si="1"/>
        <v>0</v>
      </c>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s="353"/>
    </row>
    <row r="57" spans="4:52" x14ac:dyDescent="0.35">
      <c r="D57" s="356"/>
      <c r="E57" s="326">
        <f>IF(E56&lt;'Project Information'!$B$11,E56+1,"")</f>
        <v>2054</v>
      </c>
      <c r="F57" s="462">
        <f t="shared" si="1"/>
        <v>0</v>
      </c>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s="353"/>
    </row>
    <row r="58" spans="4:52" x14ac:dyDescent="0.35">
      <c r="D58" s="356"/>
      <c r="E58" s="326" t="str">
        <f>IF(E57&lt;'Project Information'!$B$11,E57+1,"")</f>
        <v/>
      </c>
      <c r="F58" s="462">
        <f t="shared" si="1"/>
        <v>0</v>
      </c>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s="353"/>
    </row>
    <row r="59" spans="4:52" x14ac:dyDescent="0.35">
      <c r="D59" s="356"/>
      <c r="E59" s="326" t="str">
        <f>IF(E58&lt;'Project Information'!$B$11,E58+1,"")</f>
        <v/>
      </c>
      <c r="F59" s="462">
        <f t="shared" si="1"/>
        <v>0</v>
      </c>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s="353"/>
    </row>
    <row r="60" spans="4:52" x14ac:dyDescent="0.35">
      <c r="D60" s="356"/>
      <c r="E60" s="326" t="str">
        <f>IF(E59&lt;'Project Information'!$B$11,E59+1,"")</f>
        <v/>
      </c>
      <c r="F60" s="462">
        <f t="shared" si="1"/>
        <v>0</v>
      </c>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s="353"/>
    </row>
    <row r="61" spans="4:52" x14ac:dyDescent="0.35">
      <c r="D61" s="356"/>
      <c r="E61" s="326" t="str">
        <f>IF(E60&lt;'Project Information'!$B$11,E60+1,"")</f>
        <v/>
      </c>
      <c r="F61" s="462">
        <f t="shared" si="1"/>
        <v>0</v>
      </c>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s="353"/>
    </row>
    <row r="62" spans="4:52" x14ac:dyDescent="0.35">
      <c r="D62" s="356"/>
      <c r="E62" s="546" t="str">
        <f>IF(E61&lt;'Project Information'!$B$11,E61+1,"")</f>
        <v/>
      </c>
      <c r="F62" s="462">
        <f t="shared" si="1"/>
        <v>0</v>
      </c>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s="353"/>
    </row>
    <row r="63" spans="4:52" x14ac:dyDescent="0.35">
      <c r="D63" s="356"/>
      <c r="E63" s="427" t="s">
        <v>221</v>
      </c>
      <c r="F63" s="399">
        <f>SUM(F33:F62)</f>
        <v>0</v>
      </c>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s="353"/>
    </row>
    <row r="64" spans="4:52" x14ac:dyDescent="0.35">
      <c r="D64" s="356"/>
      <c r="E64" s="427" t="s">
        <v>222</v>
      </c>
      <c r="F64" s="395">
        <f>NPV(0.031, F33:F62)/(1.031 ^ (Opening_Year - Base_Year - 1))</f>
        <v>0</v>
      </c>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s="353"/>
    </row>
    <row r="65" spans="4:52" x14ac:dyDescent="0.35">
      <c r="D65" s="356"/>
      <c r="E65" s="352"/>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s="353"/>
    </row>
    <row r="66" spans="4:52" x14ac:dyDescent="0.35">
      <c r="E66" s="352"/>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s="353"/>
    </row>
    <row r="67" spans="4:52" x14ac:dyDescent="0.35">
      <c r="E67" s="352"/>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s="353"/>
    </row>
    <row r="68" spans="4:52" x14ac:dyDescent="0.35">
      <c r="E68" s="352"/>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s="353"/>
    </row>
    <row r="69" spans="4:52" x14ac:dyDescent="0.35">
      <c r="E69" s="352"/>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s="353"/>
    </row>
    <row r="70" spans="4:52" x14ac:dyDescent="0.35">
      <c r="E70" s="352"/>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s="353"/>
    </row>
    <row r="71" spans="4:52" x14ac:dyDescent="0.35">
      <c r="E71" s="352"/>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s="353"/>
    </row>
    <row r="72" spans="4:52" x14ac:dyDescent="0.35">
      <c r="E72" s="35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s="353"/>
    </row>
    <row r="73" spans="4:52" x14ac:dyDescent="0.35">
      <c r="E73" s="352"/>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s="353"/>
    </row>
    <row r="74" spans="4:52" x14ac:dyDescent="0.35">
      <c r="E74" s="352"/>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s="353"/>
    </row>
    <row r="75" spans="4:52" x14ac:dyDescent="0.35">
      <c r="E75" s="352"/>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s="353"/>
    </row>
    <row r="76" spans="4:52" x14ac:dyDescent="0.35">
      <c r="E76" s="352"/>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s="353"/>
    </row>
    <row r="77" spans="4:52" x14ac:dyDescent="0.35">
      <c r="E77" s="352"/>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s="353"/>
    </row>
    <row r="78" spans="4:52" x14ac:dyDescent="0.35">
      <c r="E78" s="352"/>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s="353"/>
    </row>
    <row r="79" spans="4:52" x14ac:dyDescent="0.35">
      <c r="E79" s="352"/>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s="353"/>
    </row>
    <row r="80" spans="4:52" x14ac:dyDescent="0.35">
      <c r="E80" s="352"/>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s="353"/>
    </row>
    <row r="81" spans="4:52" x14ac:dyDescent="0.35">
      <c r="E81" s="352"/>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s="353"/>
    </row>
    <row r="82" spans="4:52" x14ac:dyDescent="0.35">
      <c r="E82" s="35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s="353"/>
    </row>
    <row r="83" spans="4:52" x14ac:dyDescent="0.35">
      <c r="E83" s="352"/>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s="353"/>
    </row>
    <row r="84" spans="4:52" x14ac:dyDescent="0.35">
      <c r="E84" s="352"/>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s="353"/>
    </row>
    <row r="85" spans="4:52" x14ac:dyDescent="0.35">
      <c r="E85" s="352"/>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s="353"/>
    </row>
    <row r="86" spans="4:52" x14ac:dyDescent="0.35">
      <c r="E86" s="352"/>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s="353"/>
    </row>
    <row r="87" spans="4:52" x14ac:dyDescent="0.35">
      <c r="E87" s="352"/>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s="353"/>
    </row>
    <row r="88" spans="4:52" x14ac:dyDescent="0.35">
      <c r="E88" s="352"/>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s="353"/>
    </row>
    <row r="89" spans="4:52" x14ac:dyDescent="0.35">
      <c r="D89" s="356"/>
      <c r="E89" s="352"/>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s="353"/>
    </row>
    <row r="90" spans="4:52" ht="15" thickBot="1" x14ac:dyDescent="0.4">
      <c r="D90" s="356"/>
      <c r="E90" s="446"/>
      <c r="F90" s="382"/>
      <c r="G90" s="382"/>
      <c r="H90" s="382"/>
      <c r="I90" s="382"/>
      <c r="J90" s="382"/>
      <c r="K90" s="382"/>
      <c r="L90" s="382"/>
      <c r="M90" s="382"/>
      <c r="N90" s="382"/>
      <c r="O90" s="382"/>
      <c r="P90" s="382"/>
      <c r="Q90" s="382"/>
      <c r="R90" s="382"/>
      <c r="S90" s="382"/>
      <c r="T90" s="382"/>
      <c r="U90" s="382"/>
      <c r="V90" s="382"/>
      <c r="W90" s="382"/>
      <c r="X90" s="382"/>
      <c r="Y90" s="382"/>
      <c r="Z90" s="382"/>
      <c r="AA90" s="382"/>
      <c r="AB90" s="382"/>
      <c r="AC90" s="382"/>
      <c r="AD90" s="382"/>
      <c r="AE90" s="382"/>
      <c r="AF90" s="382"/>
      <c r="AG90" s="382"/>
      <c r="AH90" s="382"/>
      <c r="AI90" s="382"/>
      <c r="AJ90" s="382"/>
      <c r="AK90" s="382"/>
      <c r="AL90" s="382"/>
      <c r="AM90" s="382"/>
      <c r="AN90" s="382"/>
      <c r="AO90" s="382"/>
      <c r="AP90" s="382"/>
      <c r="AQ90" s="382"/>
      <c r="AR90" s="382"/>
      <c r="AS90" s="382"/>
      <c r="AT90" s="382"/>
      <c r="AU90" s="382"/>
      <c r="AV90" s="382"/>
      <c r="AW90" s="382"/>
      <c r="AX90" s="382"/>
      <c r="AY90" s="382"/>
      <c r="AZ90" s="383"/>
    </row>
  </sheetData>
  <sheetProtection algorithmName="SHA-512" hashValue="NYnGrO0TUC/m9PQKoOdkiByTRF3V+Nd0CYT6JSFItBk+l+kJW94v2DaVQRq+hRg1UhqLDIK5U02Tlmea1xVVoQ==" saltValue="yPIi5IZe0kheSgSxkK59YA==" spinCount="100000" sheet="1" objects="1" scenarios="1"/>
  <conditionalFormatting sqref="B11:B40">
    <cfRule type="expression" dxfId="11" priority="4">
      <formula>A11=""</formula>
    </cfRule>
  </conditionalFormatting>
  <conditionalFormatting sqref="F33:F62">
    <cfRule type="expression" dxfId="10" priority="3">
      <formula>E33=""</formula>
    </cfRule>
  </conditionalFormatting>
  <conditionalFormatting sqref="F64">
    <cfRule type="expression" dxfId="9" priority="2">
      <formula>$E64=""</formula>
    </cfRule>
  </conditionalFormatting>
  <conditionalFormatting sqref="B42">
    <cfRule type="expression" dxfId="8" priority="1">
      <formula>$E42=""</formula>
    </cfRule>
  </conditionalFormatting>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5A3BF4-8ABB-4B3C-AC7B-14738917FAE0}">
  <sheetPr codeName="Sheet13">
    <tabColor theme="5" tint="0.59999389629810485"/>
  </sheetPr>
  <dimension ref="A1:AZ94"/>
  <sheetViews>
    <sheetView topLeftCell="B27" workbookViewId="0">
      <selection activeCell="G22" sqref="G22"/>
    </sheetView>
  </sheetViews>
  <sheetFormatPr defaultColWidth="9.1796875" defaultRowHeight="14.5" x14ac:dyDescent="0.35"/>
  <cols>
    <col min="1" max="1" width="27.1796875" style="42" customWidth="1"/>
    <col min="2" max="2" width="40.81640625" style="42" customWidth="1"/>
    <col min="3" max="3" width="24.453125" style="42" customWidth="1"/>
    <col min="4" max="4" width="9.1796875" style="42"/>
    <col min="5" max="5" width="19.1796875" style="42" customWidth="1"/>
    <col min="6" max="6" width="38.81640625" style="42" customWidth="1"/>
    <col min="7" max="7" width="45.1796875" style="42" customWidth="1"/>
    <col min="8" max="8" width="17.81640625" style="42" customWidth="1"/>
    <col min="9" max="10" width="9.1796875" style="42"/>
    <col min="11" max="11" width="14.54296875" style="42" customWidth="1"/>
    <col min="12" max="16384" width="9.1796875" style="42"/>
  </cols>
  <sheetData>
    <row r="1" spans="1:52" ht="20" thickBot="1" x14ac:dyDescent="0.5">
      <c r="A1" s="316" t="s">
        <v>180</v>
      </c>
    </row>
    <row r="2" spans="1:52" ht="15" thickTop="1" x14ac:dyDescent="0.35">
      <c r="A2" s="512"/>
      <c r="B2" s="362"/>
      <c r="C2" s="362"/>
      <c r="D2" s="362"/>
      <c r="E2" s="362"/>
      <c r="F2" s="362"/>
      <c r="G2" s="362"/>
      <c r="H2" s="362"/>
    </row>
    <row r="3" spans="1:52" x14ac:dyDescent="0.35">
      <c r="A3" s="42" t="s">
        <v>171</v>
      </c>
    </row>
    <row r="4" spans="1:52" x14ac:dyDescent="0.35">
      <c r="A4" s="361"/>
      <c r="B4" s="362"/>
      <c r="C4" s="362"/>
      <c r="D4" s="362"/>
      <c r="E4" s="362"/>
      <c r="F4" s="362"/>
      <c r="G4" s="362"/>
      <c r="H4" s="362"/>
      <c r="I4" s="362"/>
      <c r="J4" s="362"/>
      <c r="K4" s="362"/>
    </row>
    <row r="5" spans="1:52" x14ac:dyDescent="0.35">
      <c r="A5" s="363" t="s">
        <v>171</v>
      </c>
    </row>
    <row r="6" spans="1:52" x14ac:dyDescent="0.35">
      <c r="A6" s="318" t="s">
        <v>223</v>
      </c>
    </row>
    <row r="7" spans="1:52" ht="29" x14ac:dyDescent="0.35">
      <c r="A7" s="421" t="s">
        <v>416</v>
      </c>
      <c r="B7" s="421" t="s">
        <v>417</v>
      </c>
      <c r="C7" s="431" t="s">
        <v>418</v>
      </c>
    </row>
    <row r="8" spans="1:52" x14ac:dyDescent="0.35">
      <c r="A8" s="418" t="s">
        <v>419</v>
      </c>
      <c r="B8" s="418" t="str">
        <f>'Parameter Values'!B221</f>
        <v>Ages 20-74</v>
      </c>
      <c r="C8" s="547">
        <f>'Parameter Values'!C221</f>
        <v>7.63</v>
      </c>
    </row>
    <row r="9" spans="1:52" x14ac:dyDescent="0.35">
      <c r="A9" s="418" t="s">
        <v>420</v>
      </c>
      <c r="B9" s="418" t="str">
        <f>'Parameter Values'!B222</f>
        <v>Ages 20-64</v>
      </c>
      <c r="C9" s="547">
        <f>'Parameter Values'!C222</f>
        <v>6.8</v>
      </c>
    </row>
    <row r="10" spans="1:52" x14ac:dyDescent="0.35">
      <c r="A10" s="317" t="str">
        <f>RIGHT('Parameter Values'!A226,LEN('Parameter Values'!A226)-5)</f>
        <v>Absent more localized data on the proportion of the expected users falling into the age ranges above, applicants may apply a general assumption of 68% and 59% of overall induced trips falling into the walking and cycling age ranges, respectively, assuming a distribution matching the national average.</v>
      </c>
      <c r="B10" s="317"/>
      <c r="C10" s="317"/>
      <c r="D10" s="317"/>
      <c r="E10" s="317"/>
      <c r="F10" s="317"/>
      <c r="G10" s="317"/>
      <c r="H10" s="317"/>
      <c r="I10" s="317"/>
      <c r="J10" s="317"/>
      <c r="K10" s="317"/>
      <c r="L10" s="317"/>
      <c r="M10" s="317"/>
      <c r="N10" s="317"/>
      <c r="O10" s="317"/>
      <c r="P10" s="317"/>
      <c r="Q10" s="317"/>
      <c r="R10" s="317"/>
      <c r="S10" s="317"/>
      <c r="T10" s="317"/>
      <c r="U10" s="317"/>
      <c r="V10" s="317"/>
      <c r="W10" s="317"/>
    </row>
    <row r="11" spans="1:52" x14ac:dyDescent="0.35">
      <c r="A11" s="317" t="str">
        <f>RIGHT('Parameter Values'!A227,LEN('Parameter Values'!A227)-5)</f>
        <v xml:space="preserve">Applicants should ensure these monetization values are only applied to trips induced from non-active transportation modes within the relevant age ranges for each mode. Absent more localized data on the proportion of induced trips coming from non-active transportation modes, applicants may apply a general assumption of 89% of induced trips falling into that category, assuming a distribution matching the national average travel pattern. </v>
      </c>
      <c r="B11" s="317"/>
      <c r="C11" s="317"/>
      <c r="D11" s="317"/>
      <c r="E11" s="317"/>
      <c r="F11" s="317"/>
      <c r="G11" s="317"/>
      <c r="H11" s="317"/>
      <c r="I11" s="317"/>
      <c r="J11" s="317"/>
      <c r="K11" s="317"/>
      <c r="L11" s="317"/>
      <c r="M11" s="317"/>
      <c r="N11" s="317"/>
      <c r="O11" s="317"/>
      <c r="P11" s="317"/>
      <c r="Q11" s="317"/>
      <c r="R11" s="317"/>
      <c r="S11" s="317"/>
      <c r="T11" s="317"/>
      <c r="U11" s="317"/>
      <c r="V11" s="317"/>
      <c r="W11" s="317"/>
      <c r="X11" s="317"/>
      <c r="Y11" s="317"/>
      <c r="Z11" s="317"/>
      <c r="AA11" s="317"/>
      <c r="AB11" s="317"/>
      <c r="AC11" s="317"/>
      <c r="AD11" s="317"/>
      <c r="AE11" s="317"/>
      <c r="AF11" s="317"/>
      <c r="AG11" s="317"/>
      <c r="AH11" s="317"/>
      <c r="AI11" s="317"/>
      <c r="AJ11" s="317"/>
    </row>
    <row r="12" spans="1:52" x14ac:dyDescent="0.35">
      <c r="A12" s="363" t="s">
        <v>171</v>
      </c>
    </row>
    <row r="13" spans="1:52" ht="15" thickBot="1" x14ac:dyDescent="0.4">
      <c r="A13" s="318" t="s">
        <v>180</v>
      </c>
    </row>
    <row r="14" spans="1:52" x14ac:dyDescent="0.35">
      <c r="A14" s="321" t="s">
        <v>173</v>
      </c>
      <c r="B14" s="334" t="s">
        <v>180</v>
      </c>
      <c r="E14" s="347" t="s">
        <v>211</v>
      </c>
      <c r="F14" s="348"/>
      <c r="G14" s="348"/>
      <c r="H14" s="348"/>
      <c r="I14" s="348"/>
      <c r="J14" s="348"/>
      <c r="K14" s="348"/>
      <c r="L14" s="348"/>
      <c r="M14" s="348"/>
      <c r="N14" s="348"/>
      <c r="O14" s="348"/>
      <c r="P14" s="348"/>
      <c r="Q14" s="348"/>
      <c r="R14" s="348"/>
      <c r="S14" s="348"/>
      <c r="T14" s="348"/>
      <c r="U14" s="348"/>
      <c r="V14" s="348"/>
      <c r="W14" s="348"/>
      <c r="X14" s="348"/>
      <c r="Y14" s="348"/>
      <c r="Z14" s="348"/>
      <c r="AA14" s="348"/>
      <c r="AB14" s="348"/>
      <c r="AC14" s="348"/>
      <c r="AD14" s="348"/>
      <c r="AE14" s="348"/>
      <c r="AF14" s="348"/>
      <c r="AG14" s="348"/>
      <c r="AH14" s="348"/>
      <c r="AI14" s="348"/>
      <c r="AJ14" s="348"/>
      <c r="AK14" s="348"/>
      <c r="AL14" s="348"/>
      <c r="AM14" s="348"/>
      <c r="AN14" s="348"/>
      <c r="AO14" s="348"/>
      <c r="AP14" s="348"/>
      <c r="AQ14" s="348"/>
      <c r="AR14" s="348"/>
      <c r="AS14" s="348"/>
      <c r="AT14" s="348"/>
      <c r="AU14" s="348"/>
      <c r="AV14" s="348"/>
      <c r="AW14" s="348"/>
      <c r="AX14" s="348"/>
      <c r="AY14" s="348"/>
      <c r="AZ14" s="349"/>
    </row>
    <row r="15" spans="1:52" x14ac:dyDescent="0.35">
      <c r="A15" s="10">
        <f>'Project Information'!$B$9</f>
        <v>2030</v>
      </c>
      <c r="B15" s="462">
        <f t="shared" ref="B15:B44" si="0">IF(A15 = "", 0, F29)</f>
        <v>0</v>
      </c>
      <c r="E15" s="369"/>
      <c r="F15" s="370"/>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s="353"/>
    </row>
    <row r="16" spans="1:52" x14ac:dyDescent="0.35">
      <c r="A16" s="326">
        <f>IF(A15&lt;'Project Information'!$B$11,A15+1,"")</f>
        <v>2031</v>
      </c>
      <c r="B16" s="462">
        <f t="shared" si="0"/>
        <v>0</v>
      </c>
      <c r="D16" s="356"/>
      <c r="E16" s="371" t="s">
        <v>421</v>
      </c>
      <c r="F16" s="372">
        <f>Project_ID</f>
        <v>1057</v>
      </c>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s="353"/>
    </row>
    <row r="17" spans="1:52" x14ac:dyDescent="0.35">
      <c r="A17" s="326">
        <f>IF(A16&lt;'Project Information'!$B$11,A16+1,"")</f>
        <v>2032</v>
      </c>
      <c r="B17" s="462">
        <f t="shared" si="0"/>
        <v>0</v>
      </c>
      <c r="D17" s="356"/>
      <c r="E17" s="390"/>
      <c r="F17" s="391"/>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s="353"/>
    </row>
    <row r="18" spans="1:52" x14ac:dyDescent="0.35">
      <c r="A18" s="326">
        <f>IF(A17&lt;'Project Information'!$B$11,A17+1,"")</f>
        <v>2033</v>
      </c>
      <c r="B18" s="462">
        <f t="shared" si="0"/>
        <v>0</v>
      </c>
      <c r="D18" s="356"/>
      <c r="E18" s="371" t="s">
        <v>422</v>
      </c>
      <c r="F18" s="548">
        <f>BikePed_GR</f>
        <v>0</v>
      </c>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s="353"/>
    </row>
    <row r="19" spans="1:52" x14ac:dyDescent="0.35">
      <c r="A19" s="326">
        <f>IF(A18&lt;'Project Information'!$B$11,A18+1,"")</f>
        <v>2034</v>
      </c>
      <c r="B19" s="462">
        <f t="shared" si="0"/>
        <v>0</v>
      </c>
      <c r="D19" s="356"/>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s="353"/>
    </row>
    <row r="20" spans="1:52" x14ac:dyDescent="0.35">
      <c r="A20" s="326">
        <f>IF(A19&lt;'Project Information'!$B$11,A19+1,"")</f>
        <v>2035</v>
      </c>
      <c r="B20" s="462">
        <f t="shared" si="0"/>
        <v>0</v>
      </c>
      <c r="D20" s="356"/>
      <c r="E20" s="422" t="s">
        <v>416</v>
      </c>
      <c r="F20" s="422" t="s">
        <v>423</v>
      </c>
      <c r="G20" s="531" t="s">
        <v>424</v>
      </c>
      <c r="H20" s="549" t="s">
        <v>407</v>
      </c>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s="353"/>
    </row>
    <row r="21" spans="1:52" x14ac:dyDescent="0.35">
      <c r="A21" s="326">
        <f>IF(A20&lt;'Project Information'!$B$11,A20+1,"")</f>
        <v>2036</v>
      </c>
      <c r="B21" s="462">
        <f t="shared" si="0"/>
        <v>0</v>
      </c>
      <c r="D21" s="356"/>
      <c r="E21" s="455" t="s">
        <v>419</v>
      </c>
      <c r="F21" s="540">
        <f>IF('Amenity Benefits'!F18&gt; 0, 365*Induced_Daily_Walking_Trips*0.68*0.89, 0)</f>
        <v>0</v>
      </c>
      <c r="G21" s="550">
        <f>F21*$C$8</f>
        <v>0</v>
      </c>
      <c r="H21" s="551">
        <v>25</v>
      </c>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s="353"/>
    </row>
    <row r="22" spans="1:52" x14ac:dyDescent="0.35">
      <c r="A22" s="326">
        <f>IF(A21&lt;'Project Information'!$B$11,A21+1,"")</f>
        <v>2037</v>
      </c>
      <c r="B22" s="462">
        <f t="shared" si="0"/>
        <v>0</v>
      </c>
      <c r="D22" s="356"/>
      <c r="E22" s="552" t="s">
        <v>420</v>
      </c>
      <c r="F22" s="553">
        <f>IF('Amenity Benefits'!F26= "Yes", 365*Induced_Daily_Cycling_Trips*0.59*0.89, 0)</f>
        <v>0</v>
      </c>
      <c r="G22" s="554">
        <f>F22*$C$9</f>
        <v>0</v>
      </c>
      <c r="H22" s="555">
        <v>25</v>
      </c>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s="353"/>
    </row>
    <row r="23" spans="1:52" x14ac:dyDescent="0.35">
      <c r="A23" s="326">
        <f>IF(A22&lt;'Project Information'!$B$11,A22+1,"")</f>
        <v>2038</v>
      </c>
      <c r="B23" s="462">
        <f t="shared" si="0"/>
        <v>0</v>
      </c>
      <c r="D23" s="356"/>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s="353"/>
    </row>
    <row r="24" spans="1:52" x14ac:dyDescent="0.35">
      <c r="A24" s="326">
        <f>IF(A23&lt;'Project Information'!$B$11,A23+1,"")</f>
        <v>2039</v>
      </c>
      <c r="B24" s="462">
        <f t="shared" si="0"/>
        <v>0</v>
      </c>
      <c r="D24" s="356"/>
      <c r="E24"/>
      <c r="F24" s="426" t="s">
        <v>425</v>
      </c>
      <c r="G24" s="556">
        <f>G21+G22</f>
        <v>0</v>
      </c>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s="353"/>
    </row>
    <row r="25" spans="1:52" x14ac:dyDescent="0.35">
      <c r="A25" s="326">
        <f>IF(A24&lt;'Project Information'!$B$11,A24+1,"")</f>
        <v>2040</v>
      </c>
      <c r="B25" s="462">
        <f t="shared" si="0"/>
        <v>0</v>
      </c>
      <c r="D25" s="356"/>
      <c r="E25" t="s">
        <v>426</v>
      </c>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s="353"/>
    </row>
    <row r="26" spans="1:52" x14ac:dyDescent="0.35">
      <c r="A26" s="326">
        <f>IF(A25&lt;'Project Information'!$B$11,A25+1,"")</f>
        <v>2041</v>
      </c>
      <c r="B26" s="462">
        <f t="shared" si="0"/>
        <v>0</v>
      </c>
      <c r="D26" s="356"/>
      <c r="E26" t="s">
        <v>427</v>
      </c>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s="353"/>
    </row>
    <row r="27" spans="1:52" x14ac:dyDescent="0.35">
      <c r="A27" s="326">
        <f>IF(A26&lt;'Project Information'!$B$11,A26+1,"")</f>
        <v>2042</v>
      </c>
      <c r="B27" s="462">
        <f t="shared" si="0"/>
        <v>0</v>
      </c>
      <c r="D27" s="356"/>
      <c r="E27" s="352"/>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s="353"/>
    </row>
    <row r="28" spans="1:52" x14ac:dyDescent="0.35">
      <c r="A28" s="326">
        <f>IF(A27&lt;'Project Information'!$B$11,A27+1,"")</f>
        <v>2043</v>
      </c>
      <c r="B28" s="462">
        <f t="shared" si="0"/>
        <v>0</v>
      </c>
      <c r="D28" s="356"/>
      <c r="E28" s="334" t="s">
        <v>173</v>
      </c>
      <c r="F28" s="334" t="s">
        <v>180</v>
      </c>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s="353"/>
    </row>
    <row r="29" spans="1:52" x14ac:dyDescent="0.35">
      <c r="A29" s="326">
        <f>IF(A28&lt;'Project Information'!$B$11,A28+1,"")</f>
        <v>2044</v>
      </c>
      <c r="B29" s="462">
        <f t="shared" si="0"/>
        <v>0</v>
      </c>
      <c r="D29" s="356"/>
      <c r="E29" s="10">
        <f>'Project Information'!$B$9</f>
        <v>2030</v>
      </c>
      <c r="F29" s="462">
        <f>IF(E29 = "", 0, (IF(E29 - $A$15 &lt; H$21, 1, 0) * G$21  +  IF(E29 - $A$15 &lt; H$22, 1, 0)* G$22)*(1 + BikePed_GR) ^(E29 - $A$15) )</f>
        <v>0</v>
      </c>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s="353"/>
    </row>
    <row r="30" spans="1:52" x14ac:dyDescent="0.35">
      <c r="A30" s="326">
        <f>IF(A29&lt;'Project Information'!$B$11,A29+1,"")</f>
        <v>2045</v>
      </c>
      <c r="B30" s="462">
        <f t="shared" si="0"/>
        <v>0</v>
      </c>
      <c r="D30" s="356"/>
      <c r="E30" s="326">
        <f>IF(E29&lt;'Project Information'!$B$11,E29+1,"")</f>
        <v>2031</v>
      </c>
      <c r="F30" s="462">
        <f t="shared" ref="F30:F58" si="1">IF(E30 = "", 0, (IF(E30 - $A$15 &lt; $H$21, 1, 0) * $G$21  +  IF(E30 - $A$15 &lt; $H$22, 1, 0)* $G$22)*(1 + BikePed_GR) ^(E30 - $A$15) )</f>
        <v>0</v>
      </c>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s="353"/>
    </row>
    <row r="31" spans="1:52" x14ac:dyDescent="0.35">
      <c r="A31" s="326">
        <f>IF(A30&lt;'Project Information'!$B$11,A30+1,"")</f>
        <v>2046</v>
      </c>
      <c r="B31" s="462">
        <f t="shared" si="0"/>
        <v>0</v>
      </c>
      <c r="D31" s="356"/>
      <c r="E31" s="326">
        <f>IF(E30&lt;'Project Information'!$B$11,E30+1,"")</f>
        <v>2032</v>
      </c>
      <c r="F31" s="462">
        <f t="shared" si="1"/>
        <v>0</v>
      </c>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s="353"/>
    </row>
    <row r="32" spans="1:52" x14ac:dyDescent="0.35">
      <c r="A32" s="326">
        <f>IF(A31&lt;'Project Information'!$B$11,A31+1,"")</f>
        <v>2047</v>
      </c>
      <c r="B32" s="462">
        <f t="shared" si="0"/>
        <v>0</v>
      </c>
      <c r="D32" s="356"/>
      <c r="E32" s="326">
        <f>IF(E31&lt;'Project Information'!$B$11,E31+1,"")</f>
        <v>2033</v>
      </c>
      <c r="F32" s="462">
        <f t="shared" si="1"/>
        <v>0</v>
      </c>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s="353"/>
    </row>
    <row r="33" spans="1:52" x14ac:dyDescent="0.35">
      <c r="A33" s="326">
        <f>IF(A32&lt;'Project Information'!$B$11,A32+1,"")</f>
        <v>2048</v>
      </c>
      <c r="B33" s="462">
        <f t="shared" si="0"/>
        <v>0</v>
      </c>
      <c r="D33" s="356"/>
      <c r="E33" s="326">
        <f>IF(E32&lt;'Project Information'!$B$11,E32+1,"")</f>
        <v>2034</v>
      </c>
      <c r="F33" s="462">
        <f t="shared" si="1"/>
        <v>0</v>
      </c>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s="353"/>
    </row>
    <row r="34" spans="1:52" x14ac:dyDescent="0.35">
      <c r="A34" s="326">
        <f>IF(A33&lt;'Project Information'!$B$11,A33+1,"")</f>
        <v>2049</v>
      </c>
      <c r="B34" s="462">
        <f t="shared" si="0"/>
        <v>0</v>
      </c>
      <c r="D34" s="356"/>
      <c r="E34" s="326">
        <f>IF(E33&lt;'Project Information'!$B$11,E33+1,"")</f>
        <v>2035</v>
      </c>
      <c r="F34" s="462">
        <f t="shared" si="1"/>
        <v>0</v>
      </c>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s="353"/>
    </row>
    <row r="35" spans="1:52" x14ac:dyDescent="0.35">
      <c r="A35" s="326">
        <f>IF(A34&lt;'Project Information'!$B$11,A34+1,"")</f>
        <v>2050</v>
      </c>
      <c r="B35" s="462">
        <f t="shared" si="0"/>
        <v>0</v>
      </c>
      <c r="D35" s="356"/>
      <c r="E35" s="326">
        <f>IF(E34&lt;'Project Information'!$B$11,E34+1,"")</f>
        <v>2036</v>
      </c>
      <c r="F35" s="462">
        <f t="shared" si="1"/>
        <v>0</v>
      </c>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s="353"/>
    </row>
    <row r="36" spans="1:52" x14ac:dyDescent="0.35">
      <c r="A36" s="326">
        <f>IF(A35&lt;'Project Information'!$B$11,A35+1,"")</f>
        <v>2051</v>
      </c>
      <c r="B36" s="462">
        <f t="shared" si="0"/>
        <v>0</v>
      </c>
      <c r="D36" s="356"/>
      <c r="E36" s="326">
        <f>IF(E35&lt;'Project Information'!$B$11,E35+1,"")</f>
        <v>2037</v>
      </c>
      <c r="F36" s="462">
        <f t="shared" si="1"/>
        <v>0</v>
      </c>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s="353"/>
    </row>
    <row r="37" spans="1:52" x14ac:dyDescent="0.35">
      <c r="A37" s="326">
        <f>IF(A36&lt;'Project Information'!$B$11,A36+1,"")</f>
        <v>2052</v>
      </c>
      <c r="B37" s="462">
        <f t="shared" si="0"/>
        <v>0</v>
      </c>
      <c r="D37" s="356"/>
      <c r="E37" s="326">
        <f>IF(E36&lt;'Project Information'!$B$11,E36+1,"")</f>
        <v>2038</v>
      </c>
      <c r="F37" s="462">
        <f t="shared" si="1"/>
        <v>0</v>
      </c>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s="353"/>
    </row>
    <row r="38" spans="1:52" x14ac:dyDescent="0.35">
      <c r="A38" s="326">
        <f>IF(A37&lt;'Project Information'!$B$11,A37+1,"")</f>
        <v>2053</v>
      </c>
      <c r="B38" s="462">
        <f t="shared" si="0"/>
        <v>0</v>
      </c>
      <c r="D38" s="356"/>
      <c r="E38" s="326">
        <f>IF(E37&lt;'Project Information'!$B$11,E37+1,"")</f>
        <v>2039</v>
      </c>
      <c r="F38" s="462">
        <f t="shared" si="1"/>
        <v>0</v>
      </c>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s="353"/>
    </row>
    <row r="39" spans="1:52" x14ac:dyDescent="0.35">
      <c r="A39" s="326">
        <f>IF(A38&lt;'Project Information'!$B$11,A38+1,"")</f>
        <v>2054</v>
      </c>
      <c r="B39" s="462">
        <f t="shared" si="0"/>
        <v>0</v>
      </c>
      <c r="D39" s="356"/>
      <c r="E39" s="326">
        <f>IF(E38&lt;'Project Information'!$B$11,E38+1,"")</f>
        <v>2040</v>
      </c>
      <c r="F39" s="462">
        <f t="shared" si="1"/>
        <v>0</v>
      </c>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s="353"/>
    </row>
    <row r="40" spans="1:52" x14ac:dyDescent="0.35">
      <c r="A40" s="326" t="str">
        <f>IF(A39&lt;'Project Information'!$B$11,A39+1,"")</f>
        <v/>
      </c>
      <c r="B40" s="462">
        <f t="shared" si="0"/>
        <v>0</v>
      </c>
      <c r="D40" s="356"/>
      <c r="E40" s="326">
        <f>IF(E39&lt;'Project Information'!$B$11,E39+1,"")</f>
        <v>2041</v>
      </c>
      <c r="F40" s="462">
        <f t="shared" si="1"/>
        <v>0</v>
      </c>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s="353"/>
    </row>
    <row r="41" spans="1:52" x14ac:dyDescent="0.35">
      <c r="A41" s="326" t="str">
        <f>IF(A40&lt;'Project Information'!$B$11,A40+1,"")</f>
        <v/>
      </c>
      <c r="B41" s="462">
        <f t="shared" si="0"/>
        <v>0</v>
      </c>
      <c r="D41" s="356"/>
      <c r="E41" s="326">
        <f>IF(E40&lt;'Project Information'!$B$11,E40+1,"")</f>
        <v>2042</v>
      </c>
      <c r="F41" s="462">
        <f t="shared" si="1"/>
        <v>0</v>
      </c>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s="353"/>
    </row>
    <row r="42" spans="1:52" x14ac:dyDescent="0.35">
      <c r="A42" s="326" t="str">
        <f>IF(A41&lt;'Project Information'!$B$11,A41+1,"")</f>
        <v/>
      </c>
      <c r="B42" s="462">
        <f t="shared" si="0"/>
        <v>0</v>
      </c>
      <c r="D42" s="356"/>
      <c r="E42" s="326">
        <f>IF(E41&lt;'Project Information'!$B$11,E41+1,"")</f>
        <v>2043</v>
      </c>
      <c r="F42" s="462">
        <f t="shared" si="1"/>
        <v>0</v>
      </c>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s="353"/>
    </row>
    <row r="43" spans="1:52" x14ac:dyDescent="0.35">
      <c r="A43" s="326" t="str">
        <f>IF(A42&lt;'Project Information'!$B$11,A42+1,"")</f>
        <v/>
      </c>
      <c r="B43" s="462">
        <f t="shared" si="0"/>
        <v>0</v>
      </c>
      <c r="D43" s="356"/>
      <c r="E43" s="326">
        <f>IF(E42&lt;'Project Information'!$B$11,E42+1,"")</f>
        <v>2044</v>
      </c>
      <c r="F43" s="462">
        <f t="shared" si="1"/>
        <v>0</v>
      </c>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s="353"/>
    </row>
    <row r="44" spans="1:52" x14ac:dyDescent="0.35">
      <c r="A44" s="394" t="str">
        <f>IF(A43&lt;'Project Information'!$B$11,A43+1,"")</f>
        <v/>
      </c>
      <c r="B44" s="395">
        <f t="shared" si="0"/>
        <v>0</v>
      </c>
      <c r="D44" s="356"/>
      <c r="E44" s="326">
        <f>IF(E43&lt;'Project Information'!$B$11,E43+1,"")</f>
        <v>2045</v>
      </c>
      <c r="F44" s="462">
        <f t="shared" si="1"/>
        <v>0</v>
      </c>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s="353"/>
    </row>
    <row r="45" spans="1:52" x14ac:dyDescent="0.35">
      <c r="A45" s="397" t="s">
        <v>221</v>
      </c>
      <c r="B45" s="535">
        <f>SUM(B15:B44)</f>
        <v>0</v>
      </c>
      <c r="D45" s="356"/>
      <c r="E45" s="326">
        <f>IF(E44&lt;'Project Information'!$B$11,E44+1,"")</f>
        <v>2046</v>
      </c>
      <c r="F45" s="462">
        <f t="shared" si="1"/>
        <v>0</v>
      </c>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s="353"/>
    </row>
    <row r="46" spans="1:52" x14ac:dyDescent="0.35">
      <c r="A46" s="400" t="s">
        <v>222</v>
      </c>
      <c r="B46" s="395">
        <f>NPV(0.031, B15:B44)/(1.031 ^ (Opening_Year - Base_Year - 1))</f>
        <v>0</v>
      </c>
      <c r="D46" s="356"/>
      <c r="E46" s="326">
        <f>IF(E45&lt;'Project Information'!$B$11,E45+1,"")</f>
        <v>2047</v>
      </c>
      <c r="F46" s="462">
        <f t="shared" si="1"/>
        <v>0</v>
      </c>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s="353"/>
    </row>
    <row r="47" spans="1:52" x14ac:dyDescent="0.35">
      <c r="D47" s="356"/>
      <c r="E47" s="326">
        <f>IF(E46&lt;'Project Information'!$B$11,E46+1,"")</f>
        <v>2048</v>
      </c>
      <c r="F47" s="462">
        <f t="shared" si="1"/>
        <v>0</v>
      </c>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s="353"/>
    </row>
    <row r="48" spans="1:52" x14ac:dyDescent="0.35">
      <c r="D48" s="356"/>
      <c r="E48" s="326">
        <f>IF(E47&lt;'Project Information'!$B$11,E47+1,"")</f>
        <v>2049</v>
      </c>
      <c r="F48" s="462">
        <f t="shared" si="1"/>
        <v>0</v>
      </c>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s="353"/>
    </row>
    <row r="49" spans="4:52" x14ac:dyDescent="0.35">
      <c r="D49" s="356"/>
      <c r="E49" s="326">
        <f>IF(E48&lt;'Project Information'!$B$11,E48+1,"")</f>
        <v>2050</v>
      </c>
      <c r="F49" s="462">
        <f t="shared" si="1"/>
        <v>0</v>
      </c>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s="353"/>
    </row>
    <row r="50" spans="4:52" x14ac:dyDescent="0.35">
      <c r="D50" s="356"/>
      <c r="E50" s="326">
        <f>IF(E49&lt;'Project Information'!$B$11,E49+1,"")</f>
        <v>2051</v>
      </c>
      <c r="F50" s="462">
        <f t="shared" si="1"/>
        <v>0</v>
      </c>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s="353"/>
    </row>
    <row r="51" spans="4:52" x14ac:dyDescent="0.35">
      <c r="D51" s="356"/>
      <c r="E51" s="326">
        <f>IF(E50&lt;'Project Information'!$B$11,E50+1,"")</f>
        <v>2052</v>
      </c>
      <c r="F51" s="462">
        <f t="shared" si="1"/>
        <v>0</v>
      </c>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s="353"/>
    </row>
    <row r="52" spans="4:52" x14ac:dyDescent="0.35">
      <c r="D52" s="356"/>
      <c r="E52" s="326">
        <f>IF(E51&lt;'Project Information'!$B$11,E51+1,"")</f>
        <v>2053</v>
      </c>
      <c r="F52" s="462">
        <f t="shared" si="1"/>
        <v>0</v>
      </c>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s="353"/>
    </row>
    <row r="53" spans="4:52" x14ac:dyDescent="0.35">
      <c r="D53" s="356"/>
      <c r="E53" s="326">
        <f>IF(E52&lt;'Project Information'!$B$11,E52+1,"")</f>
        <v>2054</v>
      </c>
      <c r="F53" s="462">
        <f t="shared" si="1"/>
        <v>0</v>
      </c>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s="353"/>
    </row>
    <row r="54" spans="4:52" x14ac:dyDescent="0.35">
      <c r="D54" s="356"/>
      <c r="E54" s="326" t="str">
        <f>IF(E53&lt;'Project Information'!$B$11,E53+1,"")</f>
        <v/>
      </c>
      <c r="F54" s="462">
        <f t="shared" si="1"/>
        <v>0</v>
      </c>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s="353"/>
    </row>
    <row r="55" spans="4:52" x14ac:dyDescent="0.35">
      <c r="D55" s="356"/>
      <c r="E55" s="326" t="str">
        <f>IF(E54&lt;'Project Information'!$B$11,E54+1,"")</f>
        <v/>
      </c>
      <c r="F55" s="462">
        <f t="shared" si="1"/>
        <v>0</v>
      </c>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s="353"/>
    </row>
    <row r="56" spans="4:52" x14ac:dyDescent="0.35">
      <c r="D56" s="356"/>
      <c r="E56" s="326" t="str">
        <f>IF(E55&lt;'Project Information'!$B$11,E55+1,"")</f>
        <v/>
      </c>
      <c r="F56" s="462">
        <f t="shared" si="1"/>
        <v>0</v>
      </c>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s="353"/>
    </row>
    <row r="57" spans="4:52" x14ac:dyDescent="0.35">
      <c r="D57" s="356"/>
      <c r="E57" s="326" t="str">
        <f>IF(E56&lt;'Project Information'!$B$11,E56+1,"")</f>
        <v/>
      </c>
      <c r="F57" s="462">
        <f t="shared" si="1"/>
        <v>0</v>
      </c>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s="353"/>
    </row>
    <row r="58" spans="4:52" x14ac:dyDescent="0.35">
      <c r="D58" s="356"/>
      <c r="E58" s="508" t="str">
        <f>IF(E57&lt;'Project Information'!$B$11,E57+1,"")</f>
        <v/>
      </c>
      <c r="F58" s="395">
        <f t="shared" si="1"/>
        <v>0</v>
      </c>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s="353"/>
    </row>
    <row r="59" spans="4:52" x14ac:dyDescent="0.35">
      <c r="E59" s="400" t="s">
        <v>221</v>
      </c>
      <c r="F59" s="399">
        <f>SUM(F29:F58)</f>
        <v>0</v>
      </c>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s="353"/>
    </row>
    <row r="60" spans="4:52" x14ac:dyDescent="0.35">
      <c r="E60" s="400" t="s">
        <v>222</v>
      </c>
      <c r="F60" s="395">
        <f>NPV(0.031, F29:F58)/(1.031 ^ (Opening_Year - Base_Year - 1))</f>
        <v>0</v>
      </c>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s="353"/>
    </row>
    <row r="61" spans="4:52" x14ac:dyDescent="0.35">
      <c r="E61" s="352"/>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s="353"/>
    </row>
    <row r="62" spans="4:52" x14ac:dyDescent="0.35">
      <c r="E62" s="35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s="353"/>
    </row>
    <row r="63" spans="4:52" x14ac:dyDescent="0.35">
      <c r="E63" s="352"/>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s="353"/>
    </row>
    <row r="64" spans="4:52" x14ac:dyDescent="0.35">
      <c r="E64" s="352"/>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s="353"/>
    </row>
    <row r="65" spans="5:52" x14ac:dyDescent="0.35">
      <c r="E65" s="352"/>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s="353"/>
    </row>
    <row r="66" spans="5:52" x14ac:dyDescent="0.35">
      <c r="E66" s="352"/>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s="353"/>
    </row>
    <row r="67" spans="5:52" x14ac:dyDescent="0.35">
      <c r="E67" s="352"/>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s="353"/>
    </row>
    <row r="68" spans="5:52" x14ac:dyDescent="0.35">
      <c r="E68" s="352"/>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s="353"/>
    </row>
    <row r="69" spans="5:52" x14ac:dyDescent="0.35">
      <c r="E69" s="352"/>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s="353"/>
    </row>
    <row r="70" spans="5:52" x14ac:dyDescent="0.35">
      <c r="E70" s="352"/>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s="353"/>
    </row>
    <row r="71" spans="5:52" x14ac:dyDescent="0.35">
      <c r="E71" s="352"/>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s="353"/>
    </row>
    <row r="72" spans="5:52" x14ac:dyDescent="0.35">
      <c r="E72" s="35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s="353"/>
    </row>
    <row r="73" spans="5:52" x14ac:dyDescent="0.35">
      <c r="E73" s="352"/>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s="353"/>
    </row>
    <row r="74" spans="5:52" x14ac:dyDescent="0.35">
      <c r="E74" s="352"/>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s="353"/>
    </row>
    <row r="75" spans="5:52" x14ac:dyDescent="0.35">
      <c r="E75" s="352"/>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s="353"/>
    </row>
    <row r="76" spans="5:52" x14ac:dyDescent="0.35">
      <c r="E76" s="352"/>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s="353"/>
    </row>
    <row r="77" spans="5:52" x14ac:dyDescent="0.35">
      <c r="E77" s="352"/>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s="353"/>
    </row>
    <row r="78" spans="5:52" x14ac:dyDescent="0.35">
      <c r="E78" s="352"/>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s="353"/>
    </row>
    <row r="79" spans="5:52" x14ac:dyDescent="0.35">
      <c r="E79" s="352"/>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s="353"/>
    </row>
    <row r="80" spans="5:52" x14ac:dyDescent="0.35">
      <c r="E80" s="352"/>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s="353"/>
    </row>
    <row r="81" spans="4:52" x14ac:dyDescent="0.35">
      <c r="E81" s="352"/>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s="353"/>
    </row>
    <row r="82" spans="4:52" x14ac:dyDescent="0.35">
      <c r="E82" s="35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s="353"/>
    </row>
    <row r="83" spans="4:52" x14ac:dyDescent="0.35">
      <c r="E83" s="352"/>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s="353"/>
    </row>
    <row r="84" spans="4:52" x14ac:dyDescent="0.35">
      <c r="E84" s="352"/>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s="353"/>
    </row>
    <row r="85" spans="4:52" x14ac:dyDescent="0.35">
      <c r="E85" s="352"/>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s="353"/>
    </row>
    <row r="86" spans="4:52" x14ac:dyDescent="0.35">
      <c r="E86" s="352"/>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s="353"/>
    </row>
    <row r="87" spans="4:52" x14ac:dyDescent="0.35">
      <c r="E87" s="352"/>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s="353"/>
    </row>
    <row r="88" spans="4:52" x14ac:dyDescent="0.35">
      <c r="E88" s="352"/>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s="353"/>
    </row>
    <row r="89" spans="4:52" x14ac:dyDescent="0.35">
      <c r="E89" s="352"/>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s="353"/>
    </row>
    <row r="90" spans="4:52" x14ac:dyDescent="0.35">
      <c r="E90" s="352"/>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s="353"/>
    </row>
    <row r="91" spans="4:52" x14ac:dyDescent="0.35">
      <c r="E91" s="352"/>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s="353"/>
    </row>
    <row r="92" spans="4:52" x14ac:dyDescent="0.35">
      <c r="E92" s="35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s="353"/>
    </row>
    <row r="93" spans="4:52" x14ac:dyDescent="0.35">
      <c r="E93" s="352"/>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s="353"/>
    </row>
    <row r="94" spans="4:52" ht="15" thickBot="1" x14ac:dyDescent="0.4">
      <c r="D94" s="356"/>
      <c r="E94" s="382"/>
      <c r="F94" s="382"/>
      <c r="G94" s="382"/>
      <c r="H94" s="382"/>
      <c r="I94" s="382"/>
      <c r="J94" s="382"/>
      <c r="K94" s="382"/>
      <c r="L94" s="382"/>
      <c r="M94" s="382"/>
      <c r="N94" s="382"/>
      <c r="O94" s="382"/>
      <c r="P94" s="382"/>
      <c r="Q94" s="382"/>
      <c r="R94" s="382"/>
      <c r="S94" s="382"/>
      <c r="T94" s="382"/>
      <c r="U94" s="382"/>
      <c r="V94" s="382"/>
      <c r="W94" s="382"/>
      <c r="X94" s="382"/>
      <c r="Y94" s="382"/>
      <c r="Z94" s="382"/>
      <c r="AA94" s="382"/>
      <c r="AB94" s="382"/>
      <c r="AC94" s="382"/>
      <c r="AD94" s="382"/>
      <c r="AE94" s="382"/>
      <c r="AF94" s="382"/>
      <c r="AG94" s="382"/>
      <c r="AH94" s="382"/>
      <c r="AI94" s="382"/>
      <c r="AJ94" s="382"/>
      <c r="AK94" s="382"/>
      <c r="AL94" s="382"/>
      <c r="AM94" s="382"/>
      <c r="AN94" s="382"/>
      <c r="AO94" s="382"/>
      <c r="AP94" s="382"/>
      <c r="AQ94" s="382"/>
      <c r="AR94" s="382"/>
      <c r="AS94" s="382"/>
      <c r="AT94" s="382"/>
      <c r="AU94" s="382"/>
      <c r="AV94" s="382"/>
      <c r="AW94" s="382"/>
      <c r="AX94" s="382"/>
      <c r="AY94" s="382"/>
      <c r="AZ94" s="383"/>
    </row>
  </sheetData>
  <sheetProtection algorithmName="SHA-512" hashValue="hKtg/lpbwLx5aO7SFEwSblpC9h8IEBLSW9oFfVDmmiO0cy9zHZx4ur3jiocG4//454h1OCR56mQgsiqa4fj+zQ==" saltValue="YQCZ1fX7mgiPf7z8nt0o0g==" spinCount="100000" sheet="1" objects="1" scenarios="1"/>
  <conditionalFormatting sqref="B15:B44">
    <cfRule type="expression" dxfId="7" priority="3">
      <formula>$A15=""</formula>
    </cfRule>
  </conditionalFormatting>
  <conditionalFormatting sqref="F29:F58 F60">
    <cfRule type="expression" dxfId="6" priority="2">
      <formula>$E29=""</formula>
    </cfRule>
  </conditionalFormatting>
  <conditionalFormatting sqref="B46">
    <cfRule type="expression" dxfId="5" priority="1">
      <formula>$E45=""</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A0401-0298-436E-9010-411DF61AAC0D}">
  <sheetPr codeName="Sheet15">
    <tabColor theme="5" tint="0.59999389629810485"/>
  </sheetPr>
  <dimension ref="A1:K47"/>
  <sheetViews>
    <sheetView topLeftCell="A24" zoomScaleNormal="100" workbookViewId="0">
      <selection activeCell="C12" sqref="C12"/>
    </sheetView>
  </sheetViews>
  <sheetFormatPr defaultColWidth="9.1796875" defaultRowHeight="14.5" x14ac:dyDescent="0.35"/>
  <cols>
    <col min="1" max="1" width="33.54296875" style="42" customWidth="1"/>
    <col min="2" max="2" width="30" style="42" customWidth="1"/>
    <col min="3" max="3" width="21.81640625" style="42" customWidth="1"/>
    <col min="4" max="4" width="17.81640625" style="42" customWidth="1"/>
    <col min="5" max="5" width="20.453125" style="42" customWidth="1"/>
    <col min="6" max="16384" width="9.1796875" style="42"/>
  </cols>
  <sheetData>
    <row r="1" spans="1:11" ht="20" thickBot="1" x14ac:dyDescent="0.5">
      <c r="A1" s="316" t="s">
        <v>181</v>
      </c>
    </row>
    <row r="2" spans="1:11" ht="15" thickTop="1" x14ac:dyDescent="0.35">
      <c r="A2" s="317"/>
      <c r="B2" s="317"/>
      <c r="C2" s="317"/>
      <c r="D2" s="317"/>
      <c r="E2" s="317"/>
      <c r="F2" s="317"/>
      <c r="G2" s="317"/>
      <c r="H2" s="317"/>
    </row>
    <row r="3" spans="1:11" x14ac:dyDescent="0.35">
      <c r="A3" s="42" t="s">
        <v>171</v>
      </c>
    </row>
    <row r="4" spans="1:11" x14ac:dyDescent="0.35">
      <c r="A4" s="537" t="s">
        <v>428</v>
      </c>
      <c r="B4" s="317"/>
      <c r="C4" s="317"/>
      <c r="D4" s="317"/>
      <c r="E4" s="317"/>
      <c r="F4" s="317"/>
      <c r="G4" s="317"/>
      <c r="H4" s="317"/>
      <c r="I4" s="317"/>
      <c r="J4" s="317"/>
      <c r="K4" s="317"/>
    </row>
    <row r="5" spans="1:11" x14ac:dyDescent="0.35">
      <c r="A5" s="42" t="s">
        <v>171</v>
      </c>
    </row>
    <row r="6" spans="1:11" x14ac:dyDescent="0.35">
      <c r="A6" s="537" t="s">
        <v>429</v>
      </c>
      <c r="B6" s="317"/>
      <c r="C6" s="317"/>
      <c r="D6" s="317"/>
      <c r="E6" s="317"/>
      <c r="F6" s="317"/>
    </row>
    <row r="7" spans="1:11" x14ac:dyDescent="0.35">
      <c r="A7" s="537" t="s">
        <v>430</v>
      </c>
      <c r="B7" s="317"/>
      <c r="C7" s="317"/>
      <c r="D7" s="317"/>
      <c r="E7" s="317"/>
      <c r="F7" s="317"/>
      <c r="G7" s="317"/>
      <c r="H7" s="317"/>
      <c r="I7" s="317"/>
    </row>
    <row r="8" spans="1:11" x14ac:dyDescent="0.35">
      <c r="A8" s="537" t="s">
        <v>431</v>
      </c>
      <c r="B8" s="317"/>
      <c r="C8" s="317"/>
      <c r="D8" s="317"/>
      <c r="E8" s="317"/>
      <c r="F8" s="317"/>
    </row>
    <row r="9" spans="1:11" x14ac:dyDescent="0.35">
      <c r="A9" s="318" t="s">
        <v>432</v>
      </c>
    </row>
    <row r="10" spans="1:11" x14ac:dyDescent="0.35">
      <c r="A10" s="421" t="s">
        <v>433</v>
      </c>
      <c r="B10" s="321" t="s">
        <v>434</v>
      </c>
      <c r="C10" s="321" t="s">
        <v>435</v>
      </c>
      <c r="D10" s="321" t="s">
        <v>181</v>
      </c>
      <c r="E10" s="321" t="s">
        <v>436</v>
      </c>
    </row>
    <row r="11" spans="1:11" x14ac:dyDescent="0.35">
      <c r="A11" s="557" t="s">
        <v>437</v>
      </c>
      <c r="B11" s="558">
        <f>SUM('Capital Costs'!B9:B23)+'Capital Costs'!A5</f>
        <v>84741635.976721764</v>
      </c>
      <c r="C11" s="559">
        <f>_xlfn.XLOOKUP(Project_ID, Output!$A$4:$A$203,Output!$E$4:$E$203, 25, 0)</f>
        <v>40</v>
      </c>
      <c r="D11" s="344">
        <f>IF(C11&gt;'Project Information'!$B$10,IFERROR(B11*((C11-'Project Information'!$B$10)/C11),0),0)</f>
        <v>31778113.491270661</v>
      </c>
      <c r="E11" s="344">
        <f>D11/(1.031 ^ (A42 - Instruction!$B$19))</f>
        <v>11963295.292777788</v>
      </c>
    </row>
    <row r="12" spans="1:11" x14ac:dyDescent="0.35">
      <c r="A12" s="327" t="s">
        <v>438</v>
      </c>
      <c r="B12" s="560"/>
      <c r="C12" s="561"/>
      <c r="D12" s="344">
        <f>SUM(D11:D11)</f>
        <v>31778113.491270661</v>
      </c>
      <c r="E12" s="344">
        <f>E11</f>
        <v>11963295.292777788</v>
      </c>
    </row>
    <row r="13" spans="1:11" x14ac:dyDescent="0.35">
      <c r="A13" s="42" t="s">
        <v>171</v>
      </c>
    </row>
    <row r="14" spans="1:11" x14ac:dyDescent="0.35">
      <c r="A14" s="537" t="s">
        <v>439</v>
      </c>
      <c r="B14" s="537"/>
      <c r="C14" s="537"/>
      <c r="D14" s="537"/>
      <c r="E14" s="537"/>
      <c r="F14" s="537"/>
      <c r="G14" s="537"/>
    </row>
    <row r="15" spans="1:11" x14ac:dyDescent="0.35">
      <c r="A15" s="537" t="s">
        <v>440</v>
      </c>
      <c r="B15" s="537"/>
      <c r="C15" s="537"/>
      <c r="D15" s="537"/>
    </row>
    <row r="16" spans="1:11" x14ac:dyDescent="0.35">
      <c r="A16" s="318" t="s">
        <v>441</v>
      </c>
    </row>
    <row r="17" spans="1:2" x14ac:dyDescent="0.35">
      <c r="A17" s="321" t="s">
        <v>173</v>
      </c>
      <c r="B17" s="334" t="s">
        <v>181</v>
      </c>
    </row>
    <row r="18" spans="1:2" x14ac:dyDescent="0.35">
      <c r="A18" s="10">
        <f>'Project Information'!$B$9</f>
        <v>2030</v>
      </c>
      <c r="B18" s="389">
        <f>IF(A18='Project Information'!$B$6+'Project Information'!$B$8+'Project Information'!$B$10+('Project Information'!$B$7-'Project Information'!$B$6-1),$D$12,0)</f>
        <v>0</v>
      </c>
    </row>
    <row r="19" spans="1:2" x14ac:dyDescent="0.35">
      <c r="A19" s="326">
        <f>IF(A18&lt;'Project Information'!B$11,A18+1,"")</f>
        <v>2031</v>
      </c>
      <c r="B19" s="389">
        <f>IF(A19='Project Information'!$B$6+'Project Information'!$B$8+'Project Information'!$B$10+('Project Information'!$B$7-'Project Information'!$B$6-1),$D$12,0)</f>
        <v>0</v>
      </c>
    </row>
    <row r="20" spans="1:2" x14ac:dyDescent="0.35">
      <c r="A20" s="326">
        <f>IF(A19&lt;'Project Information'!B$11,A19+1,"")</f>
        <v>2032</v>
      </c>
      <c r="B20" s="389">
        <f>IF(A20='Project Information'!$B$6+'Project Information'!$B$8+'Project Information'!$B$10+('Project Information'!$B$7-'Project Information'!$B$6-1),$D$12,0)</f>
        <v>0</v>
      </c>
    </row>
    <row r="21" spans="1:2" x14ac:dyDescent="0.35">
      <c r="A21" s="326">
        <f>IF(A20&lt;'Project Information'!B$11,A20+1,"")</f>
        <v>2033</v>
      </c>
      <c r="B21" s="389">
        <f>IF(A21='Project Information'!$B$6+'Project Information'!$B$8+'Project Information'!$B$10+('Project Information'!$B$7-'Project Information'!$B$6-1),$D$12,0)</f>
        <v>0</v>
      </c>
    </row>
    <row r="22" spans="1:2" x14ac:dyDescent="0.35">
      <c r="A22" s="326">
        <f>IF(A21&lt;'Project Information'!B$11,A21+1,"")</f>
        <v>2034</v>
      </c>
      <c r="B22" s="389">
        <f>IF(A22='Project Information'!$B$6+'Project Information'!$B$8+'Project Information'!$B$10+('Project Information'!$B$7-'Project Information'!$B$6-1),$D$12,0)</f>
        <v>0</v>
      </c>
    </row>
    <row r="23" spans="1:2" x14ac:dyDescent="0.35">
      <c r="A23" s="326">
        <f>IF(A22&lt;'Project Information'!B$11,A22+1,"")</f>
        <v>2035</v>
      </c>
      <c r="B23" s="389">
        <f>IF(A23='Project Information'!$B$6+'Project Information'!$B$8+'Project Information'!$B$10+('Project Information'!$B$7-'Project Information'!$B$6-1),$D$12,0)</f>
        <v>0</v>
      </c>
    </row>
    <row r="24" spans="1:2" x14ac:dyDescent="0.35">
      <c r="A24" s="326">
        <f>IF(A23&lt;'Project Information'!B$11,A23+1,"")</f>
        <v>2036</v>
      </c>
      <c r="B24" s="389">
        <f>IF(A24='Project Information'!$B$6+'Project Information'!$B$8+'Project Information'!$B$10+('Project Information'!$B$7-'Project Information'!$B$6-1),$D$12,0)</f>
        <v>0</v>
      </c>
    </row>
    <row r="25" spans="1:2" x14ac:dyDescent="0.35">
      <c r="A25" s="326">
        <f>IF(A24&lt;'Project Information'!B$11,A24+1,"")</f>
        <v>2037</v>
      </c>
      <c r="B25" s="389">
        <f>IF(A25='Project Information'!$B$6+'Project Information'!$B$8+'Project Information'!$B$10+('Project Information'!$B$7-'Project Information'!$B$6-1),$D$12,0)</f>
        <v>0</v>
      </c>
    </row>
    <row r="26" spans="1:2" x14ac:dyDescent="0.35">
      <c r="A26" s="326">
        <f>IF(A25&lt;'Project Information'!B$11,A25+1,"")</f>
        <v>2038</v>
      </c>
      <c r="B26" s="389">
        <f>IF(A26='Project Information'!$B$6+'Project Information'!$B$8+'Project Information'!$B$10+('Project Information'!$B$7-'Project Information'!$B$6-1),$D$12,0)</f>
        <v>0</v>
      </c>
    </row>
    <row r="27" spans="1:2" x14ac:dyDescent="0.35">
      <c r="A27" s="326">
        <f>IF(A26&lt;'Project Information'!B$11,A26+1,"")</f>
        <v>2039</v>
      </c>
      <c r="B27" s="389">
        <f>IF(A27='Project Information'!$B$6+'Project Information'!$B$8+'Project Information'!$B$10+('Project Information'!$B$7-'Project Information'!$B$6-1),$D$12,0)</f>
        <v>0</v>
      </c>
    </row>
    <row r="28" spans="1:2" x14ac:dyDescent="0.35">
      <c r="A28" s="326">
        <f>IF(A27&lt;'Project Information'!B$11,A27+1,"")</f>
        <v>2040</v>
      </c>
      <c r="B28" s="389">
        <f>IF(A28='Project Information'!$B$6+'Project Information'!$B$8+'Project Information'!$B$10+('Project Information'!$B$7-'Project Information'!$B$6-1),$D$12,0)</f>
        <v>0</v>
      </c>
    </row>
    <row r="29" spans="1:2" x14ac:dyDescent="0.35">
      <c r="A29" s="326">
        <f>IF(A28&lt;'Project Information'!B$11,A28+1,"")</f>
        <v>2041</v>
      </c>
      <c r="B29" s="389">
        <f>IF(A29='Project Information'!$B$6+'Project Information'!$B$8+'Project Information'!$B$10+('Project Information'!$B$7-'Project Information'!$B$6-1),$D$12,0)</f>
        <v>0</v>
      </c>
    </row>
    <row r="30" spans="1:2" x14ac:dyDescent="0.35">
      <c r="A30" s="326">
        <f>IF(A29&lt;'Project Information'!B$11,A29+1,"")</f>
        <v>2042</v>
      </c>
      <c r="B30" s="389">
        <f>IF(A30='Project Information'!$B$6+'Project Information'!$B$8+'Project Information'!$B$10+('Project Information'!$B$7-'Project Information'!$B$6-1),$D$12,0)</f>
        <v>0</v>
      </c>
    </row>
    <row r="31" spans="1:2" x14ac:dyDescent="0.35">
      <c r="A31" s="326">
        <f>IF(A30&lt;'Project Information'!B$11,A30+1,"")</f>
        <v>2043</v>
      </c>
      <c r="B31" s="389">
        <f>IF(A31='Project Information'!$B$6+'Project Information'!$B$8+'Project Information'!$B$10+('Project Information'!$B$7-'Project Information'!$B$6-1),$D$12,0)</f>
        <v>0</v>
      </c>
    </row>
    <row r="32" spans="1:2" x14ac:dyDescent="0.35">
      <c r="A32" s="326">
        <f>IF(A31&lt;'Project Information'!B$11,A31+1,"")</f>
        <v>2044</v>
      </c>
      <c r="B32" s="389">
        <f>IF(A32='Project Information'!$B$6+'Project Information'!$B$8+'Project Information'!$B$10+('Project Information'!$B$7-'Project Information'!$B$6-1),$D$12,0)</f>
        <v>0</v>
      </c>
    </row>
    <row r="33" spans="1:2" x14ac:dyDescent="0.35">
      <c r="A33" s="326">
        <f>IF(A32&lt;'Project Information'!B$11,A32+1,"")</f>
        <v>2045</v>
      </c>
      <c r="B33" s="389">
        <f>IF(A33='Project Information'!$B$6+'Project Information'!$B$8+'Project Information'!$B$10+('Project Information'!$B$7-'Project Information'!$B$6-1),$D$12,0)</f>
        <v>0</v>
      </c>
    </row>
    <row r="34" spans="1:2" x14ac:dyDescent="0.35">
      <c r="A34" s="326">
        <f>IF(A33&lt;'Project Information'!B$11,A33+1,"")</f>
        <v>2046</v>
      </c>
      <c r="B34" s="389">
        <f>IF(A34='Project Information'!$B$6+'Project Information'!$B$8+'Project Information'!$B$10+('Project Information'!$B$7-'Project Information'!$B$6-1),$D$12,0)</f>
        <v>0</v>
      </c>
    </row>
    <row r="35" spans="1:2" x14ac:dyDescent="0.35">
      <c r="A35" s="326">
        <f>IF(A34&lt;'Project Information'!B$11,A34+1,"")</f>
        <v>2047</v>
      </c>
      <c r="B35" s="389">
        <f>IF(A35='Project Information'!$B$6+'Project Information'!$B$8+'Project Information'!$B$10+('Project Information'!$B$7-'Project Information'!$B$6-1),$D$12,0)</f>
        <v>0</v>
      </c>
    </row>
    <row r="36" spans="1:2" x14ac:dyDescent="0.35">
      <c r="A36" s="326">
        <f>IF(A35&lt;'Project Information'!B$11,A35+1,"")</f>
        <v>2048</v>
      </c>
      <c r="B36" s="389">
        <f>IF(A36='Project Information'!$B$6+'Project Information'!$B$8+'Project Information'!$B$10+('Project Information'!$B$7-'Project Information'!$B$6-1),$D$12,0)</f>
        <v>0</v>
      </c>
    </row>
    <row r="37" spans="1:2" x14ac:dyDescent="0.35">
      <c r="A37" s="326">
        <f>IF(A36&lt;'Project Information'!B$11,A36+1,"")</f>
        <v>2049</v>
      </c>
      <c r="B37" s="389">
        <f>IF(A37='Project Information'!$B$6+'Project Information'!$B$8+'Project Information'!$B$10+('Project Information'!$B$7-'Project Information'!$B$6-1),$D$12,0)</f>
        <v>0</v>
      </c>
    </row>
    <row r="38" spans="1:2" x14ac:dyDescent="0.35">
      <c r="A38" s="326">
        <f>IF(A37&lt;'Project Information'!B$11,A37+1,"")</f>
        <v>2050</v>
      </c>
      <c r="B38" s="389">
        <f>IF(A38='Project Information'!$B$6+'Project Information'!$B$8+'Project Information'!$B$10+('Project Information'!$B$7-'Project Information'!$B$6-1),$D$12,0)</f>
        <v>0</v>
      </c>
    </row>
    <row r="39" spans="1:2" x14ac:dyDescent="0.35">
      <c r="A39" s="326">
        <f>IF(A38&lt;'Project Information'!B$11,A38+1,"")</f>
        <v>2051</v>
      </c>
      <c r="B39" s="389">
        <f>IF(A39='Project Information'!$B$6+'Project Information'!$B$8+'Project Information'!$B$10+('Project Information'!$B$7-'Project Information'!$B$6-1),$D$12,0)</f>
        <v>0</v>
      </c>
    </row>
    <row r="40" spans="1:2" x14ac:dyDescent="0.35">
      <c r="A40" s="326">
        <f>IF(A39&lt;'Project Information'!B$11,A39+1,"")</f>
        <v>2052</v>
      </c>
      <c r="B40" s="389">
        <f>IF(A40='Project Information'!$B$6+'Project Information'!$B$8+'Project Information'!$B$10+('Project Information'!$B$7-'Project Information'!$B$6-1),$D$12,0)</f>
        <v>0</v>
      </c>
    </row>
    <row r="41" spans="1:2" x14ac:dyDescent="0.35">
      <c r="A41" s="326">
        <f>IF(A40&lt;'Project Information'!B$11,A40+1,"")</f>
        <v>2053</v>
      </c>
      <c r="B41" s="389">
        <f>IF(A41='Project Information'!$B$6+'Project Information'!$B$8+'Project Information'!$B$10+('Project Information'!$B$7-'Project Information'!$B$6-1),$D$12,0)</f>
        <v>0</v>
      </c>
    </row>
    <row r="42" spans="1:2" x14ac:dyDescent="0.35">
      <c r="A42" s="326">
        <f>IF(A41&lt;'Project Information'!B$11,A41+1,"")</f>
        <v>2054</v>
      </c>
      <c r="B42" s="389">
        <f>IF(A42='Project Information'!$B$6+'Project Information'!$B$8+'Project Information'!$B$10+('Project Information'!$B$7-'Project Information'!$B$6-1),$D$12,0)</f>
        <v>31778113.491270661</v>
      </c>
    </row>
    <row r="43" spans="1:2" x14ac:dyDescent="0.35">
      <c r="A43" s="326" t="str">
        <f>IF(A42&lt;'Project Information'!B$11,A42+1,"")</f>
        <v/>
      </c>
      <c r="B43" s="389">
        <f>IF(A43='Project Information'!$B$6+'Project Information'!$B$8+'Project Information'!$B$10+('Project Information'!$B$7-'Project Information'!$B$6-1),$D$12,0)</f>
        <v>0</v>
      </c>
    </row>
    <row r="44" spans="1:2" x14ac:dyDescent="0.35">
      <c r="A44" s="326" t="str">
        <f>IF(A43&lt;'Project Information'!B$11,A43+1,"")</f>
        <v/>
      </c>
      <c r="B44" s="389">
        <f>IF(A44='Project Information'!$B$6+'Project Information'!$B$8+'Project Information'!$B$10+('Project Information'!$B$7-'Project Information'!$B$6-1),$D$12,0)</f>
        <v>0</v>
      </c>
    </row>
    <row r="45" spans="1:2" x14ac:dyDescent="0.35">
      <c r="A45" s="326" t="str">
        <f>IF(A44&lt;'Project Information'!B$11,A44+1,"")</f>
        <v/>
      </c>
      <c r="B45" s="389">
        <f>IF(A45='Project Information'!$B$6+'Project Information'!$B$8+'Project Information'!$B$10+('Project Information'!$B$7-'Project Information'!$B$6-1),$D$12,0)</f>
        <v>0</v>
      </c>
    </row>
    <row r="46" spans="1:2" x14ac:dyDescent="0.35">
      <c r="A46" s="326" t="str">
        <f>IF(A45&lt;'Project Information'!B$11,A45+1,"")</f>
        <v/>
      </c>
      <c r="B46" s="389">
        <f>IF(A46='Project Information'!$B$6+'Project Information'!$B$8+'Project Information'!$B$10+('Project Information'!$B$7-'Project Information'!$B$6-1),$D$12,0)</f>
        <v>0</v>
      </c>
    </row>
    <row r="47" spans="1:2" x14ac:dyDescent="0.35">
      <c r="A47" s="12" t="str">
        <f>IF(A46&lt;'Project Information'!B$11,A46+1,"")</f>
        <v/>
      </c>
      <c r="B47" s="331">
        <f>IF(A47='Project Information'!$B$6+'Project Information'!$B$8+'Project Information'!$B$10+('Project Information'!$B$7-'Project Information'!$B$6-1),$D$12,0)</f>
        <v>0</v>
      </c>
    </row>
  </sheetData>
  <sheetProtection algorithmName="SHA-512" hashValue="rk5rNA3imrYkdaAo9VN3SkmIrE9cAqb+MW6UWztl0kpGZevmEHHLhlFBajikXtqpsFSMFpjju9vK1WojSQ+xJg==" saltValue="D7k3k7S6zsNQhAE1yB0scg==" spinCount="100000" sheet="1" objects="1" scenarios="1"/>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47257E-6016-4CBC-B05B-E8AA3990DC09}">
  <sheetPr codeName="Sheet2">
    <tabColor theme="0" tint="-0.249977111117893"/>
  </sheetPr>
  <dimension ref="A1:E41"/>
  <sheetViews>
    <sheetView zoomScale="90" zoomScaleNormal="90" workbookViewId="0">
      <selection activeCell="D16" sqref="D16"/>
    </sheetView>
  </sheetViews>
  <sheetFormatPr defaultColWidth="8.81640625" defaultRowHeight="14.5" x14ac:dyDescent="0.35"/>
  <cols>
    <col min="1" max="1" width="56.1796875" style="563" customWidth="1"/>
    <col min="2" max="2" width="11.81640625" style="563" bestFit="1" customWidth="1"/>
    <col min="3" max="3" width="11.81640625" style="563" customWidth="1"/>
    <col min="4" max="4" width="10.1796875" style="563" customWidth="1"/>
    <col min="5" max="5" width="10.81640625" style="563" customWidth="1"/>
    <col min="6" max="16384" width="8.81640625" style="563"/>
  </cols>
  <sheetData>
    <row r="1" spans="1:5" ht="20" thickBot="1" x14ac:dyDescent="0.5">
      <c r="A1" s="562" t="s">
        <v>442</v>
      </c>
    </row>
    <row r="2" spans="1:5" ht="15" thickTop="1" x14ac:dyDescent="0.35">
      <c r="A2" s="564"/>
      <c r="B2" s="565"/>
      <c r="C2" s="565"/>
      <c r="D2" s="565"/>
      <c r="E2" s="565"/>
    </row>
    <row r="3" spans="1:5" x14ac:dyDescent="0.35">
      <c r="A3" s="563" t="s">
        <v>171</v>
      </c>
    </row>
    <row r="4" spans="1:5" x14ac:dyDescent="0.35">
      <c r="A4" s="318" t="s">
        <v>443</v>
      </c>
      <c r="B4" s="42"/>
    </row>
    <row r="5" spans="1:5" x14ac:dyDescent="0.35">
      <c r="A5" s="566" t="s">
        <v>444</v>
      </c>
      <c r="B5" s="567" t="s">
        <v>190</v>
      </c>
    </row>
    <row r="6" spans="1:5" x14ac:dyDescent="0.35">
      <c r="A6" s="418" t="s">
        <v>14</v>
      </c>
      <c r="B6" s="343">
        <f>Overview!B22</f>
        <v>2022</v>
      </c>
    </row>
    <row r="7" spans="1:5" x14ac:dyDescent="0.35">
      <c r="A7" s="418" t="s">
        <v>445</v>
      </c>
      <c r="B7" s="568">
        <v>2025</v>
      </c>
      <c r="C7" s="563" t="s">
        <v>446</v>
      </c>
    </row>
    <row r="8" spans="1:5" x14ac:dyDescent="0.35">
      <c r="A8" s="418" t="s">
        <v>447</v>
      </c>
      <c r="B8" s="569">
        <f>B9-B7</f>
        <v>5</v>
      </c>
    </row>
    <row r="9" spans="1:5" x14ac:dyDescent="0.35">
      <c r="A9" s="418" t="s">
        <v>21</v>
      </c>
      <c r="B9" s="557">
        <f>_xlfn.XLOOKUP(Project_ID,  Output!$A:$A, Output!$F:$F)</f>
        <v>2030</v>
      </c>
    </row>
    <row r="10" spans="1:5" x14ac:dyDescent="0.35">
      <c r="A10" s="418" t="s">
        <v>448</v>
      </c>
      <c r="B10" s="568">
        <v>25</v>
      </c>
      <c r="C10" s="563" t="s">
        <v>449</v>
      </c>
    </row>
    <row r="11" spans="1:5" x14ac:dyDescent="0.35">
      <c r="A11" s="418" t="s">
        <v>450</v>
      </c>
      <c r="B11" s="569">
        <f>B7+B8+B10-1</f>
        <v>2054</v>
      </c>
    </row>
    <row r="12" spans="1:5" x14ac:dyDescent="0.35">
      <c r="A12" s="23" t="s">
        <v>16</v>
      </c>
      <c r="B12" s="570">
        <v>1057</v>
      </c>
      <c r="C12" s="563" t="s">
        <v>451</v>
      </c>
    </row>
    <row r="13" spans="1:5" x14ac:dyDescent="0.35">
      <c r="A13" s="412" t="s">
        <v>17</v>
      </c>
      <c r="B13" s="571">
        <f>_xlfn.XLOOKUP(Project_ID, Output!$A:$A, Output!$B:$B, "",0)</f>
        <v>0</v>
      </c>
    </row>
    <row r="14" spans="1:5" x14ac:dyDescent="0.35">
      <c r="A14" s="412" t="s">
        <v>18</v>
      </c>
      <c r="B14" s="571" t="str">
        <f>_xlfn.XLOOKUP(Project_ID, Output!$A:$A, Output!$C:$C, "",0)</f>
        <v>Urban Restricted Access</v>
      </c>
    </row>
    <row r="15" spans="1:5" x14ac:dyDescent="0.35">
      <c r="A15" s="391"/>
      <c r="B15" s="391"/>
    </row>
    <row r="16" spans="1:5" x14ac:dyDescent="0.35">
      <c r="A16" s="413" t="s">
        <v>452</v>
      </c>
      <c r="B16" s="572">
        <f>IFERROR(_xlfn.XLOOKUP(Project_ID,  Output!$A:$A,Output!$G:$G, 0, 0), 0)</f>
        <v>2.7</v>
      </c>
      <c r="C16" s="563" t="s">
        <v>453</v>
      </c>
    </row>
    <row r="17" spans="1:3" x14ac:dyDescent="0.35">
      <c r="A17" s="413" t="s">
        <v>454</v>
      </c>
      <c r="B17" s="572">
        <f>IFERROR(_xlfn.XLOOKUP(Project_ID,  Output!$A:$A,Output!$H:$H, 0, 0), 0)</f>
        <v>2.7</v>
      </c>
      <c r="C17" s="563" t="s">
        <v>455</v>
      </c>
    </row>
    <row r="18" spans="1:3" x14ac:dyDescent="0.35">
      <c r="A18" s="418" t="s">
        <v>24</v>
      </c>
      <c r="B18" s="572">
        <f>IFERROR(_xlfn.XLOOKUP(Project_ID,  Output!$A:$A,Output!$I:$I, 0, 0), 0)</f>
        <v>104119</v>
      </c>
      <c r="C18" s="563" t="s">
        <v>456</v>
      </c>
    </row>
    <row r="19" spans="1:3" x14ac:dyDescent="0.35">
      <c r="A19" s="412" t="s">
        <v>25</v>
      </c>
      <c r="B19" s="572">
        <f>IFERROR(_xlfn.XLOOKUP(Project_ID,  Output!$A:$A,Output!$J:$J, 0, 0), 0)</f>
        <v>21733</v>
      </c>
    </row>
    <row r="20" spans="1:3" x14ac:dyDescent="0.35">
      <c r="A20" s="413" t="s">
        <v>26</v>
      </c>
      <c r="B20" s="573">
        <f>IFERROR(_xlfn.XLOOKUP(Project_ID,  Output!$A:$A,Output!$K:$K, 0, 0), 0)</f>
        <v>2.75E-2</v>
      </c>
      <c r="C20" s="563" t="s">
        <v>457</v>
      </c>
    </row>
    <row r="21" spans="1:3" x14ac:dyDescent="0.35">
      <c r="A21" s="413" t="s">
        <v>458</v>
      </c>
      <c r="B21" s="455">
        <f>Base_Year_AADT*(1 +Growth_Rate)^(Opening_Year-Base_Year)</f>
        <v>129355.42068721089</v>
      </c>
      <c r="C21" s="563" t="s">
        <v>459</v>
      </c>
    </row>
    <row r="22" spans="1:3" x14ac:dyDescent="0.35">
      <c r="A22" s="413" t="s">
        <v>460</v>
      </c>
      <c r="B22" s="17">
        <f>No_Build_Project_Length*No_Build_Start_AADT*365</f>
        <v>127479767.08724634</v>
      </c>
      <c r="C22" s="563" t="s">
        <v>461</v>
      </c>
    </row>
    <row r="23" spans="1:3" x14ac:dyDescent="0.35">
      <c r="A23" s="413" t="s">
        <v>462</v>
      </c>
      <c r="B23" s="455">
        <f>Base_Year_AADT*(1 +Growth_Rate)^(Opening_Year-Base_Year) - (Induced_Daily_Cycling_Trips + Induced_Daily_Walking_Trips) * 0.89</f>
        <v>129355.42068721089</v>
      </c>
      <c r="C23" s="563" t="s">
        <v>463</v>
      </c>
    </row>
    <row r="24" spans="1:3" x14ac:dyDescent="0.35">
      <c r="A24" s="413" t="s">
        <v>464</v>
      </c>
      <c r="B24" s="17">
        <f>Build_Project_Length*Build_Start_AADT*365</f>
        <v>127479767.08724634</v>
      </c>
      <c r="C24" s="563" t="s">
        <v>465</v>
      </c>
    </row>
    <row r="25" spans="1:3" x14ac:dyDescent="0.35">
      <c r="A25" s="391"/>
      <c r="B25" s="391"/>
    </row>
    <row r="26" spans="1:3" x14ac:dyDescent="0.35">
      <c r="A26" s="412" t="s">
        <v>37</v>
      </c>
      <c r="B26" s="574" cm="1">
        <f t="array" ref="B26">IFERROR(INDEX(Output!$A:$AO, _xlfn.XMATCH(Project_ID, Output!$A:$A, 0), _xlfn.XMATCH(A$26, Output!$A$3:$AO$3)), 0)</f>
        <v>0</v>
      </c>
      <c r="C26" s="563" t="s">
        <v>466</v>
      </c>
    </row>
    <row r="27" spans="1:3" x14ac:dyDescent="0.35">
      <c r="A27" s="418" t="s">
        <v>151</v>
      </c>
      <c r="B27" s="572" cm="1">
        <f t="array" ref="B27">IFERROR(INDEX(Output!$A:$AN, _xlfn.XMATCH(Project_ID, Output!$A:$A, 0), _xlfn.XMATCH(A$27, Output!$A$3:$AO$3)), 0)</f>
        <v>34</v>
      </c>
      <c r="C27" s="563" t="s">
        <v>467</v>
      </c>
    </row>
    <row r="28" spans="1:3" x14ac:dyDescent="0.35">
      <c r="A28" s="575" t="s">
        <v>38</v>
      </c>
      <c r="B28" s="372">
        <f>_xlfn.XLOOKUP(Project_ID, Output!$A:$A, Output!$AN:$AN)</f>
        <v>0</v>
      </c>
      <c r="C28" s="563" t="s">
        <v>468</v>
      </c>
    </row>
    <row r="29" spans="1:3" x14ac:dyDescent="0.35">
      <c r="A29" s="418" t="s">
        <v>469</v>
      </c>
      <c r="B29" s="426">
        <f>Base_Year_Daily_Walking_Trips*(1 + BikePed_GR) ^(Opening_Year-Base_Year)</f>
        <v>34</v>
      </c>
      <c r="C29" s="563" t="s">
        <v>470</v>
      </c>
    </row>
    <row r="30" spans="1:3" x14ac:dyDescent="0.35">
      <c r="A30" s="418" t="s">
        <v>471</v>
      </c>
      <c r="B30" s="576">
        <v>0.3</v>
      </c>
      <c r="C30" s="563" t="s">
        <v>472</v>
      </c>
    </row>
    <row r="31" spans="1:3" x14ac:dyDescent="0.35">
      <c r="A31" s="418" t="s">
        <v>473</v>
      </c>
      <c r="B31" s="343">
        <f>IFERROR(Base_Year_Daily_Walking_Trips * (1 + BikePed_GR) ^ (Opening_Year - Base_Year) *  Assumed_Pct_Increase_Daily_Walking_Trips, 0) *IF(Add_Sidewalk_Width&gt;0, 1, 0)</f>
        <v>0</v>
      </c>
      <c r="C31" s="563" t="s">
        <v>474</v>
      </c>
    </row>
    <row r="32" spans="1:3" x14ac:dyDescent="0.35">
      <c r="A32" s="418" t="s">
        <v>475</v>
      </c>
      <c r="B32" s="426">
        <f>No_Build_Start_Daily_Walking_Trips+Induced_Daily_Walking_Trips</f>
        <v>34</v>
      </c>
      <c r="C32" s="563" t="s">
        <v>476</v>
      </c>
    </row>
    <row r="33" spans="1:3" x14ac:dyDescent="0.35">
      <c r="A33" s="418" t="s">
        <v>152</v>
      </c>
      <c r="B33" s="372" cm="1">
        <f t="array" ref="B33">IFERROR(INDEX(Output!$A:$AN, _xlfn.XMATCH(Project_ID, Output!$A:$A, 0), _xlfn.XMATCH(A$33, Output!$A$3:$AO$3)), 0)</f>
        <v>34</v>
      </c>
      <c r="C33" s="563" t="s">
        <v>477</v>
      </c>
    </row>
    <row r="34" spans="1:3" x14ac:dyDescent="0.35">
      <c r="A34" s="577" t="s">
        <v>413</v>
      </c>
      <c r="B34" s="544" t="str">
        <f>_xlfn.XLOOKUP(Project_ID, Output!$A:$A, Output!$AO:$AO)</f>
        <v>No</v>
      </c>
    </row>
    <row r="35" spans="1:3" x14ac:dyDescent="0.35">
      <c r="A35" s="418" t="s">
        <v>478</v>
      </c>
      <c r="B35" s="426">
        <f>Base_Year_Daily_Cycling_Trips*(1+BikePed_GR) ^(Opening_Year-Base_Year)</f>
        <v>34</v>
      </c>
      <c r="C35" s="563" t="s">
        <v>479</v>
      </c>
    </row>
    <row r="36" spans="1:3" x14ac:dyDescent="0.35">
      <c r="A36" s="418" t="s">
        <v>480</v>
      </c>
      <c r="B36" s="576">
        <v>0.21</v>
      </c>
      <c r="C36" s="563" t="s">
        <v>481</v>
      </c>
    </row>
    <row r="37" spans="1:3" x14ac:dyDescent="0.35">
      <c r="A37" s="418" t="s">
        <v>482</v>
      </c>
      <c r="B37" s="343">
        <f>IFERROR(Base_Year_Daily_Cycling_Trips * (1 +BikePed_GR) ^ (Opening_Year - Base_Year) * Assumed_Pct_Increase_Daily_Cycling_Trips, 0) * IF(B34="Yes", 1, 0)</f>
        <v>0</v>
      </c>
      <c r="C37" s="563" t="s">
        <v>483</v>
      </c>
    </row>
    <row r="38" spans="1:3" x14ac:dyDescent="0.35">
      <c r="A38" s="418" t="s">
        <v>484</v>
      </c>
      <c r="B38" s="426">
        <f>No_Build_Start_Daily_Cycling_Trips+Induced_Daily_Cycling_Trips</f>
        <v>34</v>
      </c>
      <c r="C38" s="563" t="s">
        <v>485</v>
      </c>
    </row>
    <row r="39" spans="1:3" x14ac:dyDescent="0.35">
      <c r="A39" s="418" t="s">
        <v>486</v>
      </c>
      <c r="B39" s="426">
        <f>No_Build_Start_Daily_Walking_Trips+No_Build_Start_Daily_Cycling_Trips</f>
        <v>68</v>
      </c>
      <c r="C39" s="563" t="s">
        <v>487</v>
      </c>
    </row>
    <row r="40" spans="1:3" x14ac:dyDescent="0.35">
      <c r="A40" s="418" t="s">
        <v>488</v>
      </c>
      <c r="B40" s="426">
        <f>Build_Start_Daily_Walking_Trips+Build_Start_Daily_Cycling_Trips</f>
        <v>68</v>
      </c>
      <c r="C40" s="563" t="s">
        <v>489</v>
      </c>
    </row>
    <row r="41" spans="1:3" x14ac:dyDescent="0.35">
      <c r="A41" s="412" t="s">
        <v>490</v>
      </c>
      <c r="B41" s="343">
        <f>(Induced_Daily_Cycling_Trips + Induced_Daily_Walking_Trips) * Build_Project_Length  *365*0.89</f>
        <v>0</v>
      </c>
    </row>
  </sheetData>
  <sheetProtection algorithmName="SHA-512" hashValue="xRMDbhv776jmyDiw1MVSLmdqDFSdC63wk73bUr/qbqw+Tf0e4tMH/91tC4bwEczH1EJWix3NvDSKCEO8g0/aCw==" saltValue="WrorR1YurhDQKoSiFd0TMQ==" spinCount="100000" sheet="1" objects="1" scenarios="1"/>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898AC-DA8C-4AF9-927F-B6577C89C78A}">
  <sheetPr codeName="Sheet3">
    <tabColor theme="0" tint="-0.249977111117893"/>
  </sheetPr>
  <dimension ref="A1:H402"/>
  <sheetViews>
    <sheetView topLeftCell="A281" zoomScaleNormal="100" workbookViewId="0">
      <selection sqref="A1:A1048576"/>
    </sheetView>
  </sheetViews>
  <sheetFormatPr defaultRowHeight="14.5" x14ac:dyDescent="0.35"/>
  <cols>
    <col min="1" max="1" width="48.81640625" customWidth="1"/>
    <col min="2" max="2" width="27.1796875" customWidth="1"/>
    <col min="3" max="3" width="26.81640625" customWidth="1"/>
    <col min="4" max="4" width="19" customWidth="1"/>
    <col min="5" max="5" width="13.54296875" customWidth="1"/>
    <col min="6" max="6" width="14.453125" customWidth="1"/>
    <col min="7" max="7" width="14" customWidth="1"/>
    <col min="9" max="10" width="17.81640625" bestFit="1" customWidth="1"/>
  </cols>
  <sheetData>
    <row r="1" spans="1:7" ht="21" x14ac:dyDescent="0.5">
      <c r="A1" s="578" t="s">
        <v>491</v>
      </c>
      <c r="B1" s="579"/>
      <c r="C1" s="579"/>
      <c r="D1" s="579"/>
      <c r="E1" s="580"/>
      <c r="F1" s="580"/>
      <c r="G1" s="580"/>
    </row>
    <row r="2" spans="1:7" x14ac:dyDescent="0.35">
      <c r="A2" s="317" t="s">
        <v>492</v>
      </c>
      <c r="B2" s="317"/>
      <c r="C2" s="317"/>
      <c r="D2" s="317"/>
      <c r="E2" s="317"/>
      <c r="F2" s="317"/>
      <c r="G2" s="581"/>
    </row>
    <row r="3" spans="1:7" x14ac:dyDescent="0.35">
      <c r="A3" s="582" t="s">
        <v>493</v>
      </c>
      <c r="G3" s="581"/>
    </row>
    <row r="4" spans="1:7" x14ac:dyDescent="0.35">
      <c r="A4" s="445" t="s">
        <v>171</v>
      </c>
      <c r="G4" s="581"/>
    </row>
    <row r="5" spans="1:7" x14ac:dyDescent="0.35">
      <c r="A5" s="583" t="s">
        <v>494</v>
      </c>
      <c r="B5" s="584"/>
      <c r="C5" s="584"/>
      <c r="D5" s="584"/>
      <c r="E5" s="584"/>
      <c r="F5" s="584"/>
      <c r="G5" s="581"/>
    </row>
    <row r="6" spans="1:7" ht="17.25" customHeight="1" x14ac:dyDescent="0.35">
      <c r="A6" s="585" t="s">
        <v>224</v>
      </c>
      <c r="B6" s="585" t="s">
        <v>495</v>
      </c>
      <c r="C6" s="584"/>
      <c r="D6" s="584"/>
      <c r="E6" s="584"/>
      <c r="F6" s="584"/>
      <c r="G6" s="581"/>
    </row>
    <row r="7" spans="1:7" x14ac:dyDescent="0.35">
      <c r="A7" s="586" t="s">
        <v>225</v>
      </c>
      <c r="B7" s="587">
        <v>5000</v>
      </c>
      <c r="C7" s="584"/>
      <c r="D7" s="584"/>
      <c r="E7" s="584"/>
      <c r="F7" s="584"/>
      <c r="G7" s="581"/>
    </row>
    <row r="8" spans="1:7" x14ac:dyDescent="0.35">
      <c r="A8" s="586" t="s">
        <v>226</v>
      </c>
      <c r="B8" s="587">
        <v>111700</v>
      </c>
      <c r="C8" s="584"/>
      <c r="D8" s="584"/>
      <c r="E8" s="584"/>
      <c r="F8" s="584"/>
      <c r="G8" s="581"/>
    </row>
    <row r="9" spans="1:7" x14ac:dyDescent="0.35">
      <c r="A9" s="586" t="s">
        <v>227</v>
      </c>
      <c r="B9" s="587">
        <v>233800</v>
      </c>
      <c r="C9" s="584"/>
      <c r="D9" s="584"/>
      <c r="E9" s="584"/>
      <c r="F9" s="584"/>
      <c r="G9" s="581"/>
    </row>
    <row r="10" spans="1:7" x14ac:dyDescent="0.35">
      <c r="A10" s="586" t="s">
        <v>228</v>
      </c>
      <c r="B10" s="587">
        <v>1188200</v>
      </c>
      <c r="C10" s="584"/>
      <c r="D10" s="584"/>
      <c r="E10" s="584"/>
      <c r="F10" s="584"/>
      <c r="G10" s="581"/>
    </row>
    <row r="11" spans="1:7" x14ac:dyDescent="0.35">
      <c r="A11" s="586" t="s">
        <v>229</v>
      </c>
      <c r="B11" s="587">
        <v>12500000</v>
      </c>
      <c r="C11" s="584"/>
      <c r="D11" s="584"/>
      <c r="E11" s="584"/>
      <c r="F11" s="584"/>
      <c r="G11" s="581"/>
    </row>
    <row r="12" spans="1:7" x14ac:dyDescent="0.35">
      <c r="A12" s="586" t="s">
        <v>230</v>
      </c>
      <c r="B12" s="587">
        <v>217600</v>
      </c>
      <c r="C12" s="584"/>
      <c r="D12" s="584"/>
      <c r="E12" s="584"/>
      <c r="F12" s="584"/>
      <c r="G12" s="581"/>
    </row>
    <row r="13" spans="1:7" x14ac:dyDescent="0.35">
      <c r="A13" s="583" t="s">
        <v>496</v>
      </c>
      <c r="B13" s="584"/>
      <c r="C13" s="584"/>
      <c r="D13" s="584"/>
      <c r="E13" s="584"/>
      <c r="F13" s="584"/>
      <c r="G13" s="581"/>
    </row>
    <row r="14" spans="1:7" x14ac:dyDescent="0.35">
      <c r="A14" s="585" t="s">
        <v>231</v>
      </c>
      <c r="B14" s="585" t="s">
        <v>495</v>
      </c>
      <c r="C14" s="584"/>
      <c r="D14" s="584"/>
      <c r="E14" s="584"/>
      <c r="F14" s="584"/>
      <c r="G14" s="581"/>
    </row>
    <row r="15" spans="1:7" x14ac:dyDescent="0.35">
      <c r="A15" s="586" t="s">
        <v>232</v>
      </c>
      <c r="B15" s="587">
        <v>9100</v>
      </c>
      <c r="C15" s="584"/>
      <c r="D15" s="584"/>
      <c r="E15" s="584"/>
      <c r="F15" s="584"/>
      <c r="G15" s="581"/>
    </row>
    <row r="16" spans="1:7" x14ac:dyDescent="0.35">
      <c r="A16" s="586" t="s">
        <v>233</v>
      </c>
      <c r="B16" s="587">
        <v>313000</v>
      </c>
      <c r="C16" s="584"/>
      <c r="D16" s="584"/>
      <c r="E16" s="584"/>
      <c r="F16" s="584"/>
      <c r="G16" s="581"/>
    </row>
    <row r="17" spans="1:7" x14ac:dyDescent="0.35">
      <c r="A17" s="586" t="s">
        <v>234</v>
      </c>
      <c r="B17" s="587">
        <v>14022900</v>
      </c>
      <c r="C17" s="584"/>
      <c r="D17" s="584"/>
      <c r="E17" s="584"/>
      <c r="F17" s="584"/>
      <c r="G17" s="581"/>
    </row>
    <row r="18" spans="1:7" x14ac:dyDescent="0.35">
      <c r="A18" s="588" t="s">
        <v>171</v>
      </c>
      <c r="B18" s="584"/>
      <c r="C18" s="584"/>
      <c r="D18" s="584"/>
      <c r="E18" s="584"/>
      <c r="F18" s="584"/>
      <c r="G18" s="581"/>
    </row>
    <row r="19" spans="1:7" x14ac:dyDescent="0.35">
      <c r="A19" s="583" t="s">
        <v>497</v>
      </c>
      <c r="B19" s="584"/>
      <c r="C19" s="584"/>
      <c r="D19" s="584"/>
      <c r="E19" s="584"/>
      <c r="F19" s="584"/>
      <c r="G19" s="581"/>
    </row>
    <row r="20" spans="1:7" ht="15" customHeight="1" x14ac:dyDescent="0.35">
      <c r="A20" s="653" t="s">
        <v>498</v>
      </c>
      <c r="B20" s="653"/>
      <c r="C20" s="584"/>
      <c r="D20" s="584"/>
      <c r="E20" s="584"/>
      <c r="F20" s="584"/>
      <c r="G20" s="581"/>
    </row>
    <row r="21" spans="1:7" x14ac:dyDescent="0.35">
      <c r="A21" s="653" t="s">
        <v>499</v>
      </c>
      <c r="B21" s="653"/>
      <c r="C21" s="584"/>
      <c r="D21" s="584"/>
      <c r="E21" s="584"/>
      <c r="F21" s="584"/>
      <c r="G21" s="581"/>
    </row>
    <row r="22" spans="1:7" x14ac:dyDescent="0.35">
      <c r="A22" s="585" t="s">
        <v>189</v>
      </c>
      <c r="B22" s="585" t="s">
        <v>500</v>
      </c>
      <c r="C22" s="584"/>
      <c r="D22" s="584"/>
      <c r="E22" s="584"/>
      <c r="F22" s="584"/>
      <c r="G22" s="581"/>
    </row>
    <row r="23" spans="1:7" x14ac:dyDescent="0.35">
      <c r="A23" s="586" t="s">
        <v>501</v>
      </c>
      <c r="B23" s="589"/>
      <c r="C23" s="584"/>
      <c r="D23" s="584"/>
      <c r="E23" s="584"/>
      <c r="F23" s="584"/>
      <c r="G23" s="581"/>
    </row>
    <row r="24" spans="1:7" ht="16" x14ac:dyDescent="0.35">
      <c r="A24" s="586" t="s">
        <v>502</v>
      </c>
      <c r="B24" s="590">
        <v>17.899999999999999</v>
      </c>
      <c r="C24" s="584"/>
      <c r="D24" s="584"/>
      <c r="E24" s="584"/>
      <c r="F24" s="584"/>
      <c r="G24" s="581"/>
    </row>
    <row r="25" spans="1:7" ht="16" x14ac:dyDescent="0.35">
      <c r="A25" s="586" t="s">
        <v>503</v>
      </c>
      <c r="B25" s="590">
        <v>32.299999999999997</v>
      </c>
      <c r="C25" s="584"/>
      <c r="D25" s="584"/>
      <c r="E25" s="584"/>
      <c r="F25" s="584"/>
      <c r="G25" s="581"/>
    </row>
    <row r="26" spans="1:7" ht="16" x14ac:dyDescent="0.35">
      <c r="A26" s="586" t="s">
        <v>504</v>
      </c>
      <c r="B26" s="590">
        <v>19.600000000000001</v>
      </c>
      <c r="C26" s="584"/>
      <c r="D26" s="584"/>
      <c r="E26" s="584"/>
      <c r="F26" s="584"/>
      <c r="G26" s="581"/>
    </row>
    <row r="27" spans="1:7" x14ac:dyDescent="0.35">
      <c r="A27" s="586"/>
      <c r="B27" s="590"/>
      <c r="C27" s="584"/>
      <c r="D27" s="584"/>
      <c r="E27" s="584"/>
      <c r="F27" s="584"/>
      <c r="G27" s="581"/>
    </row>
    <row r="28" spans="1:7" ht="16" x14ac:dyDescent="0.35">
      <c r="A28" s="586" t="s">
        <v>505</v>
      </c>
      <c r="B28" s="590">
        <v>35.799999999999997</v>
      </c>
      <c r="C28" s="584"/>
      <c r="D28" s="584"/>
      <c r="E28" s="584"/>
      <c r="F28" s="584"/>
      <c r="G28" s="581"/>
    </row>
    <row r="29" spans="1:7" x14ac:dyDescent="0.35">
      <c r="A29" s="589"/>
      <c r="B29" s="590"/>
      <c r="C29" s="584"/>
      <c r="D29" s="584"/>
      <c r="E29" s="584"/>
      <c r="F29" s="584"/>
      <c r="G29" s="581"/>
    </row>
    <row r="30" spans="1:7" ht="16" x14ac:dyDescent="0.35">
      <c r="A30" s="586" t="s">
        <v>506</v>
      </c>
      <c r="B30" s="590"/>
      <c r="C30" s="584"/>
      <c r="D30" s="584"/>
      <c r="E30" s="584"/>
      <c r="F30" s="584"/>
      <c r="G30" s="581"/>
    </row>
    <row r="31" spans="1:7" x14ac:dyDescent="0.35">
      <c r="A31" s="586" t="s">
        <v>281</v>
      </c>
      <c r="B31" s="590">
        <v>33.5</v>
      </c>
      <c r="C31" s="584"/>
      <c r="D31" s="584"/>
      <c r="E31" s="584"/>
      <c r="F31" s="584"/>
      <c r="G31" s="581"/>
    </row>
    <row r="32" spans="1:7" x14ac:dyDescent="0.35">
      <c r="A32" s="586" t="s">
        <v>282</v>
      </c>
      <c r="B32" s="590">
        <v>36.5</v>
      </c>
      <c r="C32" s="584"/>
      <c r="D32" s="584"/>
      <c r="E32" s="584"/>
      <c r="F32" s="584"/>
      <c r="G32" s="581"/>
    </row>
    <row r="33" spans="1:7" x14ac:dyDescent="0.35">
      <c r="A33" s="586" t="s">
        <v>283</v>
      </c>
      <c r="B33" s="590">
        <v>63.3</v>
      </c>
      <c r="C33" s="584"/>
      <c r="D33" s="584"/>
      <c r="E33" s="584"/>
      <c r="F33" s="584"/>
      <c r="G33" s="581"/>
    </row>
    <row r="34" spans="1:7" x14ac:dyDescent="0.35">
      <c r="A34" s="586" t="s">
        <v>284</v>
      </c>
      <c r="B34" s="590">
        <v>53.5</v>
      </c>
      <c r="C34" s="584"/>
      <c r="D34" s="584"/>
      <c r="E34" s="584"/>
      <c r="F34" s="584"/>
      <c r="G34" s="581"/>
    </row>
    <row r="35" spans="1:7" x14ac:dyDescent="0.35">
      <c r="A35" s="591"/>
      <c r="B35" s="592"/>
      <c r="C35" s="584"/>
      <c r="D35" s="584"/>
      <c r="E35" s="584"/>
      <c r="F35" s="584"/>
      <c r="G35" s="581"/>
    </row>
    <row r="36" spans="1:7" ht="83.25" customHeight="1" x14ac:dyDescent="0.35">
      <c r="A36" s="654" t="s">
        <v>507</v>
      </c>
      <c r="B36" s="655"/>
      <c r="C36" s="584"/>
      <c r="D36" s="584"/>
      <c r="E36" s="584"/>
      <c r="F36" s="584"/>
      <c r="G36" s="581"/>
    </row>
    <row r="37" spans="1:7" ht="54" customHeight="1" x14ac:dyDescent="0.35">
      <c r="A37" s="654" t="s">
        <v>508</v>
      </c>
      <c r="B37" s="655"/>
      <c r="C37" s="584"/>
      <c r="D37" s="584"/>
      <c r="E37" s="584"/>
      <c r="F37" s="584"/>
      <c r="G37" s="581"/>
    </row>
    <row r="38" spans="1:7" ht="58.5" customHeight="1" x14ac:dyDescent="0.35">
      <c r="A38" s="654" t="s">
        <v>509</v>
      </c>
      <c r="B38" s="655"/>
      <c r="C38" s="584"/>
      <c r="D38" s="584"/>
      <c r="E38" s="584"/>
      <c r="F38" s="584"/>
      <c r="G38" s="581"/>
    </row>
    <row r="39" spans="1:7" ht="25.5" customHeight="1" x14ac:dyDescent="0.35">
      <c r="A39" s="656" t="s">
        <v>510</v>
      </c>
      <c r="B39" s="657"/>
      <c r="C39" s="584"/>
      <c r="D39" s="584"/>
      <c r="E39" s="584"/>
      <c r="F39" s="584"/>
      <c r="G39" s="581"/>
    </row>
    <row r="40" spans="1:7" ht="23.25" customHeight="1" x14ac:dyDescent="0.35">
      <c r="A40" s="658" t="s">
        <v>511</v>
      </c>
      <c r="B40" s="659"/>
      <c r="C40" s="584"/>
      <c r="D40" s="584"/>
      <c r="E40" s="584"/>
      <c r="F40" s="584"/>
      <c r="G40" s="581"/>
    </row>
    <row r="41" spans="1:7" x14ac:dyDescent="0.35">
      <c r="A41" s="42" t="s">
        <v>171</v>
      </c>
      <c r="B41" s="584"/>
      <c r="C41" s="584"/>
      <c r="D41" s="584"/>
      <c r="E41" s="584"/>
      <c r="F41" s="584"/>
      <c r="G41" s="581"/>
    </row>
    <row r="42" spans="1:7" x14ac:dyDescent="0.35">
      <c r="A42" s="583" t="s">
        <v>512</v>
      </c>
      <c r="B42" s="584"/>
      <c r="C42" s="584"/>
      <c r="D42" s="584"/>
      <c r="E42" s="584"/>
      <c r="F42" s="584"/>
      <c r="G42" s="581"/>
    </row>
    <row r="43" spans="1:7" x14ac:dyDescent="0.35">
      <c r="A43" s="593" t="s">
        <v>297</v>
      </c>
      <c r="B43" s="594" t="s">
        <v>513</v>
      </c>
      <c r="C43" s="584"/>
      <c r="D43" s="584"/>
      <c r="E43" s="584"/>
      <c r="F43" s="584"/>
      <c r="G43" s="581"/>
    </row>
    <row r="44" spans="1:7" ht="16" x14ac:dyDescent="0.35">
      <c r="A44" s="586" t="s">
        <v>514</v>
      </c>
      <c r="B44" s="595">
        <v>1.48</v>
      </c>
      <c r="C44" s="584"/>
      <c r="D44" s="584"/>
      <c r="E44" s="584"/>
      <c r="F44" s="584"/>
      <c r="G44" s="581"/>
    </row>
    <row r="45" spans="1:7" x14ac:dyDescent="0.35">
      <c r="A45" s="586" t="s">
        <v>515</v>
      </c>
      <c r="B45" s="595">
        <v>1.58</v>
      </c>
      <c r="C45" s="584"/>
      <c r="D45" s="584"/>
      <c r="E45" s="584"/>
      <c r="F45" s="584"/>
      <c r="G45" s="581"/>
    </row>
    <row r="46" spans="1:7" x14ac:dyDescent="0.35">
      <c r="A46" s="586" t="s">
        <v>516</v>
      </c>
      <c r="B46" s="595">
        <v>2.02</v>
      </c>
      <c r="C46" s="584"/>
      <c r="D46" s="584"/>
      <c r="E46" s="584"/>
      <c r="F46" s="584"/>
      <c r="G46" s="581"/>
    </row>
    <row r="47" spans="1:7" x14ac:dyDescent="0.35">
      <c r="A47" s="586" t="s">
        <v>517</v>
      </c>
      <c r="B47" s="595">
        <v>1.67</v>
      </c>
      <c r="C47" s="584"/>
      <c r="D47" s="584"/>
      <c r="E47" s="584"/>
      <c r="F47" s="584"/>
      <c r="G47" s="581"/>
    </row>
    <row r="48" spans="1:7" x14ac:dyDescent="0.35">
      <c r="A48" s="588"/>
      <c r="B48" s="596"/>
      <c r="C48" s="584"/>
      <c r="D48" s="584"/>
      <c r="E48" s="584"/>
      <c r="F48" s="584"/>
      <c r="G48" s="581"/>
    </row>
    <row r="49" spans="1:7" ht="45" customHeight="1" x14ac:dyDescent="0.35">
      <c r="A49" s="660" t="s">
        <v>518</v>
      </c>
      <c r="B49" s="661"/>
      <c r="C49" s="584"/>
      <c r="D49" s="584"/>
      <c r="E49" s="584"/>
      <c r="F49" s="584"/>
      <c r="G49" s="581"/>
    </row>
    <row r="50" spans="1:7" x14ac:dyDescent="0.35">
      <c r="A50" s="42" t="s">
        <v>171</v>
      </c>
      <c r="B50" s="584"/>
      <c r="C50" s="584"/>
      <c r="D50" s="584"/>
      <c r="E50" s="584"/>
      <c r="F50" s="584"/>
      <c r="G50" s="581"/>
    </row>
    <row r="51" spans="1:7" x14ac:dyDescent="0.35">
      <c r="A51" s="583" t="s">
        <v>519</v>
      </c>
      <c r="B51" s="584"/>
      <c r="C51" s="584"/>
      <c r="D51" s="584"/>
      <c r="E51" s="584"/>
      <c r="F51" s="584"/>
      <c r="G51" s="581"/>
    </row>
    <row r="52" spans="1:7" ht="30" customHeight="1" x14ac:dyDescent="0.35">
      <c r="A52" s="593" t="s">
        <v>297</v>
      </c>
      <c r="B52" s="594" t="s">
        <v>305</v>
      </c>
      <c r="C52" s="584"/>
      <c r="D52" s="584"/>
      <c r="E52" s="584"/>
      <c r="F52" s="584"/>
      <c r="G52" s="581"/>
    </row>
    <row r="53" spans="1:7" ht="16" x14ac:dyDescent="0.35">
      <c r="A53" s="586" t="s">
        <v>520</v>
      </c>
      <c r="B53" s="597">
        <v>0.52</v>
      </c>
      <c r="C53" s="584"/>
      <c r="D53" s="584"/>
      <c r="E53" s="584"/>
      <c r="F53" s="584"/>
      <c r="G53" s="581"/>
    </row>
    <row r="54" spans="1:7" ht="16" x14ac:dyDescent="0.35">
      <c r="A54" s="586" t="s">
        <v>521</v>
      </c>
      <c r="B54" s="597">
        <v>1.32</v>
      </c>
      <c r="C54" s="584"/>
      <c r="D54" s="584"/>
      <c r="E54" s="584"/>
      <c r="F54" s="584"/>
      <c r="G54" s="581"/>
    </row>
    <row r="55" spans="1:7" x14ac:dyDescent="0.35">
      <c r="A55" s="588"/>
      <c r="B55" s="596"/>
      <c r="C55" s="584"/>
      <c r="D55" s="584"/>
      <c r="E55" s="584"/>
      <c r="F55" s="584"/>
      <c r="G55" s="581"/>
    </row>
    <row r="56" spans="1:7" ht="68.25" customHeight="1" x14ac:dyDescent="0.35">
      <c r="A56" s="654" t="s">
        <v>522</v>
      </c>
      <c r="B56" s="655"/>
      <c r="C56" s="584"/>
      <c r="D56" s="584"/>
      <c r="E56" s="584"/>
      <c r="F56" s="584"/>
      <c r="G56" s="581"/>
    </row>
    <row r="57" spans="1:7" ht="72" customHeight="1" x14ac:dyDescent="0.35">
      <c r="A57" s="660" t="s">
        <v>523</v>
      </c>
      <c r="B57" s="661"/>
      <c r="C57" s="584"/>
      <c r="D57" s="584"/>
      <c r="E57" s="584"/>
      <c r="F57" s="584"/>
      <c r="G57" s="581"/>
    </row>
    <row r="58" spans="1:7" x14ac:dyDescent="0.35">
      <c r="A58" s="42" t="s">
        <v>171</v>
      </c>
      <c r="B58" s="584"/>
      <c r="C58" s="584"/>
      <c r="D58" s="584"/>
      <c r="E58" s="584"/>
      <c r="F58" s="584"/>
      <c r="G58" s="581"/>
    </row>
    <row r="59" spans="1:7" x14ac:dyDescent="0.35">
      <c r="A59" s="583" t="s">
        <v>524</v>
      </c>
      <c r="B59" s="584"/>
      <c r="C59" s="584"/>
      <c r="D59" s="584"/>
      <c r="E59" s="584"/>
      <c r="F59" s="584"/>
      <c r="G59" s="581"/>
    </row>
    <row r="60" spans="1:7" x14ac:dyDescent="0.35">
      <c r="A60" s="598"/>
      <c r="B60" s="662" t="s">
        <v>319</v>
      </c>
      <c r="C60" s="663"/>
      <c r="D60" s="664"/>
      <c r="E60" s="584"/>
      <c r="F60" s="584"/>
      <c r="G60" s="581"/>
    </row>
    <row r="61" spans="1:7" ht="17" x14ac:dyDescent="0.35">
      <c r="A61" s="598" t="s">
        <v>318</v>
      </c>
      <c r="B61" s="598" t="s">
        <v>525</v>
      </c>
      <c r="C61" s="598" t="s">
        <v>526</v>
      </c>
      <c r="D61" s="598" t="s">
        <v>527</v>
      </c>
      <c r="E61" s="584"/>
      <c r="F61" s="584"/>
      <c r="G61" s="581"/>
    </row>
    <row r="62" spans="1:7" x14ac:dyDescent="0.35">
      <c r="A62" s="599" t="s">
        <v>320</v>
      </c>
      <c r="B62" s="599"/>
      <c r="C62" s="599"/>
      <c r="D62" s="600"/>
      <c r="E62" s="584"/>
      <c r="F62" s="584"/>
      <c r="G62" s="581"/>
    </row>
    <row r="63" spans="1:7" x14ac:dyDescent="0.35">
      <c r="A63" s="586" t="s">
        <v>321</v>
      </c>
      <c r="B63" s="601">
        <v>273</v>
      </c>
      <c r="C63" s="601">
        <v>749</v>
      </c>
      <c r="D63" s="601">
        <v>28</v>
      </c>
      <c r="E63" s="584"/>
      <c r="F63" s="584"/>
      <c r="G63" s="581"/>
    </row>
    <row r="64" spans="1:7" x14ac:dyDescent="0.35">
      <c r="A64" s="586" t="s">
        <v>322</v>
      </c>
      <c r="B64" s="601">
        <v>299</v>
      </c>
      <c r="C64" s="601">
        <v>102</v>
      </c>
      <c r="D64" s="601">
        <v>26</v>
      </c>
      <c r="E64" s="584"/>
      <c r="F64" s="584"/>
      <c r="G64" s="581"/>
    </row>
    <row r="65" spans="1:7" x14ac:dyDescent="0.35">
      <c r="A65" s="586" t="s">
        <v>323</v>
      </c>
      <c r="B65" s="601">
        <v>747</v>
      </c>
      <c r="C65" s="601">
        <v>102</v>
      </c>
      <c r="D65" s="601">
        <v>26</v>
      </c>
      <c r="E65" s="584"/>
      <c r="F65" s="584"/>
      <c r="G65" s="581"/>
    </row>
    <row r="66" spans="1:7" x14ac:dyDescent="0.35">
      <c r="A66" s="586" t="s">
        <v>324</v>
      </c>
      <c r="B66" s="601">
        <v>331</v>
      </c>
      <c r="C66" s="601">
        <v>102</v>
      </c>
      <c r="D66" s="601">
        <v>26</v>
      </c>
      <c r="E66" s="584"/>
      <c r="F66" s="584"/>
      <c r="G66" s="581"/>
    </row>
    <row r="67" spans="1:7" x14ac:dyDescent="0.35">
      <c r="A67" s="599" t="s">
        <v>325</v>
      </c>
      <c r="B67" s="599"/>
      <c r="C67" s="599"/>
      <c r="D67" s="602"/>
      <c r="E67" s="584"/>
      <c r="F67" s="584"/>
      <c r="G67" s="581"/>
    </row>
    <row r="68" spans="1:7" x14ac:dyDescent="0.35">
      <c r="A68" s="586" t="s">
        <v>321</v>
      </c>
      <c r="B68" s="601">
        <v>799</v>
      </c>
      <c r="C68" s="601">
        <v>2202</v>
      </c>
      <c r="D68" s="601">
        <v>280</v>
      </c>
      <c r="E68" s="584"/>
      <c r="F68" s="584"/>
      <c r="G68" s="581"/>
    </row>
    <row r="69" spans="1:7" x14ac:dyDescent="0.35">
      <c r="A69" s="586" t="s">
        <v>322</v>
      </c>
      <c r="B69" s="601">
        <v>778</v>
      </c>
      <c r="C69" s="601">
        <v>727</v>
      </c>
      <c r="D69" s="601">
        <v>218</v>
      </c>
      <c r="E69" s="584"/>
      <c r="F69" s="584"/>
      <c r="G69" s="581"/>
    </row>
    <row r="70" spans="1:7" x14ac:dyDescent="0.35">
      <c r="A70" s="586" t="s">
        <v>323</v>
      </c>
      <c r="B70" s="601">
        <v>1226</v>
      </c>
      <c r="C70" s="601">
        <v>727</v>
      </c>
      <c r="D70" s="601">
        <v>218</v>
      </c>
      <c r="E70" s="584"/>
      <c r="F70" s="584"/>
      <c r="G70" s="581"/>
    </row>
    <row r="71" spans="1:7" x14ac:dyDescent="0.35">
      <c r="A71" s="586" t="s">
        <v>324</v>
      </c>
      <c r="B71" s="601">
        <v>810</v>
      </c>
      <c r="C71" s="601">
        <v>727</v>
      </c>
      <c r="D71" s="601">
        <v>218</v>
      </c>
      <c r="E71" s="584"/>
      <c r="F71" s="584"/>
      <c r="G71" s="581"/>
    </row>
    <row r="72" spans="1:7" x14ac:dyDescent="0.35">
      <c r="A72" s="599" t="s">
        <v>382</v>
      </c>
      <c r="B72" s="599"/>
      <c r="C72" s="599"/>
      <c r="D72" s="603"/>
      <c r="E72" s="584"/>
      <c r="F72" s="584"/>
      <c r="G72" s="581"/>
    </row>
    <row r="73" spans="1:7" x14ac:dyDescent="0.35">
      <c r="A73" s="586" t="s">
        <v>383</v>
      </c>
      <c r="B73" s="590">
        <v>1.03</v>
      </c>
      <c r="C73" s="604" t="s">
        <v>309</v>
      </c>
      <c r="D73" s="604" t="s">
        <v>309</v>
      </c>
      <c r="E73" s="584"/>
      <c r="F73" s="584"/>
      <c r="G73" s="581"/>
    </row>
    <row r="74" spans="1:7" ht="28" customHeight="1" x14ac:dyDescent="0.35">
      <c r="A74" s="651" t="s">
        <v>528</v>
      </c>
      <c r="B74" s="651"/>
      <c r="C74" s="651"/>
      <c r="D74" s="652"/>
      <c r="E74" s="584"/>
      <c r="F74" s="584"/>
      <c r="G74" s="581"/>
    </row>
    <row r="75" spans="1:7" ht="57.65" customHeight="1" x14ac:dyDescent="0.35">
      <c r="A75" s="667" t="s">
        <v>529</v>
      </c>
      <c r="B75" s="667"/>
      <c r="C75" s="667"/>
      <c r="D75" s="668"/>
      <c r="E75" s="584"/>
      <c r="F75" s="584"/>
      <c r="G75" s="581"/>
    </row>
    <row r="76" spans="1:7" x14ac:dyDescent="0.35">
      <c r="A76" s="42" t="s">
        <v>171</v>
      </c>
      <c r="B76" s="584"/>
      <c r="C76" s="584"/>
      <c r="D76" s="584"/>
      <c r="E76" s="584"/>
      <c r="F76" s="584"/>
      <c r="G76" s="581"/>
    </row>
    <row r="77" spans="1:7" x14ac:dyDescent="0.35">
      <c r="A77" s="583" t="s">
        <v>530</v>
      </c>
      <c r="B77" s="584"/>
      <c r="C77" s="584"/>
      <c r="D77" s="584"/>
      <c r="E77" s="584"/>
      <c r="F77" s="584"/>
      <c r="G77" s="581"/>
    </row>
    <row r="78" spans="1:7" ht="28" x14ac:dyDescent="0.35">
      <c r="A78" s="598" t="s">
        <v>350</v>
      </c>
      <c r="B78" s="594" t="s">
        <v>531</v>
      </c>
      <c r="C78" s="594" t="s">
        <v>532</v>
      </c>
      <c r="D78" s="594" t="s">
        <v>533</v>
      </c>
      <c r="E78" s="594" t="s">
        <v>534</v>
      </c>
      <c r="F78" s="594" t="s">
        <v>535</v>
      </c>
      <c r="G78" s="594" t="s">
        <v>536</v>
      </c>
    </row>
    <row r="79" spans="1:7" x14ac:dyDescent="0.35">
      <c r="A79" s="586">
        <v>2023</v>
      </c>
      <c r="B79" s="587">
        <v>19800</v>
      </c>
      <c r="C79" s="587">
        <v>52900</v>
      </c>
      <c r="D79" s="587">
        <v>951000</v>
      </c>
      <c r="E79" s="587">
        <v>228.37600706009624</v>
      </c>
      <c r="F79" s="587">
        <v>769000</v>
      </c>
      <c r="G79" s="587">
        <f>F79*'Parameter Values'!$B$135</f>
        <v>822830</v>
      </c>
    </row>
    <row r="80" spans="1:7" x14ac:dyDescent="0.35">
      <c r="A80" s="586">
        <v>2024</v>
      </c>
      <c r="B80" s="587">
        <v>20100</v>
      </c>
      <c r="C80" s="587">
        <v>53800</v>
      </c>
      <c r="D80" s="587">
        <v>963200</v>
      </c>
      <c r="E80" s="587">
        <v>232.85396798284322</v>
      </c>
      <c r="F80" s="587">
        <v>782700</v>
      </c>
      <c r="G80" s="587">
        <f>F80*'Parameter Values'!$B$135</f>
        <v>837489</v>
      </c>
    </row>
    <row r="81" spans="1:7" x14ac:dyDescent="0.35">
      <c r="A81" s="586">
        <v>2025</v>
      </c>
      <c r="B81" s="587">
        <v>20300</v>
      </c>
      <c r="C81" s="587">
        <v>54800</v>
      </c>
      <c r="D81" s="587">
        <v>975500</v>
      </c>
      <c r="E81" s="587">
        <v>237.33192890559022</v>
      </c>
      <c r="F81" s="587">
        <v>796600</v>
      </c>
      <c r="G81" s="587">
        <f>F81*'Parameter Values'!$B$135</f>
        <v>852362</v>
      </c>
    </row>
    <row r="82" spans="1:7" x14ac:dyDescent="0.35">
      <c r="A82" s="586">
        <v>2026</v>
      </c>
      <c r="B82" s="587">
        <v>20600</v>
      </c>
      <c r="C82" s="587">
        <v>56100</v>
      </c>
      <c r="D82" s="587">
        <v>993500</v>
      </c>
      <c r="E82" s="587">
        <v>240.69039959765044</v>
      </c>
      <c r="F82" s="587">
        <v>807500</v>
      </c>
      <c r="G82" s="587">
        <f>F82*'Parameter Values'!$B$135</f>
        <v>864025</v>
      </c>
    </row>
    <row r="83" spans="1:7" x14ac:dyDescent="0.35">
      <c r="A83" s="586">
        <v>2027</v>
      </c>
      <c r="B83" s="587">
        <v>21000</v>
      </c>
      <c r="C83" s="587">
        <v>57400</v>
      </c>
      <c r="D83" s="587">
        <v>1011900</v>
      </c>
      <c r="E83" s="587">
        <v>245.16836052039741</v>
      </c>
      <c r="F83" s="587">
        <v>818600</v>
      </c>
      <c r="G83" s="587">
        <f>F83*'Parameter Values'!$B$135</f>
        <v>875902</v>
      </c>
    </row>
    <row r="84" spans="1:7" x14ac:dyDescent="0.35">
      <c r="A84" s="586">
        <v>2028</v>
      </c>
      <c r="B84" s="587">
        <v>21300</v>
      </c>
      <c r="C84" s="587">
        <v>58700</v>
      </c>
      <c r="D84" s="587">
        <v>1030600</v>
      </c>
      <c r="E84" s="587">
        <v>249.64632144314442</v>
      </c>
      <c r="F84" s="587">
        <v>829800</v>
      </c>
      <c r="G84" s="587">
        <f>F84*'Parameter Values'!$B$135</f>
        <v>887886</v>
      </c>
    </row>
    <row r="85" spans="1:7" x14ac:dyDescent="0.35">
      <c r="A85" s="586">
        <v>2029</v>
      </c>
      <c r="B85" s="587">
        <v>21700</v>
      </c>
      <c r="C85" s="587">
        <v>60100</v>
      </c>
      <c r="D85" s="587">
        <v>1049600</v>
      </c>
      <c r="E85" s="587">
        <v>253.00479213520464</v>
      </c>
      <c r="F85" s="587">
        <v>841200</v>
      </c>
      <c r="G85" s="587">
        <f>F85*'Parameter Values'!$B$135</f>
        <v>900084</v>
      </c>
    </row>
    <row r="86" spans="1:7" x14ac:dyDescent="0.35">
      <c r="A86" s="586">
        <v>2030</v>
      </c>
      <c r="B86" s="587">
        <v>22000</v>
      </c>
      <c r="C86" s="587">
        <v>61500</v>
      </c>
      <c r="D86" s="587">
        <v>1069000</v>
      </c>
      <c r="E86" s="587">
        <v>257.48275305795164</v>
      </c>
      <c r="F86" s="587">
        <v>852700</v>
      </c>
      <c r="G86" s="587">
        <f>F86*'Parameter Values'!$B$135</f>
        <v>912389</v>
      </c>
    </row>
    <row r="87" spans="1:7" x14ac:dyDescent="0.35">
      <c r="A87" s="586">
        <v>2031</v>
      </c>
      <c r="B87" s="587">
        <v>22000</v>
      </c>
      <c r="C87" s="587">
        <v>61500</v>
      </c>
      <c r="D87" s="587">
        <v>1069000</v>
      </c>
      <c r="E87" s="587">
        <v>261.96071398069864</v>
      </c>
      <c r="F87" s="587">
        <v>852700</v>
      </c>
      <c r="G87" s="587">
        <f>F87*'Parameter Values'!$B$135</f>
        <v>912389</v>
      </c>
    </row>
    <row r="88" spans="1:7" x14ac:dyDescent="0.35">
      <c r="A88" s="586">
        <v>2032</v>
      </c>
      <c r="B88" s="587">
        <v>22000</v>
      </c>
      <c r="C88" s="587">
        <v>61500</v>
      </c>
      <c r="D88" s="587">
        <v>1069000</v>
      </c>
      <c r="E88" s="587">
        <v>265.31918467275887</v>
      </c>
      <c r="F88" s="587">
        <v>852700</v>
      </c>
      <c r="G88" s="587">
        <f>F88*'Parameter Values'!$B$135</f>
        <v>912389</v>
      </c>
    </row>
    <row r="89" spans="1:7" x14ac:dyDescent="0.35">
      <c r="A89" s="586">
        <v>2033</v>
      </c>
      <c r="B89" s="587">
        <v>22000</v>
      </c>
      <c r="C89" s="587">
        <v>61500</v>
      </c>
      <c r="D89" s="587">
        <v>1069000</v>
      </c>
      <c r="E89" s="587">
        <v>269.79714559550587</v>
      </c>
      <c r="F89" s="587">
        <v>852700</v>
      </c>
      <c r="G89" s="587">
        <f>F89*'Parameter Values'!$B$135</f>
        <v>912389</v>
      </c>
    </row>
    <row r="90" spans="1:7" x14ac:dyDescent="0.35">
      <c r="A90" s="586">
        <v>2034</v>
      </c>
      <c r="B90" s="587">
        <v>22000</v>
      </c>
      <c r="C90" s="587">
        <v>61500</v>
      </c>
      <c r="D90" s="587">
        <v>1069000</v>
      </c>
      <c r="E90" s="587">
        <v>274.27510651825281</v>
      </c>
      <c r="F90" s="587">
        <v>852700</v>
      </c>
      <c r="G90" s="587">
        <f>F90*'Parameter Values'!$B$135</f>
        <v>912389</v>
      </c>
    </row>
    <row r="91" spans="1:7" x14ac:dyDescent="0.35">
      <c r="A91" s="586">
        <v>2035</v>
      </c>
      <c r="B91" s="587">
        <v>22000</v>
      </c>
      <c r="C91" s="587">
        <v>61500</v>
      </c>
      <c r="D91" s="587">
        <v>1069000</v>
      </c>
      <c r="E91" s="587">
        <v>277.63357721031309</v>
      </c>
      <c r="F91" s="587">
        <v>852700</v>
      </c>
      <c r="G91" s="587">
        <f>F91*'Parameter Values'!$B$135</f>
        <v>912389</v>
      </c>
    </row>
    <row r="92" spans="1:7" x14ac:dyDescent="0.35">
      <c r="A92" s="586">
        <v>2036</v>
      </c>
      <c r="B92" s="587">
        <v>22000</v>
      </c>
      <c r="C92" s="587">
        <v>61500</v>
      </c>
      <c r="D92" s="587">
        <v>1069000</v>
      </c>
      <c r="E92" s="587">
        <v>282.11153813306004</v>
      </c>
      <c r="F92" s="587">
        <v>852700</v>
      </c>
      <c r="G92" s="587">
        <f>F92*'Parameter Values'!$B$135</f>
        <v>912389</v>
      </c>
    </row>
    <row r="93" spans="1:7" x14ac:dyDescent="0.35">
      <c r="A93" s="586">
        <v>2037</v>
      </c>
      <c r="B93" s="587">
        <v>22000</v>
      </c>
      <c r="C93" s="587">
        <v>61500</v>
      </c>
      <c r="D93" s="587">
        <v>1069000</v>
      </c>
      <c r="E93" s="587">
        <v>286.58949905580704</v>
      </c>
      <c r="F93" s="587">
        <v>852700</v>
      </c>
      <c r="G93" s="587">
        <f>F93*'Parameter Values'!$B$135</f>
        <v>912389</v>
      </c>
    </row>
    <row r="94" spans="1:7" x14ac:dyDescent="0.35">
      <c r="A94" s="586">
        <v>2038</v>
      </c>
      <c r="B94" s="587">
        <v>22000</v>
      </c>
      <c r="C94" s="587">
        <v>61500</v>
      </c>
      <c r="D94" s="587">
        <v>1069000</v>
      </c>
      <c r="E94" s="587">
        <v>289.94796974786726</v>
      </c>
      <c r="F94" s="587">
        <v>852700</v>
      </c>
      <c r="G94" s="587">
        <f>F94*'Parameter Values'!$B$135</f>
        <v>912389</v>
      </c>
    </row>
    <row r="95" spans="1:7" x14ac:dyDescent="0.35">
      <c r="A95" s="586">
        <v>2039</v>
      </c>
      <c r="B95" s="587">
        <v>22000</v>
      </c>
      <c r="C95" s="587">
        <v>61500</v>
      </c>
      <c r="D95" s="587">
        <v>1069000</v>
      </c>
      <c r="E95" s="587">
        <v>294.42593067061426</v>
      </c>
      <c r="F95" s="587">
        <v>852700</v>
      </c>
      <c r="G95" s="587">
        <f>F95*'Parameter Values'!$B$135</f>
        <v>912389</v>
      </c>
    </row>
    <row r="96" spans="1:7" x14ac:dyDescent="0.35">
      <c r="A96" s="586">
        <v>2040</v>
      </c>
      <c r="B96" s="587">
        <v>22000</v>
      </c>
      <c r="C96" s="587">
        <v>61500</v>
      </c>
      <c r="D96" s="587">
        <v>1069000</v>
      </c>
      <c r="E96" s="587">
        <v>298.90389159336127</v>
      </c>
      <c r="F96" s="587">
        <v>852700</v>
      </c>
      <c r="G96" s="587">
        <f>F96*'Parameter Values'!$B$135</f>
        <v>912389</v>
      </c>
    </row>
    <row r="97" spans="1:7" x14ac:dyDescent="0.35">
      <c r="A97" s="586">
        <v>2041</v>
      </c>
      <c r="B97" s="587">
        <v>22000</v>
      </c>
      <c r="C97" s="587">
        <v>61500</v>
      </c>
      <c r="D97" s="587">
        <v>1069000</v>
      </c>
      <c r="E97" s="587">
        <v>303.38185251610821</v>
      </c>
      <c r="F97" s="587">
        <v>852700</v>
      </c>
      <c r="G97" s="587">
        <f>F97*'Parameter Values'!$B$135</f>
        <v>912389</v>
      </c>
    </row>
    <row r="98" spans="1:7" x14ac:dyDescent="0.35">
      <c r="A98" s="586">
        <v>2042</v>
      </c>
      <c r="B98" s="587">
        <v>22000</v>
      </c>
      <c r="C98" s="587">
        <v>61500</v>
      </c>
      <c r="D98" s="587">
        <v>1069000</v>
      </c>
      <c r="E98" s="587">
        <v>307.85981343885521</v>
      </c>
      <c r="F98" s="587">
        <v>852700</v>
      </c>
      <c r="G98" s="587">
        <f>F98*'Parameter Values'!$B$135</f>
        <v>912389</v>
      </c>
    </row>
    <row r="99" spans="1:7" x14ac:dyDescent="0.35">
      <c r="A99" s="586">
        <v>2043</v>
      </c>
      <c r="B99" s="587">
        <v>22000</v>
      </c>
      <c r="C99" s="587">
        <v>61500</v>
      </c>
      <c r="D99" s="587">
        <v>1069000</v>
      </c>
      <c r="E99" s="587">
        <v>312.33777436160221</v>
      </c>
      <c r="F99" s="587">
        <v>852700</v>
      </c>
      <c r="G99" s="587">
        <f>F99*'Parameter Values'!$B$135</f>
        <v>912389</v>
      </c>
    </row>
    <row r="100" spans="1:7" x14ac:dyDescent="0.35">
      <c r="A100" s="586">
        <v>2044</v>
      </c>
      <c r="B100" s="587">
        <v>22000</v>
      </c>
      <c r="C100" s="587">
        <v>61500</v>
      </c>
      <c r="D100" s="587">
        <v>1069000</v>
      </c>
      <c r="E100" s="587">
        <v>316.81573528434916</v>
      </c>
      <c r="F100" s="587">
        <v>852700</v>
      </c>
      <c r="G100" s="587">
        <f>F100*'Parameter Values'!$B$135</f>
        <v>912389</v>
      </c>
    </row>
    <row r="101" spans="1:7" x14ac:dyDescent="0.35">
      <c r="A101" s="586">
        <v>2045</v>
      </c>
      <c r="B101" s="587">
        <v>22000</v>
      </c>
      <c r="C101" s="587">
        <v>61500</v>
      </c>
      <c r="D101" s="587">
        <v>1069000</v>
      </c>
      <c r="E101" s="587">
        <v>321.29369620709616</v>
      </c>
      <c r="F101" s="587">
        <v>852700</v>
      </c>
      <c r="G101" s="587">
        <f>F101*'Parameter Values'!$B$135</f>
        <v>912389</v>
      </c>
    </row>
    <row r="102" spans="1:7" x14ac:dyDescent="0.35">
      <c r="A102" s="586">
        <v>2046</v>
      </c>
      <c r="B102" s="587">
        <v>22000</v>
      </c>
      <c r="C102" s="587">
        <v>61500</v>
      </c>
      <c r="D102" s="587">
        <v>1069000</v>
      </c>
      <c r="E102" s="587">
        <v>325.77165712984316</v>
      </c>
      <c r="F102" s="587">
        <v>852700</v>
      </c>
      <c r="G102" s="587">
        <f>F102*'Parameter Values'!$B$135</f>
        <v>912389</v>
      </c>
    </row>
    <row r="103" spans="1:7" x14ac:dyDescent="0.35">
      <c r="A103" s="586">
        <v>2047</v>
      </c>
      <c r="B103" s="587">
        <v>22000</v>
      </c>
      <c r="C103" s="587">
        <v>61500</v>
      </c>
      <c r="D103" s="587">
        <v>1069000</v>
      </c>
      <c r="E103" s="587">
        <v>331.36910828327689</v>
      </c>
      <c r="F103" s="587">
        <v>852700</v>
      </c>
      <c r="G103" s="587">
        <f>F103*'Parameter Values'!$B$135</f>
        <v>912389</v>
      </c>
    </row>
    <row r="104" spans="1:7" x14ac:dyDescent="0.35">
      <c r="A104" s="586">
        <v>2048</v>
      </c>
      <c r="B104" s="587">
        <v>22000</v>
      </c>
      <c r="C104" s="587">
        <v>61500</v>
      </c>
      <c r="D104" s="587">
        <v>1069000</v>
      </c>
      <c r="E104" s="587">
        <v>335.84706920602389</v>
      </c>
      <c r="F104" s="587">
        <v>852700</v>
      </c>
      <c r="G104" s="587">
        <f>F104*'Parameter Values'!$B$135</f>
        <v>912389</v>
      </c>
    </row>
    <row r="105" spans="1:7" x14ac:dyDescent="0.35">
      <c r="A105" s="586">
        <v>2049</v>
      </c>
      <c r="B105" s="587">
        <v>22000</v>
      </c>
      <c r="C105" s="587">
        <v>61500</v>
      </c>
      <c r="D105" s="587">
        <v>1069000</v>
      </c>
      <c r="E105" s="587">
        <v>340.32503012877083</v>
      </c>
      <c r="F105" s="587">
        <v>852700</v>
      </c>
      <c r="G105" s="587">
        <f>F105*'Parameter Values'!$B$135</f>
        <v>912389</v>
      </c>
    </row>
    <row r="106" spans="1:7" x14ac:dyDescent="0.35">
      <c r="A106" s="586">
        <v>2050</v>
      </c>
      <c r="B106" s="587">
        <v>22000</v>
      </c>
      <c r="C106" s="587">
        <v>61500</v>
      </c>
      <c r="D106" s="587">
        <v>1069000</v>
      </c>
      <c r="E106" s="587">
        <v>344.80299105151784</v>
      </c>
      <c r="F106" s="587">
        <v>852700</v>
      </c>
      <c r="G106" s="587">
        <f>F106*'Parameter Values'!$B$135</f>
        <v>912389</v>
      </c>
    </row>
    <row r="107" spans="1:7" x14ac:dyDescent="0.35">
      <c r="A107" s="586">
        <v>2051</v>
      </c>
      <c r="B107" s="587">
        <v>22000</v>
      </c>
      <c r="C107" s="587">
        <v>61500</v>
      </c>
      <c r="D107" s="587">
        <v>1069000</v>
      </c>
      <c r="E107" s="587">
        <v>349.28095197426484</v>
      </c>
      <c r="F107" s="587">
        <v>852700</v>
      </c>
      <c r="G107" s="587">
        <f>F107*'Parameter Values'!$B$135</f>
        <v>912389</v>
      </c>
    </row>
    <row r="108" spans="1:7" x14ac:dyDescent="0.35">
      <c r="A108" s="586">
        <v>2052</v>
      </c>
      <c r="B108" s="587">
        <v>22000</v>
      </c>
      <c r="C108" s="587">
        <v>61500</v>
      </c>
      <c r="D108" s="587">
        <v>1069000</v>
      </c>
      <c r="E108" s="587">
        <v>352.63942266632506</v>
      </c>
      <c r="F108" s="587">
        <v>852700</v>
      </c>
      <c r="G108" s="587">
        <f>F108*'Parameter Values'!$B$135</f>
        <v>912389</v>
      </c>
    </row>
    <row r="109" spans="1:7" x14ac:dyDescent="0.35">
      <c r="A109" s="586">
        <v>2053</v>
      </c>
      <c r="B109" s="587">
        <v>22000</v>
      </c>
      <c r="C109" s="587">
        <v>61500</v>
      </c>
      <c r="D109" s="587">
        <v>1069000</v>
      </c>
      <c r="E109" s="587">
        <v>357.11738358907206</v>
      </c>
      <c r="F109" s="587">
        <v>852700</v>
      </c>
      <c r="G109" s="587">
        <f>F109*'Parameter Values'!$B$135</f>
        <v>912389</v>
      </c>
    </row>
    <row r="110" spans="1:7" x14ac:dyDescent="0.35">
      <c r="A110" s="605"/>
      <c r="B110" s="606"/>
      <c r="C110" s="606"/>
      <c r="D110" s="606"/>
      <c r="E110" s="607"/>
      <c r="G110" s="581"/>
    </row>
    <row r="111" spans="1:7" x14ac:dyDescent="0.35">
      <c r="A111" s="669" t="s">
        <v>537</v>
      </c>
      <c r="B111" s="670"/>
      <c r="C111" s="670"/>
      <c r="D111" s="670"/>
      <c r="E111" s="671"/>
      <c r="G111" s="581"/>
    </row>
    <row r="112" spans="1:7" ht="17" x14ac:dyDescent="0.35">
      <c r="A112" s="672" t="s">
        <v>538</v>
      </c>
      <c r="B112" s="673"/>
      <c r="C112" s="673"/>
      <c r="D112" s="673"/>
      <c r="E112" s="674"/>
      <c r="G112" s="581"/>
    </row>
    <row r="113" spans="1:7" ht="29.5" customHeight="1" x14ac:dyDescent="0.35">
      <c r="A113" s="660" t="s">
        <v>539</v>
      </c>
      <c r="B113" s="675"/>
      <c r="C113" s="675"/>
      <c r="D113" s="675"/>
      <c r="E113" s="661"/>
      <c r="G113" s="581"/>
    </row>
    <row r="114" spans="1:7" x14ac:dyDescent="0.35">
      <c r="A114" s="42" t="s">
        <v>171</v>
      </c>
      <c r="B114" s="584"/>
      <c r="C114" s="584"/>
      <c r="D114" s="584"/>
      <c r="E114" s="584"/>
      <c r="F114" s="584"/>
      <c r="G114" s="581"/>
    </row>
    <row r="115" spans="1:7" x14ac:dyDescent="0.35">
      <c r="A115" s="583" t="s">
        <v>540</v>
      </c>
      <c r="B115" s="584"/>
      <c r="C115" s="584"/>
      <c r="D115" s="584"/>
      <c r="E115" s="584"/>
      <c r="F115" s="608"/>
      <c r="G115" s="581"/>
    </row>
    <row r="116" spans="1:7" ht="34.5" customHeight="1" x14ac:dyDescent="0.35">
      <c r="A116" s="593" t="s">
        <v>541</v>
      </c>
      <c r="B116" s="594" t="s">
        <v>542</v>
      </c>
      <c r="C116" s="584"/>
      <c r="D116" s="584"/>
      <c r="E116" s="584"/>
      <c r="F116" s="584"/>
      <c r="G116" s="581"/>
    </row>
    <row r="117" spans="1:7" x14ac:dyDescent="0.35">
      <c r="A117" s="609">
        <v>2003</v>
      </c>
      <c r="B117" s="595">
        <v>1.53</v>
      </c>
      <c r="C117" s="584"/>
      <c r="D117" s="584"/>
      <c r="E117" s="584"/>
      <c r="F117" s="584"/>
      <c r="G117" s="581"/>
    </row>
    <row r="118" spans="1:7" x14ac:dyDescent="0.35">
      <c r="A118" s="609">
        <v>2004</v>
      </c>
      <c r="B118" s="595">
        <v>1.49</v>
      </c>
      <c r="C118" s="584"/>
      <c r="D118" s="584"/>
      <c r="E118" s="584"/>
      <c r="F118" s="584"/>
      <c r="G118" s="581"/>
    </row>
    <row r="119" spans="1:7" x14ac:dyDescent="0.35">
      <c r="A119" s="609">
        <v>2005</v>
      </c>
      <c r="B119" s="595">
        <v>1.45</v>
      </c>
      <c r="C119" s="584"/>
      <c r="D119" s="584"/>
      <c r="E119" s="584"/>
      <c r="F119" s="584"/>
      <c r="G119" s="581"/>
    </row>
    <row r="120" spans="1:7" x14ac:dyDescent="0.35">
      <c r="A120" s="609">
        <v>2006</v>
      </c>
      <c r="B120" s="595">
        <v>1.4</v>
      </c>
      <c r="C120" s="584"/>
      <c r="D120" s="584"/>
      <c r="E120" s="584"/>
      <c r="F120" s="584"/>
      <c r="G120" s="581"/>
    </row>
    <row r="121" spans="1:7" x14ac:dyDescent="0.35">
      <c r="A121" s="609">
        <v>2007</v>
      </c>
      <c r="B121" s="595">
        <v>1.37</v>
      </c>
      <c r="C121" s="584"/>
      <c r="D121" s="584"/>
      <c r="E121" s="584"/>
      <c r="F121" s="584"/>
      <c r="G121" s="581"/>
    </row>
    <row r="122" spans="1:7" x14ac:dyDescent="0.35">
      <c r="A122" s="609">
        <v>2008</v>
      </c>
      <c r="B122" s="595">
        <v>1.34</v>
      </c>
      <c r="C122" s="584"/>
      <c r="D122" s="584"/>
      <c r="E122" s="584"/>
      <c r="F122" s="584"/>
      <c r="G122" s="581"/>
    </row>
    <row r="123" spans="1:7" x14ac:dyDescent="0.35">
      <c r="A123" s="609">
        <v>2009</v>
      </c>
      <c r="B123" s="595">
        <v>1.33</v>
      </c>
      <c r="C123" s="584"/>
      <c r="D123" s="584"/>
      <c r="E123" s="584"/>
      <c r="F123" s="584"/>
      <c r="G123" s="581"/>
    </row>
    <row r="124" spans="1:7" x14ac:dyDescent="0.35">
      <c r="A124" s="609">
        <v>2010</v>
      </c>
      <c r="B124" s="595">
        <v>1.32</v>
      </c>
      <c r="C124" s="584"/>
      <c r="D124" s="584"/>
      <c r="E124" s="584"/>
      <c r="F124" s="584"/>
      <c r="G124" s="581"/>
    </row>
    <row r="125" spans="1:7" x14ac:dyDescent="0.35">
      <c r="A125" s="609">
        <v>2011</v>
      </c>
      <c r="B125" s="595">
        <v>1.29</v>
      </c>
      <c r="C125" s="584"/>
      <c r="D125" s="584"/>
      <c r="E125" s="584"/>
      <c r="F125" s="584"/>
      <c r="G125" s="581"/>
    </row>
    <row r="126" spans="1:7" x14ac:dyDescent="0.35">
      <c r="A126" s="609">
        <v>2012</v>
      </c>
      <c r="B126" s="595">
        <v>1.27</v>
      </c>
      <c r="C126" s="584"/>
      <c r="D126" s="584"/>
      <c r="E126" s="584"/>
      <c r="F126" s="584"/>
      <c r="G126" s="581"/>
    </row>
    <row r="127" spans="1:7" x14ac:dyDescent="0.35">
      <c r="A127" s="609">
        <v>2013</v>
      </c>
      <c r="B127" s="595">
        <v>1.24</v>
      </c>
      <c r="C127" s="584"/>
      <c r="D127" s="584"/>
      <c r="E127" s="584"/>
      <c r="F127" s="584"/>
      <c r="G127" s="581"/>
    </row>
    <row r="128" spans="1:7" x14ac:dyDescent="0.35">
      <c r="A128" s="609">
        <v>2014</v>
      </c>
      <c r="B128" s="595">
        <v>1.22</v>
      </c>
      <c r="C128" s="584"/>
      <c r="D128" s="584"/>
      <c r="E128" s="584"/>
      <c r="F128" s="584"/>
      <c r="G128" s="581"/>
    </row>
    <row r="129" spans="1:7" x14ac:dyDescent="0.35">
      <c r="A129" s="609">
        <v>2015</v>
      </c>
      <c r="B129" s="595">
        <v>1.21</v>
      </c>
      <c r="C129" s="584"/>
      <c r="D129" s="584"/>
      <c r="E129" s="584"/>
      <c r="F129" s="584"/>
      <c r="G129" s="581"/>
    </row>
    <row r="130" spans="1:7" x14ac:dyDescent="0.35">
      <c r="A130" s="609">
        <v>2016</v>
      </c>
      <c r="B130" s="595">
        <v>1.2</v>
      </c>
      <c r="C130" s="584"/>
      <c r="D130" s="584"/>
      <c r="E130" s="584"/>
      <c r="F130" s="584"/>
      <c r="G130" s="581"/>
    </row>
    <row r="131" spans="1:7" x14ac:dyDescent="0.35">
      <c r="A131" s="609">
        <v>2017</v>
      </c>
      <c r="B131" s="595">
        <v>1.18</v>
      </c>
      <c r="C131" s="584"/>
      <c r="D131" s="584"/>
      <c r="E131" s="584"/>
      <c r="F131" s="584"/>
      <c r="G131" s="581"/>
    </row>
    <row r="132" spans="1:7" x14ac:dyDescent="0.35">
      <c r="A132" s="609">
        <v>2018</v>
      </c>
      <c r="B132" s="595">
        <v>1.1499999999999999</v>
      </c>
      <c r="C132" s="584"/>
      <c r="D132" s="584"/>
      <c r="E132" s="584"/>
      <c r="F132" s="584"/>
      <c r="G132" s="581"/>
    </row>
    <row r="133" spans="1:7" x14ac:dyDescent="0.35">
      <c r="A133" s="609">
        <v>2019</v>
      </c>
      <c r="B133" s="595">
        <v>1.1299999999999999</v>
      </c>
      <c r="C133" s="584"/>
      <c r="D133" s="584"/>
      <c r="E133" s="584"/>
      <c r="F133" s="584"/>
      <c r="G133" s="581"/>
    </row>
    <row r="134" spans="1:7" x14ac:dyDescent="0.35">
      <c r="A134" s="609">
        <v>2020</v>
      </c>
      <c r="B134" s="595">
        <v>1.1200000000000001</v>
      </c>
      <c r="C134" s="584"/>
      <c r="D134" s="584"/>
      <c r="E134" s="584"/>
      <c r="F134" s="584"/>
      <c r="G134" s="581"/>
    </row>
    <row r="135" spans="1:7" x14ac:dyDescent="0.35">
      <c r="A135" s="609">
        <v>2021</v>
      </c>
      <c r="B135" s="595">
        <v>1.07</v>
      </c>
      <c r="C135" s="584"/>
      <c r="D135" s="584"/>
      <c r="E135" s="584"/>
      <c r="F135" s="584"/>
      <c r="G135" s="581"/>
    </row>
    <row r="136" spans="1:7" x14ac:dyDescent="0.35">
      <c r="A136" s="609">
        <v>2022</v>
      </c>
      <c r="B136" s="595">
        <v>1</v>
      </c>
      <c r="C136" s="584"/>
      <c r="D136" s="584"/>
      <c r="E136" s="584"/>
      <c r="F136" s="584"/>
      <c r="G136" s="581"/>
    </row>
    <row r="137" spans="1:7" x14ac:dyDescent="0.35">
      <c r="A137" s="610">
        <v>2023</v>
      </c>
      <c r="B137" s="584">
        <v>0.96</v>
      </c>
      <c r="C137" s="611" t="s">
        <v>543</v>
      </c>
      <c r="D137" s="584"/>
      <c r="E137" s="584"/>
      <c r="F137" s="584"/>
      <c r="G137" s="581"/>
    </row>
    <row r="138" spans="1:7" x14ac:dyDescent="0.35">
      <c r="A138" s="583" t="s">
        <v>544</v>
      </c>
      <c r="B138" s="584"/>
      <c r="C138" s="584"/>
      <c r="D138" s="584"/>
      <c r="E138" s="584"/>
      <c r="F138" s="584"/>
      <c r="G138" s="581"/>
    </row>
    <row r="139" spans="1:7" ht="51.75" customHeight="1" x14ac:dyDescent="0.35">
      <c r="A139" s="593" t="s">
        <v>251</v>
      </c>
      <c r="B139" s="594" t="s">
        <v>545</v>
      </c>
      <c r="C139" s="584"/>
      <c r="D139" s="584"/>
      <c r="E139" s="584"/>
      <c r="F139" s="584"/>
      <c r="G139" s="581"/>
    </row>
    <row r="140" spans="1:7" ht="16" x14ac:dyDescent="0.35">
      <c r="A140" s="612" t="s">
        <v>546</v>
      </c>
      <c r="B140" s="590">
        <v>0.11</v>
      </c>
      <c r="C140" s="584"/>
      <c r="D140" s="584"/>
      <c r="E140" s="584"/>
      <c r="F140" s="584"/>
      <c r="G140" s="581"/>
    </row>
    <row r="141" spans="1:7" x14ac:dyDescent="0.35">
      <c r="A141" s="612" t="s">
        <v>547</v>
      </c>
      <c r="B141" s="590">
        <v>1.1100000000000001</v>
      </c>
      <c r="C141" s="584"/>
      <c r="D141" s="584"/>
      <c r="E141" s="584"/>
      <c r="F141" s="584"/>
      <c r="G141" s="581"/>
    </row>
    <row r="142" spans="1:7" x14ac:dyDescent="0.35">
      <c r="A142" s="612" t="s">
        <v>548</v>
      </c>
      <c r="B142" s="590">
        <v>0.09</v>
      </c>
      <c r="C142" s="584"/>
      <c r="D142" s="584"/>
      <c r="E142" s="584"/>
      <c r="F142" s="584"/>
      <c r="G142" s="581"/>
    </row>
    <row r="143" spans="1:7" ht="30" customHeight="1" x14ac:dyDescent="0.35">
      <c r="A143" s="613" t="s">
        <v>549</v>
      </c>
      <c r="B143" s="614">
        <v>1E-3</v>
      </c>
      <c r="C143" s="584"/>
      <c r="D143" s="584"/>
      <c r="E143" s="584"/>
      <c r="F143" s="584"/>
      <c r="G143" s="581"/>
    </row>
    <row r="144" spans="1:7" x14ac:dyDescent="0.35">
      <c r="A144" s="42" t="s">
        <v>171</v>
      </c>
      <c r="B144" s="615"/>
      <c r="C144" s="584"/>
      <c r="D144" s="584"/>
      <c r="E144" s="584"/>
      <c r="F144" s="584"/>
      <c r="G144" s="581"/>
    </row>
    <row r="145" spans="1:7" ht="30" x14ac:dyDescent="0.35">
      <c r="A145" s="593" t="s">
        <v>251</v>
      </c>
      <c r="B145" s="594" t="s">
        <v>550</v>
      </c>
      <c r="C145" s="584"/>
      <c r="D145" s="584"/>
      <c r="E145" s="584"/>
      <c r="F145" s="584"/>
      <c r="G145" s="581"/>
    </row>
    <row r="146" spans="1:7" ht="34.5" customHeight="1" x14ac:dyDescent="0.35">
      <c r="A146" s="613" t="s">
        <v>551</v>
      </c>
      <c r="B146" s="590">
        <v>0.19</v>
      </c>
      <c r="C146" s="584"/>
      <c r="D146" s="584"/>
      <c r="E146" s="584"/>
      <c r="F146" s="584"/>
      <c r="G146" s="581"/>
    </row>
    <row r="147" spans="1:7" ht="35.25" customHeight="1" x14ac:dyDescent="0.35">
      <c r="A147" s="613" t="s">
        <v>552</v>
      </c>
      <c r="B147" s="590">
        <v>0.51</v>
      </c>
      <c r="C147" s="584"/>
      <c r="D147" s="584"/>
      <c r="E147" s="584"/>
      <c r="F147" s="584"/>
      <c r="G147" s="581"/>
    </row>
    <row r="148" spans="1:7" x14ac:dyDescent="0.35">
      <c r="A148" s="616"/>
      <c r="B148" s="617"/>
      <c r="C148" s="584"/>
      <c r="D148" s="584"/>
      <c r="E148" s="584"/>
      <c r="F148" s="584"/>
      <c r="G148" s="581"/>
    </row>
    <row r="149" spans="1:7" ht="111" customHeight="1" x14ac:dyDescent="0.35">
      <c r="A149" s="654" t="s">
        <v>553</v>
      </c>
      <c r="B149" s="676"/>
      <c r="C149" s="584"/>
      <c r="D149" s="584"/>
      <c r="E149" s="584"/>
      <c r="F149" s="584"/>
      <c r="G149" s="581"/>
    </row>
    <row r="150" spans="1:7" ht="36" customHeight="1" thickBot="1" x14ac:dyDescent="0.4">
      <c r="A150" s="677" t="s">
        <v>554</v>
      </c>
      <c r="B150" s="678"/>
      <c r="C150" s="584"/>
      <c r="D150" s="584"/>
      <c r="E150" s="584"/>
      <c r="F150" s="584"/>
      <c r="G150" s="581"/>
    </row>
    <row r="151" spans="1:7" x14ac:dyDescent="0.35">
      <c r="A151" s="42" t="s">
        <v>171</v>
      </c>
      <c r="B151" s="584"/>
      <c r="C151" s="584"/>
      <c r="D151" s="584"/>
      <c r="E151" s="584"/>
      <c r="F151" s="584"/>
      <c r="G151" s="581"/>
    </row>
    <row r="152" spans="1:7" x14ac:dyDescent="0.35">
      <c r="A152" s="583" t="s">
        <v>555</v>
      </c>
      <c r="B152" s="584"/>
      <c r="C152" s="584"/>
      <c r="D152" s="584"/>
      <c r="E152" s="584"/>
      <c r="F152" s="584"/>
      <c r="G152" s="581"/>
    </row>
    <row r="153" spans="1:7" ht="36.75" customHeight="1" x14ac:dyDescent="0.35">
      <c r="A153" s="593" t="s">
        <v>18</v>
      </c>
      <c r="B153" s="594" t="s">
        <v>556</v>
      </c>
      <c r="C153" s="584"/>
      <c r="D153" s="584"/>
      <c r="E153" s="584"/>
      <c r="F153" s="584"/>
      <c r="G153" s="581"/>
    </row>
    <row r="154" spans="1:7" x14ac:dyDescent="0.35">
      <c r="A154" s="586" t="s">
        <v>557</v>
      </c>
      <c r="B154" s="597">
        <v>1.57</v>
      </c>
      <c r="C154" s="584"/>
      <c r="D154" s="584"/>
      <c r="E154" s="584"/>
      <c r="F154" s="584"/>
      <c r="G154" s="581"/>
    </row>
    <row r="155" spans="1:7" ht="16" x14ac:dyDescent="0.35">
      <c r="A155" s="586" t="s">
        <v>558</v>
      </c>
      <c r="B155" s="597">
        <v>1.97</v>
      </c>
      <c r="C155" s="584"/>
      <c r="D155" s="584"/>
      <c r="E155" s="584"/>
      <c r="F155" s="584"/>
      <c r="G155" s="581"/>
    </row>
    <row r="156" spans="1:7" x14ac:dyDescent="0.35">
      <c r="A156" s="586" t="s">
        <v>559</v>
      </c>
      <c r="B156" s="597">
        <v>1.86</v>
      </c>
      <c r="C156" s="584"/>
      <c r="D156" s="584"/>
      <c r="E156" s="584"/>
      <c r="F156" s="584"/>
      <c r="G156" s="581"/>
    </row>
    <row r="157" spans="1:7" x14ac:dyDescent="0.35">
      <c r="A157" s="586" t="s">
        <v>560</v>
      </c>
      <c r="B157" s="597">
        <v>0.28999999999999998</v>
      </c>
      <c r="C157" s="584"/>
      <c r="D157" s="584"/>
      <c r="E157" s="584"/>
      <c r="F157" s="584"/>
      <c r="G157" s="581"/>
    </row>
    <row r="158" spans="1:7" x14ac:dyDescent="0.35">
      <c r="A158" s="586" t="s">
        <v>561</v>
      </c>
      <c r="B158" s="597">
        <v>1.86</v>
      </c>
      <c r="C158" s="584"/>
      <c r="D158" s="584"/>
      <c r="E158" s="584"/>
      <c r="F158" s="584"/>
      <c r="G158" s="581"/>
    </row>
    <row r="159" spans="1:7" x14ac:dyDescent="0.35">
      <c r="A159" s="588"/>
      <c r="B159" s="615"/>
      <c r="C159" s="584"/>
      <c r="D159" s="584"/>
      <c r="E159" s="584"/>
      <c r="F159" s="584"/>
      <c r="G159" s="581"/>
    </row>
    <row r="160" spans="1:7" ht="153.75" customHeight="1" x14ac:dyDescent="0.35">
      <c r="A160" s="654" t="s">
        <v>562</v>
      </c>
      <c r="B160" s="676"/>
      <c r="C160" s="584"/>
      <c r="D160" s="584"/>
      <c r="E160" s="584"/>
      <c r="F160" s="584"/>
      <c r="G160" s="581"/>
    </row>
    <row r="161" spans="1:7" ht="50.25" customHeight="1" thickBot="1" x14ac:dyDescent="0.4">
      <c r="A161" s="677" t="s">
        <v>563</v>
      </c>
      <c r="B161" s="678"/>
      <c r="C161" s="584"/>
      <c r="D161" s="584"/>
      <c r="E161" s="584"/>
      <c r="F161" s="584"/>
      <c r="G161" s="581"/>
    </row>
    <row r="162" spans="1:7" x14ac:dyDescent="0.35">
      <c r="A162" s="42" t="s">
        <v>171</v>
      </c>
      <c r="G162" s="581"/>
    </row>
    <row r="163" spans="1:7" x14ac:dyDescent="0.35">
      <c r="A163" s="583" t="s">
        <v>564</v>
      </c>
      <c r="G163" s="581"/>
    </row>
    <row r="164" spans="1:7" ht="15.75" customHeight="1" x14ac:dyDescent="0.35">
      <c r="A164" s="665" t="s">
        <v>565</v>
      </c>
      <c r="B164" s="666" t="s">
        <v>566</v>
      </c>
      <c r="C164" s="666"/>
      <c r="D164" s="666"/>
      <c r="G164" s="581"/>
    </row>
    <row r="165" spans="1:7" ht="37.5" customHeight="1" x14ac:dyDescent="0.35">
      <c r="A165" s="665"/>
      <c r="B165" s="594" t="s">
        <v>567</v>
      </c>
      <c r="C165" s="594" t="s">
        <v>568</v>
      </c>
      <c r="D165" s="594" t="s">
        <v>569</v>
      </c>
      <c r="G165" s="581"/>
    </row>
    <row r="166" spans="1:7" x14ac:dyDescent="0.35">
      <c r="A166" s="618" t="s">
        <v>570</v>
      </c>
      <c r="B166" s="619">
        <v>0.03</v>
      </c>
      <c r="C166" s="619">
        <v>0.03</v>
      </c>
      <c r="D166" s="619">
        <v>7.0000000000000007E-2</v>
      </c>
      <c r="G166" s="581"/>
    </row>
    <row r="167" spans="1:7" x14ac:dyDescent="0.35">
      <c r="A167" s="618" t="s">
        <v>571</v>
      </c>
      <c r="B167" s="619">
        <v>0.32</v>
      </c>
      <c r="C167" s="619">
        <v>0.16</v>
      </c>
      <c r="D167" s="619">
        <v>0.9</v>
      </c>
      <c r="G167" s="581"/>
    </row>
    <row r="168" spans="1:7" x14ac:dyDescent="0.35">
      <c r="A168" s="618" t="s">
        <v>572</v>
      </c>
      <c r="B168" s="619">
        <v>0.25</v>
      </c>
      <c r="C168" s="619">
        <v>0.25</v>
      </c>
      <c r="D168" s="619">
        <v>0.11</v>
      </c>
      <c r="G168" s="581"/>
    </row>
    <row r="169" spans="1:7" x14ac:dyDescent="0.35">
      <c r="A169" s="618" t="s">
        <v>573</v>
      </c>
      <c r="B169" s="619">
        <v>0.32</v>
      </c>
      <c r="C169" s="619">
        <v>0.05</v>
      </c>
      <c r="D169" s="619">
        <v>0.1</v>
      </c>
      <c r="G169" s="581"/>
    </row>
    <row r="170" spans="1:7" ht="16" x14ac:dyDescent="0.35">
      <c r="A170" s="618" t="s">
        <v>574</v>
      </c>
      <c r="B170" s="619">
        <v>0.2</v>
      </c>
      <c r="C170" s="619">
        <v>0.14000000000000001</v>
      </c>
      <c r="D170" s="619">
        <v>0.13</v>
      </c>
      <c r="G170" s="581"/>
    </row>
    <row r="171" spans="1:7" ht="16" x14ac:dyDescent="0.35">
      <c r="A171" s="618" t="s">
        <v>575</v>
      </c>
      <c r="B171" s="619">
        <v>0.26</v>
      </c>
      <c r="C171" s="619">
        <v>0.17</v>
      </c>
      <c r="D171" s="619">
        <v>0.13</v>
      </c>
      <c r="G171" s="581"/>
    </row>
    <row r="172" spans="1:7" x14ac:dyDescent="0.35">
      <c r="A172" s="618" t="s">
        <v>576</v>
      </c>
      <c r="B172" s="619">
        <v>0.15</v>
      </c>
      <c r="C172" s="619">
        <v>0.15</v>
      </c>
      <c r="D172" s="619">
        <v>0.11</v>
      </c>
      <c r="G172" s="581"/>
    </row>
    <row r="173" spans="1:7" x14ac:dyDescent="0.35">
      <c r="A173" s="618" t="s">
        <v>577</v>
      </c>
      <c r="B173" s="619">
        <v>0.11</v>
      </c>
      <c r="C173" s="619">
        <v>0.11</v>
      </c>
      <c r="D173" s="619">
        <v>0.06</v>
      </c>
      <c r="G173" s="581"/>
    </row>
    <row r="174" spans="1:7" x14ac:dyDescent="0.35">
      <c r="A174" s="618" t="s">
        <v>578</v>
      </c>
      <c r="B174" s="619">
        <v>0.08</v>
      </c>
      <c r="C174" s="619">
        <v>0.03</v>
      </c>
      <c r="D174" s="619">
        <v>0.19</v>
      </c>
      <c r="G174" s="581"/>
    </row>
    <row r="175" spans="1:7" x14ac:dyDescent="0.35">
      <c r="A175" s="618" t="s">
        <v>579</v>
      </c>
      <c r="B175" s="619">
        <v>0.33</v>
      </c>
      <c r="C175" s="619">
        <v>0.33</v>
      </c>
      <c r="D175" s="619">
        <v>0.21</v>
      </c>
      <c r="G175" s="581"/>
    </row>
    <row r="176" spans="1:7" x14ac:dyDescent="0.35">
      <c r="A176" s="618" t="s">
        <v>580</v>
      </c>
      <c r="B176" s="619">
        <v>0.43</v>
      </c>
      <c r="C176" s="619">
        <v>0.08</v>
      </c>
      <c r="D176" s="619">
        <v>7.0000000000000007E-2</v>
      </c>
      <c r="G176" s="581"/>
    </row>
    <row r="177" spans="1:7" x14ac:dyDescent="0.35">
      <c r="A177" s="618" t="s">
        <v>581</v>
      </c>
      <c r="B177" s="619">
        <v>0.32</v>
      </c>
      <c r="C177" s="619">
        <v>0.32</v>
      </c>
      <c r="D177" s="619">
        <v>0.33</v>
      </c>
      <c r="G177" s="581"/>
    </row>
    <row r="178" spans="1:7" ht="16" x14ac:dyDescent="0.35">
      <c r="A178" s="618" t="s">
        <v>582</v>
      </c>
      <c r="B178" s="619">
        <v>0.65</v>
      </c>
      <c r="C178" s="619">
        <v>0.65</v>
      </c>
      <c r="D178" s="619">
        <v>0.65</v>
      </c>
      <c r="G178" s="581"/>
    </row>
    <row r="179" spans="1:7" x14ac:dyDescent="0.35">
      <c r="A179" s="618" t="s">
        <v>583</v>
      </c>
      <c r="B179" s="619">
        <v>0.11</v>
      </c>
      <c r="C179" s="619">
        <v>0.11</v>
      </c>
      <c r="D179" s="619">
        <v>7.0000000000000007E-2</v>
      </c>
      <c r="G179" s="581"/>
    </row>
    <row r="180" spans="1:7" x14ac:dyDescent="0.35">
      <c r="A180" s="618" t="s">
        <v>584</v>
      </c>
      <c r="B180" s="619">
        <v>0.24</v>
      </c>
      <c r="C180" s="619">
        <v>0.1</v>
      </c>
      <c r="D180" s="619">
        <v>0.5</v>
      </c>
      <c r="G180" s="581"/>
    </row>
    <row r="181" spans="1:7" x14ac:dyDescent="0.35">
      <c r="A181" s="618" t="s">
        <v>585</v>
      </c>
      <c r="B181" s="620" t="s">
        <v>309</v>
      </c>
      <c r="C181" s="620" t="s">
        <v>309</v>
      </c>
      <c r="D181" s="619">
        <v>0.1</v>
      </c>
      <c r="G181" s="581"/>
    </row>
    <row r="182" spans="1:7" x14ac:dyDescent="0.35">
      <c r="A182" s="618" t="s">
        <v>586</v>
      </c>
      <c r="B182" s="620" t="s">
        <v>309</v>
      </c>
      <c r="C182" s="620" t="s">
        <v>309</v>
      </c>
      <c r="D182" s="619">
        <v>0.12</v>
      </c>
      <c r="G182" s="581"/>
    </row>
    <row r="183" spans="1:7" x14ac:dyDescent="0.35">
      <c r="A183" s="618" t="s">
        <v>587</v>
      </c>
      <c r="B183" s="620" t="s">
        <v>309</v>
      </c>
      <c r="C183" s="620" t="s">
        <v>309</v>
      </c>
      <c r="D183" s="619">
        <v>7.0000000000000007E-2</v>
      </c>
      <c r="G183" s="581"/>
    </row>
    <row r="184" spans="1:7" x14ac:dyDescent="0.35">
      <c r="A184" s="618" t="s">
        <v>588</v>
      </c>
      <c r="B184" s="620" t="s">
        <v>309</v>
      </c>
      <c r="C184" s="620" t="s">
        <v>309</v>
      </c>
      <c r="D184" s="619">
        <v>0.04</v>
      </c>
      <c r="G184" s="581"/>
    </row>
    <row r="185" spans="1:7" x14ac:dyDescent="0.35">
      <c r="A185" s="618" t="s">
        <v>589</v>
      </c>
      <c r="B185" s="620" t="s">
        <v>309</v>
      </c>
      <c r="C185" s="620" t="s">
        <v>309</v>
      </c>
      <c r="D185" s="619">
        <v>0.1</v>
      </c>
      <c r="G185" s="581"/>
    </row>
    <row r="186" spans="1:7" x14ac:dyDescent="0.35">
      <c r="A186" s="618" t="s">
        <v>590</v>
      </c>
      <c r="B186" s="620" t="s">
        <v>309</v>
      </c>
      <c r="C186" s="620" t="s">
        <v>309</v>
      </c>
      <c r="D186" s="619">
        <v>0.05</v>
      </c>
      <c r="G186" s="581"/>
    </row>
    <row r="187" spans="1:7" ht="16" x14ac:dyDescent="0.35">
      <c r="A187" s="618" t="s">
        <v>591</v>
      </c>
      <c r="B187" s="620" t="s">
        <v>309</v>
      </c>
      <c r="C187" s="620" t="s">
        <v>309</v>
      </c>
      <c r="D187" s="619">
        <v>0.21</v>
      </c>
      <c r="G187" s="581"/>
    </row>
    <row r="188" spans="1:7" x14ac:dyDescent="0.35">
      <c r="A188" s="621"/>
      <c r="B188" s="484"/>
      <c r="C188" s="484"/>
      <c r="D188" s="622"/>
      <c r="G188" s="581"/>
    </row>
    <row r="189" spans="1:7" ht="63.75" customHeight="1" x14ac:dyDescent="0.35">
      <c r="A189" s="660" t="s">
        <v>592</v>
      </c>
      <c r="B189" s="675"/>
      <c r="C189" s="675"/>
      <c r="D189" s="661"/>
      <c r="G189" s="581"/>
    </row>
    <row r="190" spans="1:7" x14ac:dyDescent="0.35">
      <c r="A190" s="42" t="s">
        <v>171</v>
      </c>
      <c r="G190" s="581"/>
    </row>
    <row r="191" spans="1:7" x14ac:dyDescent="0.35">
      <c r="A191" s="583" t="s">
        <v>593</v>
      </c>
      <c r="G191" s="581"/>
    </row>
    <row r="192" spans="1:7" x14ac:dyDescent="0.35">
      <c r="A192" s="665" t="s">
        <v>565</v>
      </c>
      <c r="B192" s="666" t="s">
        <v>566</v>
      </c>
      <c r="C192" s="666"/>
      <c r="D192" s="666"/>
      <c r="G192" s="581"/>
    </row>
    <row r="193" spans="1:7" x14ac:dyDescent="0.35">
      <c r="A193" s="665"/>
      <c r="B193" s="594" t="s">
        <v>594</v>
      </c>
      <c r="C193" s="594" t="s">
        <v>595</v>
      </c>
      <c r="D193" s="594" t="s">
        <v>596</v>
      </c>
      <c r="G193" s="581"/>
    </row>
    <row r="194" spans="1:7" x14ac:dyDescent="0.35">
      <c r="A194" s="618" t="s">
        <v>571</v>
      </c>
      <c r="B194" s="619">
        <v>0.23</v>
      </c>
      <c r="C194" s="619">
        <v>0.23</v>
      </c>
      <c r="D194" s="619">
        <v>0.23</v>
      </c>
      <c r="G194" s="581"/>
    </row>
    <row r="195" spans="1:7" x14ac:dyDescent="0.35">
      <c r="A195" s="618" t="s">
        <v>597</v>
      </c>
      <c r="B195" s="619">
        <v>0.13</v>
      </c>
      <c r="C195" s="619">
        <v>0.13</v>
      </c>
      <c r="D195" s="619">
        <v>0.32</v>
      </c>
      <c r="G195" s="581"/>
    </row>
    <row r="196" spans="1:7" x14ac:dyDescent="0.35">
      <c r="A196" s="618" t="s">
        <v>598</v>
      </c>
      <c r="B196" s="619">
        <v>0.09</v>
      </c>
      <c r="C196" s="619">
        <v>0.09</v>
      </c>
      <c r="D196" s="619">
        <v>0.09</v>
      </c>
      <c r="G196" s="581"/>
    </row>
    <row r="197" spans="1:7" x14ac:dyDescent="0.35">
      <c r="A197" s="618" t="s">
        <v>573</v>
      </c>
      <c r="B197" s="619">
        <v>0.4</v>
      </c>
      <c r="C197" s="619">
        <v>0.4</v>
      </c>
      <c r="D197" s="619">
        <v>0.41</v>
      </c>
      <c r="G197" s="581"/>
    </row>
    <row r="198" spans="1:7" x14ac:dyDescent="0.35">
      <c r="A198" s="618" t="s">
        <v>581</v>
      </c>
      <c r="B198" s="619">
        <v>0.23</v>
      </c>
      <c r="C198" s="619">
        <v>0.23</v>
      </c>
      <c r="D198" s="619">
        <v>0.65</v>
      </c>
      <c r="G198" s="581"/>
    </row>
    <row r="199" spans="1:7" x14ac:dyDescent="0.35">
      <c r="A199" s="618" t="s">
        <v>599</v>
      </c>
      <c r="B199" s="619">
        <v>0.33</v>
      </c>
      <c r="C199" s="619">
        <v>0.13</v>
      </c>
      <c r="D199" s="619">
        <v>0.49</v>
      </c>
      <c r="G199" s="581"/>
    </row>
    <row r="200" spans="1:7" x14ac:dyDescent="0.35">
      <c r="A200" s="618" t="s">
        <v>600</v>
      </c>
      <c r="B200" s="619">
        <v>0.05</v>
      </c>
      <c r="C200" s="619">
        <v>0.05</v>
      </c>
      <c r="D200" s="619">
        <v>0.05</v>
      </c>
      <c r="G200" s="581"/>
    </row>
    <row r="201" spans="1:7" x14ac:dyDescent="0.35">
      <c r="A201" s="618" t="s">
        <v>601</v>
      </c>
      <c r="B201" s="620" t="s">
        <v>309</v>
      </c>
      <c r="C201" s="620" t="s">
        <v>309</v>
      </c>
      <c r="D201" s="619">
        <v>0.03</v>
      </c>
      <c r="G201" s="581"/>
    </row>
    <row r="202" spans="1:7" x14ac:dyDescent="0.35">
      <c r="A202" s="618" t="s">
        <v>576</v>
      </c>
      <c r="B202" s="620" t="s">
        <v>309</v>
      </c>
      <c r="C202" s="620" t="s">
        <v>309</v>
      </c>
      <c r="D202" s="619">
        <v>0.2</v>
      </c>
      <c r="G202" s="581"/>
    </row>
    <row r="203" spans="1:7" x14ac:dyDescent="0.35">
      <c r="A203" s="42" t="s">
        <v>171</v>
      </c>
      <c r="G203" s="581"/>
    </row>
    <row r="204" spans="1:7" x14ac:dyDescent="0.35">
      <c r="A204" s="583" t="s">
        <v>602</v>
      </c>
      <c r="G204" s="581"/>
    </row>
    <row r="205" spans="1:7" ht="30.5" x14ac:dyDescent="0.35">
      <c r="A205" s="593" t="s">
        <v>603</v>
      </c>
      <c r="B205" s="623" t="s">
        <v>604</v>
      </c>
      <c r="C205" s="623" t="s">
        <v>605</v>
      </c>
      <c r="G205" s="581"/>
    </row>
    <row r="206" spans="1:7" ht="16.5" x14ac:dyDescent="0.35">
      <c r="A206" s="618" t="s">
        <v>606</v>
      </c>
      <c r="B206" s="619">
        <v>0.33</v>
      </c>
      <c r="C206" s="619">
        <v>0.39</v>
      </c>
      <c r="G206" s="581"/>
    </row>
    <row r="207" spans="1:7" ht="16.5" x14ac:dyDescent="0.35">
      <c r="A207" s="618" t="s">
        <v>607</v>
      </c>
      <c r="B207" s="619">
        <v>0.65</v>
      </c>
      <c r="C207" s="619">
        <v>0.78</v>
      </c>
      <c r="G207" s="581"/>
    </row>
    <row r="208" spans="1:7" ht="16.5" x14ac:dyDescent="0.35">
      <c r="A208" s="618" t="s">
        <v>608</v>
      </c>
      <c r="B208" s="619">
        <v>1.63</v>
      </c>
      <c r="C208" s="619">
        <v>1.57</v>
      </c>
      <c r="G208" s="581"/>
    </row>
    <row r="209" spans="1:7" x14ac:dyDescent="0.35">
      <c r="A209" s="618" t="s">
        <v>609</v>
      </c>
      <c r="B209" s="619">
        <v>1.96</v>
      </c>
      <c r="C209" s="619">
        <v>1.96</v>
      </c>
      <c r="G209" s="581"/>
    </row>
    <row r="210" spans="1:7" x14ac:dyDescent="0.35">
      <c r="A210" s="618" t="s">
        <v>610</v>
      </c>
      <c r="B210" s="619">
        <v>3.27</v>
      </c>
      <c r="C210" s="619">
        <v>3.53</v>
      </c>
      <c r="G210" s="581"/>
    </row>
    <row r="211" spans="1:7" x14ac:dyDescent="0.35">
      <c r="A211" s="618" t="s">
        <v>611</v>
      </c>
      <c r="B211" s="619">
        <v>3.59</v>
      </c>
      <c r="C211" s="619">
        <v>3.92</v>
      </c>
      <c r="G211" s="581"/>
    </row>
    <row r="212" spans="1:7" x14ac:dyDescent="0.35">
      <c r="A212" s="618" t="s">
        <v>612</v>
      </c>
      <c r="B212" s="619">
        <v>5.23</v>
      </c>
      <c r="C212" s="619">
        <v>3.92</v>
      </c>
      <c r="G212" s="581"/>
    </row>
    <row r="213" spans="1:7" ht="16.5" x14ac:dyDescent="0.35">
      <c r="A213" s="618" t="s">
        <v>613</v>
      </c>
      <c r="B213" s="619">
        <v>3.59</v>
      </c>
      <c r="C213" s="619">
        <v>3.92</v>
      </c>
      <c r="G213" s="581"/>
    </row>
    <row r="214" spans="1:7" x14ac:dyDescent="0.35">
      <c r="A214" s="621"/>
      <c r="B214" s="484"/>
      <c r="C214" s="622"/>
      <c r="G214" s="581"/>
    </row>
    <row r="215" spans="1:7" ht="48.75" customHeight="1" x14ac:dyDescent="0.35">
      <c r="A215" s="654" t="s">
        <v>614</v>
      </c>
      <c r="B215" s="680"/>
      <c r="C215" s="655"/>
      <c r="G215" s="581"/>
    </row>
    <row r="216" spans="1:7" ht="96.75" customHeight="1" x14ac:dyDescent="0.35">
      <c r="A216" s="654" t="s">
        <v>615</v>
      </c>
      <c r="B216" s="680"/>
      <c r="C216" s="655"/>
      <c r="G216" s="581"/>
    </row>
    <row r="217" spans="1:7" ht="66.75" customHeight="1" x14ac:dyDescent="0.35">
      <c r="A217" s="660" t="s">
        <v>616</v>
      </c>
      <c r="B217" s="675"/>
      <c r="C217" s="661"/>
      <c r="G217" s="581"/>
    </row>
    <row r="218" spans="1:7" x14ac:dyDescent="0.35">
      <c r="A218" s="42" t="s">
        <v>171</v>
      </c>
      <c r="G218" s="581"/>
    </row>
    <row r="219" spans="1:7" x14ac:dyDescent="0.35">
      <c r="A219" s="583" t="s">
        <v>617</v>
      </c>
      <c r="G219" s="581"/>
    </row>
    <row r="220" spans="1:7" ht="30.5" x14ac:dyDescent="0.35">
      <c r="A220" s="593" t="s">
        <v>416</v>
      </c>
      <c r="B220" s="623" t="s">
        <v>618</v>
      </c>
      <c r="C220" s="623" t="s">
        <v>619</v>
      </c>
      <c r="G220" s="581"/>
    </row>
    <row r="221" spans="1:7" ht="16.5" x14ac:dyDescent="0.35">
      <c r="A221" s="618" t="s">
        <v>620</v>
      </c>
      <c r="B221" s="620" t="s">
        <v>621</v>
      </c>
      <c r="C221" s="619">
        <v>7.63</v>
      </c>
      <c r="G221" s="581"/>
    </row>
    <row r="222" spans="1:7" ht="16.5" x14ac:dyDescent="0.35">
      <c r="A222" s="618" t="s">
        <v>622</v>
      </c>
      <c r="B222" s="620" t="s">
        <v>623</v>
      </c>
      <c r="C222" s="619">
        <v>6.8</v>
      </c>
      <c r="G222" s="581"/>
    </row>
    <row r="223" spans="1:7" x14ac:dyDescent="0.35">
      <c r="A223" s="621"/>
      <c r="B223" s="484"/>
      <c r="C223" s="622"/>
      <c r="G223" s="581"/>
    </row>
    <row r="224" spans="1:7" ht="50.25" customHeight="1" x14ac:dyDescent="0.35">
      <c r="A224" s="654" t="s">
        <v>624</v>
      </c>
      <c r="B224" s="680"/>
      <c r="C224" s="655"/>
      <c r="G224" s="581"/>
    </row>
    <row r="225" spans="1:7" ht="51" customHeight="1" x14ac:dyDescent="0.35">
      <c r="A225" s="654" t="s">
        <v>625</v>
      </c>
      <c r="B225" s="680"/>
      <c r="C225" s="655"/>
      <c r="G225" s="581"/>
    </row>
    <row r="226" spans="1:7" ht="49.5" customHeight="1" x14ac:dyDescent="0.35">
      <c r="A226" s="654" t="s">
        <v>626</v>
      </c>
      <c r="B226" s="680"/>
      <c r="C226" s="655"/>
      <c r="G226" s="581"/>
    </row>
    <row r="227" spans="1:7" ht="80.25" customHeight="1" x14ac:dyDescent="0.35">
      <c r="A227" s="660" t="s">
        <v>627</v>
      </c>
      <c r="B227" s="675"/>
      <c r="C227" s="661"/>
      <c r="G227" s="581"/>
    </row>
    <row r="228" spans="1:7" x14ac:dyDescent="0.35">
      <c r="A228" s="42" t="s">
        <v>171</v>
      </c>
      <c r="G228" s="581"/>
    </row>
    <row r="229" spans="1:7" x14ac:dyDescent="0.35">
      <c r="A229" s="583" t="s">
        <v>628</v>
      </c>
      <c r="B229" s="624"/>
      <c r="C229" s="624"/>
      <c r="D229" s="624"/>
      <c r="E229" s="624"/>
      <c r="F229" s="624"/>
      <c r="G229" s="581"/>
    </row>
    <row r="230" spans="1:7" ht="15.75" customHeight="1" x14ac:dyDescent="0.35">
      <c r="A230" s="665" t="s">
        <v>304</v>
      </c>
      <c r="B230" s="681" t="s">
        <v>629</v>
      </c>
      <c r="C230" s="682"/>
      <c r="D230" s="682"/>
      <c r="E230" s="682"/>
      <c r="F230" s="682"/>
      <c r="G230" s="625"/>
    </row>
    <row r="231" spans="1:7" ht="33" x14ac:dyDescent="0.35">
      <c r="A231" s="665"/>
      <c r="B231" s="594" t="s">
        <v>630</v>
      </c>
      <c r="C231" s="594" t="s">
        <v>631</v>
      </c>
      <c r="D231" s="594" t="s">
        <v>632</v>
      </c>
      <c r="E231" s="594" t="s">
        <v>633</v>
      </c>
      <c r="F231" s="594" t="s">
        <v>634</v>
      </c>
      <c r="G231" s="581"/>
    </row>
    <row r="232" spans="1:7" x14ac:dyDescent="0.35">
      <c r="A232" s="618" t="s">
        <v>308</v>
      </c>
      <c r="B232" s="626">
        <v>0.13800000000000001</v>
      </c>
      <c r="C232" s="627">
        <v>1.9E-3</v>
      </c>
      <c r="D232" s="626">
        <v>1.7000000000000001E-2</v>
      </c>
      <c r="E232" s="626" t="s">
        <v>309</v>
      </c>
      <c r="F232" s="626">
        <v>0.107</v>
      </c>
      <c r="G232" s="581"/>
    </row>
    <row r="233" spans="1:7" x14ac:dyDescent="0.35">
      <c r="A233" s="618" t="s">
        <v>310</v>
      </c>
      <c r="B233" s="626">
        <v>2.9000000000000001E-2</v>
      </c>
      <c r="C233" s="627">
        <v>2.0000000000000001E-4</v>
      </c>
      <c r="D233" s="626">
        <v>9.6000000000000002E-2</v>
      </c>
      <c r="E233" s="626" t="s">
        <v>309</v>
      </c>
      <c r="F233" s="626">
        <v>0.109</v>
      </c>
      <c r="G233" s="581"/>
    </row>
    <row r="234" spans="1:7" x14ac:dyDescent="0.35">
      <c r="A234" s="618" t="s">
        <v>311</v>
      </c>
      <c r="B234" s="626">
        <v>0.11600000000000001</v>
      </c>
      <c r="C234" s="627">
        <v>1.1000000000000001E-3</v>
      </c>
      <c r="D234" s="626">
        <v>0.04</v>
      </c>
      <c r="E234" s="626">
        <v>1.2E-2</v>
      </c>
      <c r="F234" s="626">
        <v>0.107</v>
      </c>
      <c r="G234" s="581"/>
    </row>
    <row r="235" spans="1:7" x14ac:dyDescent="0.35">
      <c r="A235" s="618" t="s">
        <v>312</v>
      </c>
      <c r="B235" s="626">
        <v>0.34499999999999997</v>
      </c>
      <c r="C235" s="627">
        <v>4.3700000000000003E-2</v>
      </c>
      <c r="D235" s="626">
        <v>1.6E-2</v>
      </c>
      <c r="E235" s="626" t="s">
        <v>309</v>
      </c>
      <c r="F235" s="626">
        <v>0.30299999999999999</v>
      </c>
      <c r="G235" s="581"/>
    </row>
    <row r="236" spans="1:7" x14ac:dyDescent="0.35">
      <c r="A236" s="618" t="s">
        <v>313</v>
      </c>
      <c r="B236" s="626">
        <v>7.4999999999999997E-2</v>
      </c>
      <c r="C236" s="627">
        <v>3.7000000000000002E-3</v>
      </c>
      <c r="D236" s="626">
        <v>2.7E-2</v>
      </c>
      <c r="E236" s="626" t="s">
        <v>309</v>
      </c>
      <c r="F236" s="626">
        <v>0.29899999999999999</v>
      </c>
      <c r="G236" s="581"/>
    </row>
    <row r="237" spans="1:7" x14ac:dyDescent="0.35">
      <c r="A237" s="618" t="s">
        <v>314</v>
      </c>
      <c r="B237" s="626">
        <v>0.23599999999999999</v>
      </c>
      <c r="C237" s="627">
        <v>2.1999999999999999E-2</v>
      </c>
      <c r="D237" s="626">
        <v>2.1000000000000001E-2</v>
      </c>
      <c r="E237" s="626">
        <v>3.5000000000000003E-2</v>
      </c>
      <c r="F237" s="626">
        <v>0.30099999999999999</v>
      </c>
      <c r="G237" s="581"/>
    </row>
    <row r="238" spans="1:7" x14ac:dyDescent="0.35">
      <c r="A238" s="618" t="s">
        <v>315</v>
      </c>
      <c r="B238" s="626">
        <v>0.154</v>
      </c>
      <c r="C238" s="627">
        <v>5.1000000000000004E-3</v>
      </c>
      <c r="D238" s="626">
        <v>1.7000000000000001E-2</v>
      </c>
      <c r="E238" s="626" t="s">
        <v>309</v>
      </c>
      <c r="F238" s="626">
        <v>0.124</v>
      </c>
      <c r="G238" s="581"/>
    </row>
    <row r="239" spans="1:7" x14ac:dyDescent="0.35">
      <c r="A239" s="618" t="s">
        <v>316</v>
      </c>
      <c r="B239" s="626">
        <v>3.5999999999999997E-2</v>
      </c>
      <c r="C239" s="627">
        <v>6.9999999999999999E-4</v>
      </c>
      <c r="D239" s="626">
        <v>8.5999999999999993E-2</v>
      </c>
      <c r="E239" s="626" t="s">
        <v>309</v>
      </c>
      <c r="F239" s="626">
        <v>0.14000000000000001</v>
      </c>
      <c r="G239" s="581"/>
    </row>
    <row r="240" spans="1:7" x14ac:dyDescent="0.35">
      <c r="A240" s="618" t="s">
        <v>317</v>
      </c>
      <c r="B240" s="626">
        <v>0.128</v>
      </c>
      <c r="C240" s="627">
        <v>3.0999999999999999E-3</v>
      </c>
      <c r="D240" s="626">
        <v>3.7999999999999999E-2</v>
      </c>
      <c r="E240" s="626">
        <v>1.4999999999999999E-2</v>
      </c>
      <c r="F240" s="626">
        <v>0.129</v>
      </c>
      <c r="G240" s="581"/>
    </row>
    <row r="241" spans="1:7" x14ac:dyDescent="0.35">
      <c r="A241" s="621"/>
      <c r="B241" s="484"/>
      <c r="C241" s="484"/>
      <c r="D241" s="622"/>
      <c r="G241" s="581"/>
    </row>
    <row r="242" spans="1:7" ht="32.15" customHeight="1" x14ac:dyDescent="0.35">
      <c r="A242" s="654" t="s">
        <v>635</v>
      </c>
      <c r="B242" s="680"/>
      <c r="C242" s="680"/>
      <c r="D242" s="680"/>
      <c r="E242" s="680"/>
      <c r="F242" s="680"/>
      <c r="G242" s="655"/>
    </row>
    <row r="243" spans="1:7" ht="32.5" customHeight="1" x14ac:dyDescent="0.35">
      <c r="A243" s="667" t="s">
        <v>636</v>
      </c>
      <c r="B243" s="667"/>
      <c r="C243" s="667"/>
      <c r="D243" s="667"/>
      <c r="E243" s="667"/>
      <c r="F243" s="667"/>
      <c r="G243" s="668"/>
    </row>
    <row r="246" spans="1:7" x14ac:dyDescent="0.35">
      <c r="A246" s="628" t="s">
        <v>637</v>
      </c>
      <c r="B246" s="628"/>
      <c r="C246" s="628"/>
      <c r="D246" s="628"/>
      <c r="E246" s="629"/>
      <c r="F246" s="629"/>
      <c r="G246" s="630"/>
    </row>
    <row r="247" spans="1:7" x14ac:dyDescent="0.35">
      <c r="A247" s="583" t="s">
        <v>638</v>
      </c>
      <c r="B247" s="628"/>
      <c r="C247" s="628"/>
      <c r="D247" s="628"/>
      <c r="E247" s="629"/>
      <c r="F247" s="629"/>
      <c r="G247" s="630"/>
    </row>
    <row r="248" spans="1:7" ht="58.25" customHeight="1" x14ac:dyDescent="0.35">
      <c r="A248" s="598" t="s">
        <v>639</v>
      </c>
      <c r="B248" s="598" t="s">
        <v>640</v>
      </c>
      <c r="C248" s="598" t="s">
        <v>641</v>
      </c>
      <c r="D248" s="598" t="s">
        <v>642</v>
      </c>
      <c r="E248" s="598" t="s">
        <v>250</v>
      </c>
      <c r="F248" s="593" t="s">
        <v>643</v>
      </c>
    </row>
    <row r="249" spans="1:7" x14ac:dyDescent="0.35">
      <c r="A249" s="18" t="s">
        <v>644</v>
      </c>
      <c r="B249" s="631">
        <v>0</v>
      </c>
      <c r="C249" s="632">
        <v>0</v>
      </c>
      <c r="D249" s="631">
        <v>0</v>
      </c>
      <c r="E249" s="18" t="s">
        <v>644</v>
      </c>
      <c r="F249" s="18" t="s">
        <v>644</v>
      </c>
    </row>
    <row r="250" spans="1:7" ht="72.5" x14ac:dyDescent="0.35">
      <c r="A250" s="18" t="s">
        <v>645</v>
      </c>
      <c r="B250" s="631">
        <v>101</v>
      </c>
      <c r="C250" s="632">
        <v>0.2</v>
      </c>
      <c r="D250" s="631">
        <v>6</v>
      </c>
      <c r="E250" s="633" t="s">
        <v>254</v>
      </c>
      <c r="F250" s="634" t="s">
        <v>646</v>
      </c>
    </row>
    <row r="251" spans="1:7" ht="29" x14ac:dyDescent="0.35">
      <c r="A251" s="18" t="s">
        <v>647</v>
      </c>
      <c r="B251" s="631">
        <v>105</v>
      </c>
      <c r="C251" s="635">
        <v>0.14000000000000001</v>
      </c>
      <c r="D251" s="631">
        <v>10</v>
      </c>
      <c r="E251" s="636" t="s">
        <v>648</v>
      </c>
      <c r="F251" s="634" t="s">
        <v>648</v>
      </c>
    </row>
    <row r="252" spans="1:7" ht="72.5" x14ac:dyDescent="0.35">
      <c r="A252" s="18" t="s">
        <v>649</v>
      </c>
      <c r="B252" s="631">
        <v>107</v>
      </c>
      <c r="C252" s="632">
        <v>0.35</v>
      </c>
      <c r="D252" s="631">
        <v>10</v>
      </c>
      <c r="E252" s="633" t="s">
        <v>62</v>
      </c>
      <c r="F252" s="634" t="s">
        <v>650</v>
      </c>
    </row>
    <row r="253" spans="1:7" ht="72.5" x14ac:dyDescent="0.35">
      <c r="A253" s="18" t="s">
        <v>651</v>
      </c>
      <c r="B253" s="631">
        <v>108</v>
      </c>
      <c r="C253" s="632">
        <v>0.24</v>
      </c>
      <c r="D253" s="631">
        <v>10</v>
      </c>
      <c r="E253" s="633" t="s">
        <v>62</v>
      </c>
      <c r="F253" s="634" t="s">
        <v>650</v>
      </c>
    </row>
    <row r="254" spans="1:7" ht="29" x14ac:dyDescent="0.35">
      <c r="A254" s="18" t="s">
        <v>652</v>
      </c>
      <c r="B254" s="631">
        <v>110</v>
      </c>
      <c r="C254" s="632">
        <v>0.34</v>
      </c>
      <c r="D254" s="631">
        <v>10</v>
      </c>
      <c r="E254" s="636" t="s">
        <v>256</v>
      </c>
      <c r="F254" s="634" t="s">
        <v>256</v>
      </c>
    </row>
    <row r="255" spans="1:7" ht="29" x14ac:dyDescent="0.35">
      <c r="A255" s="18" t="s">
        <v>653</v>
      </c>
      <c r="B255" s="631">
        <v>111</v>
      </c>
      <c r="C255" s="632">
        <v>0.1</v>
      </c>
      <c r="D255" s="631">
        <v>10</v>
      </c>
      <c r="E255" s="633" t="s">
        <v>62</v>
      </c>
      <c r="F255" s="634" t="s">
        <v>654</v>
      </c>
    </row>
    <row r="256" spans="1:7" ht="72.5" x14ac:dyDescent="0.35">
      <c r="A256" s="18" t="s">
        <v>655</v>
      </c>
      <c r="B256" s="631">
        <v>113</v>
      </c>
      <c r="C256" s="635">
        <v>0.12</v>
      </c>
      <c r="D256" s="631">
        <v>2</v>
      </c>
      <c r="E256" s="633" t="s">
        <v>254</v>
      </c>
      <c r="F256" s="634" t="s">
        <v>656</v>
      </c>
    </row>
    <row r="257" spans="1:6" ht="72.5" x14ac:dyDescent="0.35">
      <c r="A257" s="18" t="s">
        <v>657</v>
      </c>
      <c r="B257" s="631">
        <v>114</v>
      </c>
      <c r="C257" s="632">
        <v>0.2</v>
      </c>
      <c r="D257" s="631">
        <v>5</v>
      </c>
      <c r="E257" s="633" t="s">
        <v>254</v>
      </c>
      <c r="F257" s="634" t="s">
        <v>654</v>
      </c>
    </row>
    <row r="258" spans="1:6" ht="101.5" x14ac:dyDescent="0.35">
      <c r="A258" s="18" t="s">
        <v>658</v>
      </c>
      <c r="B258" s="631">
        <v>118</v>
      </c>
      <c r="C258" s="632">
        <v>0.25</v>
      </c>
      <c r="D258" s="631">
        <v>10</v>
      </c>
      <c r="E258" s="633" t="s">
        <v>256</v>
      </c>
      <c r="F258" s="634" t="s">
        <v>659</v>
      </c>
    </row>
    <row r="259" spans="1:6" ht="72.5" x14ac:dyDescent="0.35">
      <c r="A259" s="634" t="s">
        <v>660</v>
      </c>
      <c r="B259" s="631">
        <v>119</v>
      </c>
      <c r="C259" s="632">
        <v>0.2</v>
      </c>
      <c r="D259" s="631">
        <v>6</v>
      </c>
      <c r="E259" s="633" t="s">
        <v>254</v>
      </c>
      <c r="F259" s="634" t="s">
        <v>661</v>
      </c>
    </row>
    <row r="260" spans="1:6" ht="29" x14ac:dyDescent="0.35">
      <c r="A260" s="634" t="s">
        <v>662</v>
      </c>
      <c r="B260" s="631">
        <v>122</v>
      </c>
      <c r="C260" s="632">
        <v>0.1</v>
      </c>
      <c r="D260" s="631">
        <v>10</v>
      </c>
      <c r="E260" s="636" t="s">
        <v>62</v>
      </c>
      <c r="F260" s="634" t="s">
        <v>62</v>
      </c>
    </row>
    <row r="261" spans="1:6" ht="72.5" x14ac:dyDescent="0.35">
      <c r="A261" s="634" t="s">
        <v>663</v>
      </c>
      <c r="B261" s="631">
        <v>123</v>
      </c>
      <c r="C261" s="632">
        <v>0.1</v>
      </c>
      <c r="D261" s="631">
        <v>10</v>
      </c>
      <c r="E261" s="633" t="s">
        <v>254</v>
      </c>
      <c r="F261" s="634" t="s">
        <v>664</v>
      </c>
    </row>
    <row r="262" spans="1:6" ht="29" x14ac:dyDescent="0.35">
      <c r="A262" s="634" t="s">
        <v>665</v>
      </c>
      <c r="B262" s="631">
        <v>124</v>
      </c>
      <c r="C262" s="632">
        <v>0.27</v>
      </c>
      <c r="D262" s="631">
        <v>10</v>
      </c>
      <c r="E262" s="636" t="s">
        <v>62</v>
      </c>
      <c r="F262" s="634" t="s">
        <v>62</v>
      </c>
    </row>
    <row r="263" spans="1:6" ht="72.5" x14ac:dyDescent="0.35">
      <c r="A263" s="18" t="s">
        <v>666</v>
      </c>
      <c r="B263" s="631">
        <v>125</v>
      </c>
      <c r="C263" s="635">
        <v>0.15</v>
      </c>
      <c r="D263" s="631">
        <v>10</v>
      </c>
      <c r="E263" s="633" t="s">
        <v>254</v>
      </c>
      <c r="F263" s="634" t="s">
        <v>667</v>
      </c>
    </row>
    <row r="264" spans="1:6" ht="29" x14ac:dyDescent="0.35">
      <c r="A264" s="634" t="s">
        <v>668</v>
      </c>
      <c r="B264" s="631">
        <v>128</v>
      </c>
      <c r="C264" s="632">
        <v>0.05</v>
      </c>
      <c r="D264" s="631">
        <v>6</v>
      </c>
      <c r="E264" s="636" t="s">
        <v>62</v>
      </c>
      <c r="F264" s="634" t="s">
        <v>62</v>
      </c>
    </row>
    <row r="265" spans="1:6" ht="72.5" x14ac:dyDescent="0.35">
      <c r="A265" s="634" t="s">
        <v>669</v>
      </c>
      <c r="B265" s="631">
        <v>130</v>
      </c>
      <c r="C265" s="635">
        <v>0.05</v>
      </c>
      <c r="D265" s="631">
        <v>6</v>
      </c>
      <c r="E265" s="633" t="s">
        <v>254</v>
      </c>
      <c r="F265" s="634" t="s">
        <v>664</v>
      </c>
    </row>
    <row r="266" spans="1:6" ht="29" x14ac:dyDescent="0.35">
      <c r="A266" s="18" t="s">
        <v>670</v>
      </c>
      <c r="B266" s="631">
        <v>131</v>
      </c>
      <c r="C266" s="632">
        <v>0.1</v>
      </c>
      <c r="D266" s="631">
        <v>10</v>
      </c>
      <c r="E266" s="633" t="s">
        <v>256</v>
      </c>
      <c r="F266" s="633" t="s">
        <v>256</v>
      </c>
    </row>
    <row r="267" spans="1:6" ht="29" x14ac:dyDescent="0.35">
      <c r="A267" s="18" t="s">
        <v>671</v>
      </c>
      <c r="B267" s="631">
        <v>132</v>
      </c>
      <c r="C267" s="632">
        <v>0.1</v>
      </c>
      <c r="D267" s="631">
        <v>10</v>
      </c>
      <c r="E267" s="633" t="s">
        <v>256</v>
      </c>
      <c r="F267" s="633" t="s">
        <v>256</v>
      </c>
    </row>
    <row r="268" spans="1:6" ht="72.5" x14ac:dyDescent="0.35">
      <c r="A268" s="18" t="s">
        <v>672</v>
      </c>
      <c r="B268" s="631">
        <v>133</v>
      </c>
      <c r="C268" s="632">
        <v>0.05</v>
      </c>
      <c r="D268" s="631">
        <v>5</v>
      </c>
      <c r="E268" s="633" t="s">
        <v>254</v>
      </c>
      <c r="F268" s="634" t="s">
        <v>654</v>
      </c>
    </row>
    <row r="269" spans="1:6" ht="72.5" x14ac:dyDescent="0.35">
      <c r="A269" s="18" t="s">
        <v>673</v>
      </c>
      <c r="B269" s="631">
        <v>136</v>
      </c>
      <c r="C269" s="632">
        <v>0.35</v>
      </c>
      <c r="D269" s="631">
        <v>5</v>
      </c>
      <c r="E269" s="633" t="s">
        <v>254</v>
      </c>
      <c r="F269" s="634" t="s">
        <v>664</v>
      </c>
    </row>
    <row r="270" spans="1:6" ht="72.5" x14ac:dyDescent="0.35">
      <c r="A270" s="18" t="s">
        <v>674</v>
      </c>
      <c r="B270" s="631">
        <v>137</v>
      </c>
      <c r="C270" s="632">
        <v>0.25</v>
      </c>
      <c r="D270" s="631">
        <v>10</v>
      </c>
      <c r="E270" s="633" t="s">
        <v>254</v>
      </c>
      <c r="F270" s="634" t="s">
        <v>664</v>
      </c>
    </row>
    <row r="271" spans="1:6" ht="72.5" x14ac:dyDescent="0.35">
      <c r="A271" s="18" t="s">
        <v>675</v>
      </c>
      <c r="B271" s="631">
        <v>138</v>
      </c>
      <c r="C271" s="632">
        <v>0.41</v>
      </c>
      <c r="D271" s="631">
        <v>10</v>
      </c>
      <c r="E271" s="636" t="s">
        <v>62</v>
      </c>
      <c r="F271" s="634" t="s">
        <v>676</v>
      </c>
    </row>
    <row r="272" spans="1:6" ht="72.5" x14ac:dyDescent="0.35">
      <c r="A272" s="18" t="s">
        <v>677</v>
      </c>
      <c r="B272" s="631">
        <v>139</v>
      </c>
      <c r="C272" s="632">
        <v>0.12</v>
      </c>
      <c r="D272" s="631">
        <v>7</v>
      </c>
      <c r="E272" s="633" t="s">
        <v>254</v>
      </c>
      <c r="F272" s="634" t="s">
        <v>664</v>
      </c>
    </row>
    <row r="273" spans="1:6" ht="72.5" x14ac:dyDescent="0.35">
      <c r="A273" s="18" t="s">
        <v>678</v>
      </c>
      <c r="B273" s="631">
        <v>201</v>
      </c>
      <c r="C273" s="632">
        <v>0.75</v>
      </c>
      <c r="D273" s="631">
        <v>15</v>
      </c>
      <c r="E273" s="633" t="s">
        <v>254</v>
      </c>
      <c r="F273" s="634" t="s">
        <v>661</v>
      </c>
    </row>
    <row r="274" spans="1:6" ht="87" x14ac:dyDescent="0.35">
      <c r="A274" s="18" t="s">
        <v>679</v>
      </c>
      <c r="B274" s="631">
        <v>203</v>
      </c>
      <c r="C274" s="632">
        <v>0.25</v>
      </c>
      <c r="D274" s="631">
        <v>20</v>
      </c>
      <c r="E274" s="633" t="s">
        <v>254</v>
      </c>
      <c r="F274" s="634" t="s">
        <v>680</v>
      </c>
    </row>
    <row r="275" spans="1:6" ht="72.5" x14ac:dyDescent="0.35">
      <c r="A275" s="634" t="s">
        <v>681</v>
      </c>
      <c r="B275" s="631">
        <v>204</v>
      </c>
      <c r="C275" s="632">
        <v>0.05</v>
      </c>
      <c r="D275" s="631">
        <v>20</v>
      </c>
      <c r="E275" s="633" t="s">
        <v>254</v>
      </c>
      <c r="F275" s="634" t="s">
        <v>682</v>
      </c>
    </row>
    <row r="276" spans="1:6" ht="72.5" x14ac:dyDescent="0.35">
      <c r="A276" s="18" t="s">
        <v>683</v>
      </c>
      <c r="B276" s="631">
        <v>209</v>
      </c>
      <c r="C276" s="635">
        <v>0.5</v>
      </c>
      <c r="D276" s="631">
        <v>20</v>
      </c>
      <c r="E276" s="633" t="s">
        <v>254</v>
      </c>
      <c r="F276" s="634" t="s">
        <v>682</v>
      </c>
    </row>
    <row r="277" spans="1:6" x14ac:dyDescent="0.35">
      <c r="A277" s="18" t="s">
        <v>684</v>
      </c>
      <c r="B277" s="631">
        <v>217</v>
      </c>
      <c r="C277" s="632">
        <v>0.6</v>
      </c>
      <c r="D277" s="631">
        <v>10</v>
      </c>
      <c r="E277" s="636" t="s">
        <v>685</v>
      </c>
      <c r="F277" s="634" t="s">
        <v>685</v>
      </c>
    </row>
    <row r="278" spans="1:6" ht="72.5" x14ac:dyDescent="0.35">
      <c r="A278" s="18" t="s">
        <v>686</v>
      </c>
      <c r="B278" s="631">
        <v>218</v>
      </c>
      <c r="C278" s="632">
        <v>0.55000000000000004</v>
      </c>
      <c r="D278" s="631">
        <v>20</v>
      </c>
      <c r="E278" s="633" t="s">
        <v>254</v>
      </c>
      <c r="F278" s="634" t="s">
        <v>664</v>
      </c>
    </row>
    <row r="279" spans="1:6" ht="72.5" x14ac:dyDescent="0.35">
      <c r="A279" s="18" t="s">
        <v>687</v>
      </c>
      <c r="B279" s="631">
        <v>303</v>
      </c>
      <c r="C279" s="632">
        <v>0.3</v>
      </c>
      <c r="D279" s="631">
        <v>10</v>
      </c>
      <c r="E279" s="633" t="s">
        <v>254</v>
      </c>
      <c r="F279" s="634" t="s">
        <v>688</v>
      </c>
    </row>
    <row r="280" spans="1:6" ht="72.5" x14ac:dyDescent="0.35">
      <c r="A280" s="634" t="s">
        <v>689</v>
      </c>
      <c r="B280" s="631">
        <v>304</v>
      </c>
      <c r="C280" s="632">
        <v>0.49</v>
      </c>
      <c r="D280" s="631">
        <v>15</v>
      </c>
      <c r="E280" s="633" t="s">
        <v>254</v>
      </c>
      <c r="F280" s="634" t="s">
        <v>690</v>
      </c>
    </row>
    <row r="281" spans="1:6" ht="58" x14ac:dyDescent="0.35">
      <c r="A281" s="18" t="s">
        <v>691</v>
      </c>
      <c r="B281" s="631">
        <v>305</v>
      </c>
      <c r="C281" s="635">
        <v>0.13</v>
      </c>
      <c r="D281" s="631">
        <v>15</v>
      </c>
      <c r="E281" s="636" t="s">
        <v>62</v>
      </c>
      <c r="F281" s="634" t="s">
        <v>692</v>
      </c>
    </row>
    <row r="282" spans="1:6" ht="72.5" x14ac:dyDescent="0.35">
      <c r="A282" s="18" t="s">
        <v>693</v>
      </c>
      <c r="B282" s="631">
        <v>306</v>
      </c>
      <c r="C282" s="635">
        <v>0.45</v>
      </c>
      <c r="D282" s="631">
        <v>5</v>
      </c>
      <c r="E282" s="633" t="s">
        <v>254</v>
      </c>
      <c r="F282" s="634" t="s">
        <v>694</v>
      </c>
    </row>
    <row r="283" spans="1:6" ht="29" x14ac:dyDescent="0.35">
      <c r="A283" s="18" t="s">
        <v>695</v>
      </c>
      <c r="B283" s="631">
        <v>307</v>
      </c>
      <c r="C283" s="635">
        <v>0.2</v>
      </c>
      <c r="D283" s="631">
        <v>5</v>
      </c>
      <c r="E283" s="636" t="s">
        <v>62</v>
      </c>
      <c r="F283" s="634" t="s">
        <v>62</v>
      </c>
    </row>
    <row r="284" spans="1:6" ht="72.5" x14ac:dyDescent="0.35">
      <c r="A284" s="18" t="s">
        <v>696</v>
      </c>
      <c r="B284" s="631">
        <v>401</v>
      </c>
      <c r="C284" s="632">
        <v>0.2</v>
      </c>
      <c r="D284" s="631">
        <v>2</v>
      </c>
      <c r="E284" s="633" t="s">
        <v>254</v>
      </c>
      <c r="F284" s="634" t="s">
        <v>664</v>
      </c>
    </row>
    <row r="285" spans="1:6" ht="72.5" x14ac:dyDescent="0.35">
      <c r="A285" s="18" t="s">
        <v>697</v>
      </c>
      <c r="B285" s="631">
        <v>402</v>
      </c>
      <c r="C285" s="632">
        <v>0.25</v>
      </c>
      <c r="D285" s="631">
        <v>2</v>
      </c>
      <c r="E285" s="633" t="s">
        <v>254</v>
      </c>
      <c r="F285" s="634" t="s">
        <v>698</v>
      </c>
    </row>
    <row r="286" spans="1:6" ht="29" x14ac:dyDescent="0.35">
      <c r="A286" s="634" t="s">
        <v>699</v>
      </c>
      <c r="B286" s="631">
        <v>403</v>
      </c>
      <c r="C286" s="632">
        <v>0.1</v>
      </c>
      <c r="D286" s="631">
        <v>2</v>
      </c>
      <c r="E286" s="636" t="s">
        <v>256</v>
      </c>
      <c r="F286" s="634" t="s">
        <v>256</v>
      </c>
    </row>
    <row r="287" spans="1:6" ht="72.5" x14ac:dyDescent="0.35">
      <c r="A287" s="634" t="s">
        <v>700</v>
      </c>
      <c r="B287" s="631">
        <v>404</v>
      </c>
      <c r="C287" s="632">
        <v>0.65</v>
      </c>
      <c r="D287" s="631">
        <v>2</v>
      </c>
      <c r="E287" s="633" t="s">
        <v>254</v>
      </c>
      <c r="F287" s="634" t="s">
        <v>661</v>
      </c>
    </row>
    <row r="288" spans="1:6" ht="29" x14ac:dyDescent="0.35">
      <c r="A288" s="18" t="s">
        <v>701</v>
      </c>
      <c r="B288" s="631">
        <v>407</v>
      </c>
      <c r="C288" s="635">
        <v>0.65</v>
      </c>
      <c r="D288" s="637">
        <v>25</v>
      </c>
      <c r="E288" s="636" t="s">
        <v>256</v>
      </c>
      <c r="F288" s="634" t="s">
        <v>256</v>
      </c>
    </row>
    <row r="289" spans="1:6" ht="72.5" x14ac:dyDescent="0.35">
      <c r="A289" s="18" t="s">
        <v>702</v>
      </c>
      <c r="B289" s="631">
        <v>502</v>
      </c>
      <c r="C289" s="632">
        <v>0.3</v>
      </c>
      <c r="D289" s="631">
        <v>20</v>
      </c>
      <c r="E289" s="633" t="s">
        <v>254</v>
      </c>
      <c r="F289" s="634" t="s">
        <v>703</v>
      </c>
    </row>
    <row r="290" spans="1:6" ht="72.5" x14ac:dyDescent="0.35">
      <c r="A290" s="18" t="s">
        <v>704</v>
      </c>
      <c r="B290" s="631">
        <v>503</v>
      </c>
      <c r="C290" s="632">
        <v>0.25</v>
      </c>
      <c r="D290" s="631">
        <v>20</v>
      </c>
      <c r="E290" s="633" t="s">
        <v>254</v>
      </c>
      <c r="F290" s="634" t="s">
        <v>682</v>
      </c>
    </row>
    <row r="291" spans="1:6" ht="72.5" x14ac:dyDescent="0.35">
      <c r="A291" s="18" t="s">
        <v>705</v>
      </c>
      <c r="B291" s="631">
        <v>504</v>
      </c>
      <c r="C291" s="632">
        <v>0.25</v>
      </c>
      <c r="D291" s="631">
        <v>20</v>
      </c>
      <c r="E291" s="633" t="s">
        <v>254</v>
      </c>
      <c r="F291" s="634" t="s">
        <v>664</v>
      </c>
    </row>
    <row r="292" spans="1:6" ht="72.5" x14ac:dyDescent="0.35">
      <c r="A292" s="634" t="s">
        <v>706</v>
      </c>
      <c r="B292" s="631">
        <v>505</v>
      </c>
      <c r="C292" s="632">
        <v>0.5</v>
      </c>
      <c r="D292" s="631">
        <v>10</v>
      </c>
      <c r="E292" s="633" t="s">
        <v>254</v>
      </c>
      <c r="F292" s="634" t="s">
        <v>664</v>
      </c>
    </row>
    <row r="293" spans="1:6" ht="72.5" x14ac:dyDescent="0.35">
      <c r="A293" s="18" t="s">
        <v>707</v>
      </c>
      <c r="B293" s="631">
        <v>506</v>
      </c>
      <c r="C293" s="635">
        <v>0.55000000000000004</v>
      </c>
      <c r="D293" s="631">
        <v>10</v>
      </c>
      <c r="E293" s="633" t="s">
        <v>254</v>
      </c>
      <c r="F293" s="634" t="s">
        <v>664</v>
      </c>
    </row>
    <row r="294" spans="1:6" ht="72.5" x14ac:dyDescent="0.35">
      <c r="A294" s="634" t="s">
        <v>708</v>
      </c>
      <c r="B294" s="631">
        <v>507</v>
      </c>
      <c r="C294" s="635">
        <v>0.65</v>
      </c>
      <c r="D294" s="631">
        <v>10</v>
      </c>
      <c r="E294" s="633" t="s">
        <v>254</v>
      </c>
      <c r="F294" s="634" t="s">
        <v>664</v>
      </c>
    </row>
    <row r="295" spans="1:6" ht="58" x14ac:dyDescent="0.35">
      <c r="A295" s="634" t="s">
        <v>709</v>
      </c>
      <c r="B295" s="631">
        <v>510</v>
      </c>
      <c r="C295" s="635">
        <v>0.4</v>
      </c>
      <c r="D295" s="631">
        <v>10</v>
      </c>
      <c r="E295" s="636" t="s">
        <v>62</v>
      </c>
      <c r="F295" s="634" t="s">
        <v>710</v>
      </c>
    </row>
    <row r="296" spans="1:6" ht="29" x14ac:dyDescent="0.35">
      <c r="A296" s="18" t="s">
        <v>711</v>
      </c>
      <c r="B296" s="631">
        <v>514</v>
      </c>
      <c r="C296" s="632">
        <v>0.8</v>
      </c>
      <c r="D296" s="631">
        <v>30</v>
      </c>
      <c r="E296" s="636" t="s">
        <v>62</v>
      </c>
      <c r="F296" s="634" t="s">
        <v>62</v>
      </c>
    </row>
    <row r="297" spans="1:6" ht="29" x14ac:dyDescent="0.35">
      <c r="A297" s="18" t="s">
        <v>712</v>
      </c>
      <c r="B297" s="631">
        <v>515</v>
      </c>
      <c r="C297" s="632">
        <v>0.65</v>
      </c>
      <c r="D297" s="631">
        <v>30</v>
      </c>
      <c r="E297" s="636" t="s">
        <v>62</v>
      </c>
      <c r="F297" s="634" t="s">
        <v>62</v>
      </c>
    </row>
    <row r="298" spans="1:6" ht="72.5" x14ac:dyDescent="0.35">
      <c r="A298" s="634" t="s">
        <v>713</v>
      </c>
      <c r="B298" s="631">
        <v>516</v>
      </c>
      <c r="C298" s="632">
        <v>0.5</v>
      </c>
      <c r="D298" s="631">
        <v>20</v>
      </c>
      <c r="E298" s="633" t="s">
        <v>254</v>
      </c>
      <c r="F298" s="634" t="s">
        <v>714</v>
      </c>
    </row>
    <row r="299" spans="1:6" ht="72.5" x14ac:dyDescent="0.35">
      <c r="A299" s="18" t="s">
        <v>715</v>
      </c>
      <c r="B299" s="631">
        <v>517</v>
      </c>
      <c r="C299" s="635">
        <v>0.28000000000000003</v>
      </c>
      <c r="D299" s="631">
        <v>20</v>
      </c>
      <c r="E299" s="633" t="s">
        <v>254</v>
      </c>
      <c r="F299" s="634" t="s">
        <v>661</v>
      </c>
    </row>
    <row r="300" spans="1:6" ht="72.5" x14ac:dyDescent="0.35">
      <c r="A300" s="18" t="s">
        <v>716</v>
      </c>
      <c r="B300" s="631">
        <v>518</v>
      </c>
      <c r="C300" s="632">
        <v>0.5</v>
      </c>
      <c r="D300" s="631">
        <v>10</v>
      </c>
      <c r="E300" s="633" t="s">
        <v>254</v>
      </c>
      <c r="F300" s="634" t="s">
        <v>717</v>
      </c>
    </row>
    <row r="301" spans="1:6" ht="72.5" x14ac:dyDescent="0.35">
      <c r="A301" s="18" t="s">
        <v>718</v>
      </c>
      <c r="B301" s="631">
        <v>519</v>
      </c>
      <c r="C301" s="632">
        <v>0.25</v>
      </c>
      <c r="D301" s="631">
        <v>10</v>
      </c>
      <c r="E301" s="636" t="s">
        <v>62</v>
      </c>
      <c r="F301" s="634" t="s">
        <v>719</v>
      </c>
    </row>
    <row r="302" spans="1:6" ht="72.5" x14ac:dyDescent="0.35">
      <c r="A302" s="18" t="s">
        <v>720</v>
      </c>
      <c r="B302" s="631">
        <v>520</v>
      </c>
      <c r="C302" s="632">
        <v>0.4</v>
      </c>
      <c r="D302" s="631">
        <v>10</v>
      </c>
      <c r="E302" s="636" t="s">
        <v>62</v>
      </c>
      <c r="F302" s="634" t="s">
        <v>719</v>
      </c>
    </row>
    <row r="303" spans="1:6" ht="72.5" x14ac:dyDescent="0.35">
      <c r="A303" s="18" t="s">
        <v>721</v>
      </c>
      <c r="B303" s="631">
        <v>521</v>
      </c>
      <c r="C303" s="632">
        <v>0.25</v>
      </c>
      <c r="D303" s="631">
        <v>10</v>
      </c>
      <c r="E303" s="636" t="s">
        <v>62</v>
      </c>
      <c r="F303" s="634" t="s">
        <v>719</v>
      </c>
    </row>
    <row r="304" spans="1:6" ht="72.5" x14ac:dyDescent="0.35">
      <c r="A304" s="18" t="s">
        <v>722</v>
      </c>
      <c r="B304" s="631">
        <v>522</v>
      </c>
      <c r="C304" s="632">
        <v>0.4</v>
      </c>
      <c r="D304" s="631">
        <v>10</v>
      </c>
      <c r="E304" s="636" t="s">
        <v>62</v>
      </c>
      <c r="F304" s="634" t="s">
        <v>719</v>
      </c>
    </row>
    <row r="305" spans="1:6" ht="29" x14ac:dyDescent="0.35">
      <c r="A305" s="18" t="s">
        <v>723</v>
      </c>
      <c r="B305" s="631">
        <v>523</v>
      </c>
      <c r="C305" s="632">
        <v>0.95</v>
      </c>
      <c r="D305" s="631">
        <v>10</v>
      </c>
      <c r="E305" s="633" t="s">
        <v>256</v>
      </c>
      <c r="F305" s="633" t="s">
        <v>256</v>
      </c>
    </row>
    <row r="306" spans="1:6" ht="72.5" x14ac:dyDescent="0.35">
      <c r="A306" s="634" t="s">
        <v>724</v>
      </c>
      <c r="B306" s="631">
        <v>525</v>
      </c>
      <c r="C306" s="632">
        <v>0.68</v>
      </c>
      <c r="D306" s="631">
        <v>10</v>
      </c>
      <c r="E306" s="633" t="s">
        <v>254</v>
      </c>
      <c r="F306" s="634" t="s">
        <v>725</v>
      </c>
    </row>
    <row r="307" spans="1:6" ht="72.5" x14ac:dyDescent="0.35">
      <c r="A307" s="18" t="s">
        <v>726</v>
      </c>
      <c r="B307" s="631">
        <v>532</v>
      </c>
      <c r="C307" s="635">
        <v>0.15</v>
      </c>
      <c r="D307" s="631">
        <v>10</v>
      </c>
      <c r="E307" s="633" t="s">
        <v>254</v>
      </c>
      <c r="F307" s="634" t="s">
        <v>664</v>
      </c>
    </row>
    <row r="308" spans="1:6" ht="101.5" x14ac:dyDescent="0.35">
      <c r="A308" s="18" t="s">
        <v>727</v>
      </c>
      <c r="B308" s="631">
        <v>533</v>
      </c>
      <c r="C308" s="632">
        <v>7.0000000000000007E-2</v>
      </c>
      <c r="D308" s="631">
        <v>5</v>
      </c>
      <c r="E308" s="633" t="s">
        <v>254</v>
      </c>
      <c r="F308" s="634" t="s">
        <v>728</v>
      </c>
    </row>
    <row r="309" spans="1:6" ht="101.5" x14ac:dyDescent="0.35">
      <c r="A309" s="18" t="s">
        <v>729</v>
      </c>
      <c r="B309" s="631">
        <v>534</v>
      </c>
      <c r="C309" s="632">
        <v>0.17</v>
      </c>
      <c r="D309" s="631">
        <v>4</v>
      </c>
      <c r="E309" s="633" t="s">
        <v>254</v>
      </c>
      <c r="F309" s="634" t="s">
        <v>728</v>
      </c>
    </row>
    <row r="310" spans="1:6" ht="72.5" x14ac:dyDescent="0.35">
      <c r="A310" s="18" t="s">
        <v>730</v>
      </c>
      <c r="B310" s="631">
        <v>536</v>
      </c>
      <c r="C310" s="632">
        <v>0.31</v>
      </c>
      <c r="D310" s="631">
        <v>20</v>
      </c>
      <c r="E310" s="633" t="s">
        <v>254</v>
      </c>
      <c r="F310" s="634" t="s">
        <v>682</v>
      </c>
    </row>
    <row r="311" spans="1:6" ht="72.5" x14ac:dyDescent="0.35">
      <c r="A311" s="18" t="s">
        <v>731</v>
      </c>
      <c r="B311" s="631">
        <v>537</v>
      </c>
      <c r="C311" s="632">
        <v>0.4</v>
      </c>
      <c r="D311" s="631">
        <v>20</v>
      </c>
      <c r="E311" s="633" t="s">
        <v>254</v>
      </c>
      <c r="F311" s="634" t="s">
        <v>682</v>
      </c>
    </row>
    <row r="312" spans="1:6" ht="72.5" x14ac:dyDescent="0.35">
      <c r="A312" s="18" t="s">
        <v>732</v>
      </c>
      <c r="B312" s="631">
        <v>538</v>
      </c>
      <c r="C312" s="632">
        <v>0.45</v>
      </c>
      <c r="D312" s="631">
        <v>20</v>
      </c>
      <c r="E312" s="633" t="s">
        <v>254</v>
      </c>
      <c r="F312" s="634" t="s">
        <v>664</v>
      </c>
    </row>
    <row r="313" spans="1:6" ht="72.5" x14ac:dyDescent="0.35">
      <c r="A313" s="18" t="s">
        <v>733</v>
      </c>
      <c r="B313" s="631">
        <v>540</v>
      </c>
      <c r="C313" s="632">
        <v>0.25</v>
      </c>
      <c r="D313" s="631">
        <v>10</v>
      </c>
      <c r="E313" s="633" t="s">
        <v>254</v>
      </c>
      <c r="F313" s="634" t="s">
        <v>664</v>
      </c>
    </row>
    <row r="314" spans="1:6" ht="72.5" x14ac:dyDescent="0.35">
      <c r="A314" s="18" t="s">
        <v>734</v>
      </c>
      <c r="B314" s="631">
        <v>541</v>
      </c>
      <c r="C314" s="632">
        <v>0.3</v>
      </c>
      <c r="D314" s="631">
        <v>20</v>
      </c>
      <c r="E314" s="633" t="s">
        <v>254</v>
      </c>
      <c r="F314" s="634" t="s">
        <v>664</v>
      </c>
    </row>
    <row r="315" spans="1:6" ht="72.5" x14ac:dyDescent="0.35">
      <c r="A315" s="18" t="s">
        <v>735</v>
      </c>
      <c r="B315" s="631">
        <v>542</v>
      </c>
      <c r="C315" s="632">
        <v>0.26</v>
      </c>
      <c r="D315" s="631">
        <v>10</v>
      </c>
      <c r="E315" s="633" t="s">
        <v>254</v>
      </c>
      <c r="F315" s="634" t="s">
        <v>664</v>
      </c>
    </row>
    <row r="316" spans="1:6" ht="72.5" x14ac:dyDescent="0.35">
      <c r="A316" s="18" t="s">
        <v>736</v>
      </c>
      <c r="B316" s="631">
        <v>543</v>
      </c>
      <c r="C316" s="632">
        <v>7.0000000000000007E-2</v>
      </c>
      <c r="D316" s="631">
        <v>5</v>
      </c>
      <c r="E316" s="633" t="s">
        <v>254</v>
      </c>
      <c r="F316" s="634" t="s">
        <v>664</v>
      </c>
    </row>
    <row r="317" spans="1:6" ht="72.5" x14ac:dyDescent="0.35">
      <c r="A317" s="18" t="s">
        <v>737</v>
      </c>
      <c r="B317" s="631">
        <v>544</v>
      </c>
      <c r="C317" s="632">
        <v>0.17</v>
      </c>
      <c r="D317" s="631">
        <v>4</v>
      </c>
      <c r="E317" s="633" t="s">
        <v>254</v>
      </c>
      <c r="F317" s="634" t="s">
        <v>664</v>
      </c>
    </row>
    <row r="318" spans="1:6" ht="29" x14ac:dyDescent="0.35">
      <c r="A318" s="18" t="s">
        <v>738</v>
      </c>
      <c r="B318" s="631">
        <v>545</v>
      </c>
      <c r="C318" s="632">
        <v>0.15</v>
      </c>
      <c r="D318" s="631">
        <v>5</v>
      </c>
      <c r="E318" s="636" t="s">
        <v>62</v>
      </c>
      <c r="F318" s="634" t="s">
        <v>62</v>
      </c>
    </row>
    <row r="319" spans="1:6" ht="29" x14ac:dyDescent="0.35">
      <c r="A319" s="18" t="s">
        <v>739</v>
      </c>
      <c r="B319" s="631">
        <v>547</v>
      </c>
      <c r="C319" s="632">
        <v>0.4</v>
      </c>
      <c r="D319" s="631">
        <v>10</v>
      </c>
      <c r="E319" s="636" t="s">
        <v>62</v>
      </c>
      <c r="F319" s="634" t="s">
        <v>62</v>
      </c>
    </row>
    <row r="323" spans="1:3" x14ac:dyDescent="0.35">
      <c r="A323" s="583" t="s">
        <v>740</v>
      </c>
    </row>
    <row r="324" spans="1:3" ht="28" x14ac:dyDescent="0.35">
      <c r="A324" s="598" t="s">
        <v>741</v>
      </c>
      <c r="B324" s="598" t="s">
        <v>742</v>
      </c>
      <c r="C324" s="593" t="s">
        <v>33</v>
      </c>
    </row>
    <row r="325" spans="1:3" x14ac:dyDescent="0.35">
      <c r="A325" s="34" t="s">
        <v>644</v>
      </c>
      <c r="B325" s="638">
        <v>0</v>
      </c>
      <c r="C325" s="34">
        <v>0</v>
      </c>
    </row>
    <row r="326" spans="1:3" x14ac:dyDescent="0.35">
      <c r="A326" s="639" t="s">
        <v>743</v>
      </c>
      <c r="B326" s="638">
        <v>0.15</v>
      </c>
      <c r="C326" s="34">
        <v>1</v>
      </c>
    </row>
    <row r="327" spans="1:3" x14ac:dyDescent="0.35">
      <c r="A327" s="639" t="s">
        <v>744</v>
      </c>
      <c r="B327" s="638">
        <v>0.2</v>
      </c>
      <c r="C327" s="34">
        <v>2</v>
      </c>
    </row>
    <row r="328" spans="1:3" x14ac:dyDescent="0.35">
      <c r="A328" s="639" t="s">
        <v>745</v>
      </c>
      <c r="B328" s="638">
        <v>0.25</v>
      </c>
      <c r="C328" s="34">
        <v>3</v>
      </c>
    </row>
    <row r="329" spans="1:3" x14ac:dyDescent="0.35">
      <c r="A329" s="639" t="s">
        <v>746</v>
      </c>
      <c r="B329" s="638">
        <v>0.15</v>
      </c>
      <c r="C329" s="34">
        <v>4</v>
      </c>
    </row>
    <row r="330" spans="1:3" x14ac:dyDescent="0.35">
      <c r="A330" s="639" t="s">
        <v>747</v>
      </c>
      <c r="B330" s="638">
        <v>0.15</v>
      </c>
      <c r="C330" s="34">
        <v>5</v>
      </c>
    </row>
    <row r="331" spans="1:3" x14ac:dyDescent="0.35">
      <c r="A331" s="639" t="s">
        <v>748</v>
      </c>
      <c r="B331" s="638">
        <v>0.22</v>
      </c>
      <c r="C331" s="34">
        <v>6</v>
      </c>
    </row>
    <row r="332" spans="1:3" x14ac:dyDescent="0.35">
      <c r="A332" s="639" t="s">
        <v>749</v>
      </c>
      <c r="B332" s="638">
        <v>0.3</v>
      </c>
      <c r="C332" s="34">
        <v>7</v>
      </c>
    </row>
    <row r="333" spans="1:3" x14ac:dyDescent="0.35">
      <c r="A333" s="639" t="s">
        <v>750</v>
      </c>
      <c r="B333" s="638">
        <v>0.3</v>
      </c>
      <c r="C333" s="34">
        <v>8</v>
      </c>
    </row>
    <row r="334" spans="1:3" x14ac:dyDescent="0.35">
      <c r="A334" s="639" t="s">
        <v>751</v>
      </c>
      <c r="B334" s="638">
        <v>0.1</v>
      </c>
      <c r="C334" s="34">
        <v>9</v>
      </c>
    </row>
    <row r="335" spans="1:3" x14ac:dyDescent="0.35">
      <c r="A335" s="639" t="s">
        <v>752</v>
      </c>
      <c r="B335" s="638">
        <v>0.1</v>
      </c>
      <c r="C335" s="34">
        <v>10</v>
      </c>
    </row>
    <row r="336" spans="1:3" x14ac:dyDescent="0.35">
      <c r="A336" s="639" t="s">
        <v>753</v>
      </c>
      <c r="B336" s="638">
        <v>0.02</v>
      </c>
      <c r="C336" s="34">
        <v>11</v>
      </c>
    </row>
    <row r="337" spans="1:3" x14ac:dyDescent="0.35">
      <c r="A337" s="639" t="s">
        <v>754</v>
      </c>
      <c r="B337" s="638">
        <v>0.01</v>
      </c>
      <c r="C337" s="34">
        <v>12</v>
      </c>
    </row>
    <row r="338" spans="1:3" x14ac:dyDescent="0.35">
      <c r="A338" s="639" t="s">
        <v>755</v>
      </c>
      <c r="B338" s="638">
        <v>0.02</v>
      </c>
      <c r="C338" s="34">
        <v>13</v>
      </c>
    </row>
    <row r="339" spans="1:3" x14ac:dyDescent="0.35">
      <c r="A339" s="639" t="s">
        <v>756</v>
      </c>
      <c r="B339" s="638">
        <v>0.02</v>
      </c>
      <c r="C339" s="34">
        <v>14</v>
      </c>
    </row>
    <row r="340" spans="1:3" x14ac:dyDescent="0.35">
      <c r="A340" s="639" t="s">
        <v>757</v>
      </c>
      <c r="B340" s="638">
        <v>0.05</v>
      </c>
      <c r="C340" s="34">
        <v>15</v>
      </c>
    </row>
    <row r="341" spans="1:3" x14ac:dyDescent="0.35">
      <c r="A341" s="639" t="s">
        <v>758</v>
      </c>
      <c r="B341" s="638">
        <v>0.01</v>
      </c>
      <c r="C341" s="34">
        <v>16</v>
      </c>
    </row>
    <row r="342" spans="1:3" x14ac:dyDescent="0.35">
      <c r="A342" s="639" t="s">
        <v>759</v>
      </c>
      <c r="B342" s="638">
        <v>0.15</v>
      </c>
      <c r="C342" s="34">
        <v>17</v>
      </c>
    </row>
    <row r="343" spans="1:3" x14ac:dyDescent="0.35">
      <c r="A343" s="639" t="s">
        <v>760</v>
      </c>
      <c r="B343" s="638">
        <v>0.15</v>
      </c>
      <c r="C343" s="34">
        <v>18</v>
      </c>
    </row>
    <row r="344" spans="1:3" x14ac:dyDescent="0.35">
      <c r="A344" s="639" t="s">
        <v>761</v>
      </c>
      <c r="B344" s="638">
        <v>0.1</v>
      </c>
      <c r="C344" s="34">
        <v>19</v>
      </c>
    </row>
    <row r="345" spans="1:3" x14ac:dyDescent="0.35">
      <c r="A345" s="639" t="s">
        <v>762</v>
      </c>
      <c r="B345" s="638">
        <v>0.04</v>
      </c>
      <c r="C345" s="34">
        <v>20</v>
      </c>
    </row>
    <row r="346" spans="1:3" x14ac:dyDescent="0.35">
      <c r="A346" s="639" t="s">
        <v>763</v>
      </c>
      <c r="B346" s="638">
        <v>0.1</v>
      </c>
      <c r="C346" s="34">
        <v>21</v>
      </c>
    </row>
    <row r="347" spans="1:3" x14ac:dyDescent="0.35">
      <c r="A347" s="639" t="s">
        <v>764</v>
      </c>
      <c r="B347" s="638">
        <v>0.2</v>
      </c>
      <c r="C347" s="34">
        <v>22</v>
      </c>
    </row>
    <row r="348" spans="1:3" x14ac:dyDescent="0.35">
      <c r="A348" s="639" t="s">
        <v>765</v>
      </c>
      <c r="B348" s="638">
        <v>0.1</v>
      </c>
      <c r="C348" s="34">
        <v>23</v>
      </c>
    </row>
    <row r="349" spans="1:3" x14ac:dyDescent="0.35">
      <c r="A349" s="639" t="s">
        <v>766</v>
      </c>
      <c r="B349" s="638">
        <v>0.05</v>
      </c>
      <c r="C349" s="34">
        <v>24</v>
      </c>
    </row>
    <row r="350" spans="1:3" x14ac:dyDescent="0.35">
      <c r="A350" s="639" t="s">
        <v>767</v>
      </c>
      <c r="B350" s="638">
        <v>0.01</v>
      </c>
      <c r="C350" s="34">
        <v>25</v>
      </c>
    </row>
    <row r="351" spans="1:3" x14ac:dyDescent="0.35">
      <c r="A351" s="639" t="s">
        <v>768</v>
      </c>
      <c r="B351" s="638">
        <v>0.04</v>
      </c>
      <c r="C351" s="34">
        <v>26</v>
      </c>
    </row>
    <row r="352" spans="1:3" x14ac:dyDescent="0.35">
      <c r="A352" s="639" t="s">
        <v>769</v>
      </c>
      <c r="B352" s="638">
        <v>0.02</v>
      </c>
      <c r="C352" s="34">
        <v>27</v>
      </c>
    </row>
    <row r="353" spans="1:3" x14ac:dyDescent="0.35">
      <c r="A353" s="639" t="s">
        <v>770</v>
      </c>
      <c r="B353" s="638">
        <v>0.05</v>
      </c>
      <c r="C353" s="34">
        <v>28</v>
      </c>
    </row>
    <row r="354" spans="1:3" x14ac:dyDescent="0.35">
      <c r="A354" s="639" t="s">
        <v>771</v>
      </c>
      <c r="B354" s="638">
        <v>0.05</v>
      </c>
      <c r="C354" s="34">
        <v>29</v>
      </c>
    </row>
    <row r="355" spans="1:3" x14ac:dyDescent="0.35">
      <c r="A355" s="639" t="s">
        <v>772</v>
      </c>
      <c r="B355" s="638">
        <v>0.05</v>
      </c>
      <c r="C355" s="34">
        <v>30</v>
      </c>
    </row>
    <row r="356" spans="1:3" x14ac:dyDescent="0.35">
      <c r="A356" s="639" t="s">
        <v>773</v>
      </c>
      <c r="B356" s="638">
        <v>0.05</v>
      </c>
      <c r="C356" s="34">
        <v>31</v>
      </c>
    </row>
    <row r="357" spans="1:3" x14ac:dyDescent="0.35">
      <c r="A357" s="639" t="s">
        <v>774</v>
      </c>
      <c r="B357" s="638">
        <v>0.05</v>
      </c>
      <c r="C357" s="34">
        <v>32</v>
      </c>
    </row>
    <row r="358" spans="1:3" x14ac:dyDescent="0.35">
      <c r="A358" s="639" t="s">
        <v>775</v>
      </c>
      <c r="B358" s="638">
        <v>0.25</v>
      </c>
      <c r="C358" s="34">
        <v>33</v>
      </c>
    </row>
    <row r="359" spans="1:3" x14ac:dyDescent="0.35">
      <c r="A359" s="639" t="s">
        <v>776</v>
      </c>
      <c r="B359" s="638">
        <v>0.2</v>
      </c>
      <c r="C359" s="34">
        <v>34</v>
      </c>
    </row>
    <row r="360" spans="1:3" x14ac:dyDescent="0.35">
      <c r="A360" s="639" t="s">
        <v>777</v>
      </c>
      <c r="B360" s="638">
        <v>0.25</v>
      </c>
      <c r="C360" s="34">
        <v>35</v>
      </c>
    </row>
    <row r="361" spans="1:3" x14ac:dyDescent="0.35">
      <c r="A361" s="639" t="s">
        <v>778</v>
      </c>
      <c r="B361" s="638">
        <v>0.25</v>
      </c>
      <c r="C361" s="34">
        <v>36</v>
      </c>
    </row>
    <row r="362" spans="1:3" x14ac:dyDescent="0.35">
      <c r="A362" s="639" t="s">
        <v>779</v>
      </c>
      <c r="B362" s="638">
        <v>0.3</v>
      </c>
      <c r="C362" s="34">
        <v>37</v>
      </c>
    </row>
    <row r="363" spans="1:3" x14ac:dyDescent="0.35">
      <c r="A363" s="639" t="s">
        <v>780</v>
      </c>
      <c r="B363" s="638">
        <v>0.2</v>
      </c>
      <c r="C363" s="34">
        <v>38</v>
      </c>
    </row>
    <row r="364" spans="1:3" x14ac:dyDescent="0.35">
      <c r="A364" s="639" t="s">
        <v>781</v>
      </c>
      <c r="B364" s="638">
        <v>0.2</v>
      </c>
      <c r="C364" s="34">
        <v>39</v>
      </c>
    </row>
    <row r="365" spans="1:3" x14ac:dyDescent="0.35">
      <c r="A365" s="639" t="s">
        <v>782</v>
      </c>
      <c r="B365" s="638">
        <v>0.2</v>
      </c>
      <c r="C365" s="34">
        <v>40</v>
      </c>
    </row>
    <row r="366" spans="1:3" x14ac:dyDescent="0.35">
      <c r="A366" s="639" t="s">
        <v>783</v>
      </c>
      <c r="B366" s="638">
        <v>0.05</v>
      </c>
      <c r="C366" s="34">
        <v>41</v>
      </c>
    </row>
    <row r="367" spans="1:3" x14ac:dyDescent="0.35">
      <c r="A367" s="639" t="s">
        <v>784</v>
      </c>
      <c r="B367" s="638">
        <v>0.05</v>
      </c>
      <c r="C367" s="34">
        <v>42</v>
      </c>
    </row>
    <row r="368" spans="1:3" x14ac:dyDescent="0.35">
      <c r="A368" s="639" t="s">
        <v>785</v>
      </c>
      <c r="B368" s="638">
        <v>0.05</v>
      </c>
      <c r="C368" s="34">
        <v>43</v>
      </c>
    </row>
    <row r="369" spans="1:3" x14ac:dyDescent="0.35">
      <c r="A369" s="639" t="s">
        <v>786</v>
      </c>
      <c r="B369" s="638">
        <v>0.05</v>
      </c>
      <c r="C369" s="34">
        <v>44</v>
      </c>
    </row>
    <row r="370" spans="1:3" x14ac:dyDescent="0.35">
      <c r="A370" s="639" t="s">
        <v>787</v>
      </c>
      <c r="B370" s="638">
        <v>0.2</v>
      </c>
      <c r="C370" s="34">
        <v>45</v>
      </c>
    </row>
    <row r="371" spans="1:3" x14ac:dyDescent="0.35">
      <c r="A371" s="639" t="s">
        <v>788</v>
      </c>
      <c r="B371" s="638">
        <v>0.15</v>
      </c>
      <c r="C371" s="34">
        <v>46</v>
      </c>
    </row>
    <row r="372" spans="1:3" x14ac:dyDescent="0.35">
      <c r="A372" s="640" t="s">
        <v>789</v>
      </c>
      <c r="B372" s="638">
        <v>0.1</v>
      </c>
      <c r="C372" s="34">
        <v>47</v>
      </c>
    </row>
    <row r="373" spans="1:3" x14ac:dyDescent="0.35">
      <c r="A373" s="639" t="s">
        <v>790</v>
      </c>
      <c r="B373" s="638">
        <v>0.1</v>
      </c>
      <c r="C373" s="34">
        <v>48</v>
      </c>
    </row>
    <row r="374" spans="1:3" x14ac:dyDescent="0.35">
      <c r="A374" s="639" t="s">
        <v>791</v>
      </c>
      <c r="B374" s="638">
        <v>0.4</v>
      </c>
      <c r="C374" s="34">
        <v>49</v>
      </c>
    </row>
    <row r="375" spans="1:3" x14ac:dyDescent="0.35">
      <c r="A375" s="639" t="s">
        <v>792</v>
      </c>
      <c r="B375" s="638">
        <v>0.2</v>
      </c>
      <c r="C375" s="34">
        <v>50</v>
      </c>
    </row>
    <row r="376" spans="1:3" x14ac:dyDescent="0.35">
      <c r="A376" s="639" t="s">
        <v>793</v>
      </c>
      <c r="B376" s="638">
        <v>0.2</v>
      </c>
      <c r="C376" s="34">
        <v>51</v>
      </c>
    </row>
    <row r="377" spans="1:3" x14ac:dyDescent="0.35">
      <c r="A377" s="639" t="s">
        <v>794</v>
      </c>
      <c r="B377" s="638">
        <v>0.15</v>
      </c>
      <c r="C377" s="34">
        <v>52</v>
      </c>
    </row>
    <row r="378" spans="1:3" x14ac:dyDescent="0.35">
      <c r="A378" s="639" t="s">
        <v>795</v>
      </c>
      <c r="B378" s="638">
        <v>0.2</v>
      </c>
      <c r="C378" s="34">
        <v>53</v>
      </c>
    </row>
    <row r="379" spans="1:3" x14ac:dyDescent="0.35">
      <c r="A379" s="639" t="s">
        <v>796</v>
      </c>
      <c r="B379" s="638">
        <v>0.05</v>
      </c>
      <c r="C379" s="34">
        <v>54</v>
      </c>
    </row>
    <row r="380" spans="1:3" x14ac:dyDescent="0.35">
      <c r="A380" s="639" t="s">
        <v>797</v>
      </c>
      <c r="B380" s="638">
        <v>0.03</v>
      </c>
      <c r="C380" s="34">
        <v>55</v>
      </c>
    </row>
    <row r="381" spans="1:3" x14ac:dyDescent="0.35">
      <c r="A381" s="639" t="s">
        <v>611</v>
      </c>
      <c r="B381" s="638">
        <v>0.1</v>
      </c>
      <c r="C381" s="34">
        <v>56</v>
      </c>
    </row>
    <row r="382" spans="1:3" x14ac:dyDescent="0.35">
      <c r="A382" s="639" t="s">
        <v>612</v>
      </c>
      <c r="B382" s="638">
        <v>0.1</v>
      </c>
      <c r="C382" s="34">
        <v>57</v>
      </c>
    </row>
    <row r="383" spans="1:3" x14ac:dyDescent="0.35">
      <c r="A383" s="639" t="s">
        <v>798</v>
      </c>
      <c r="B383" s="638">
        <v>0.03</v>
      </c>
      <c r="C383" s="34">
        <v>58</v>
      </c>
    </row>
    <row r="384" spans="1:3" x14ac:dyDescent="0.35">
      <c r="A384" s="639" t="s">
        <v>799</v>
      </c>
      <c r="B384" s="638">
        <v>0.03</v>
      </c>
      <c r="C384" s="34">
        <v>59</v>
      </c>
    </row>
    <row r="385" spans="1:3" x14ac:dyDescent="0.35">
      <c r="A385" s="639" t="s">
        <v>800</v>
      </c>
      <c r="B385" s="638">
        <v>0.01</v>
      </c>
      <c r="C385" s="34">
        <v>60</v>
      </c>
    </row>
    <row r="386" spans="1:3" x14ac:dyDescent="0.35">
      <c r="A386" s="639" t="s">
        <v>801</v>
      </c>
      <c r="B386" s="638">
        <v>0.01</v>
      </c>
      <c r="C386" s="34">
        <v>61</v>
      </c>
    </row>
    <row r="387" spans="1:3" x14ac:dyDescent="0.35">
      <c r="A387" s="639" t="s">
        <v>802</v>
      </c>
      <c r="B387" s="638">
        <v>0.01</v>
      </c>
      <c r="C387" s="34">
        <v>62</v>
      </c>
    </row>
    <row r="388" spans="1:3" x14ac:dyDescent="0.35">
      <c r="A388" s="639" t="s">
        <v>803</v>
      </c>
      <c r="B388" s="638">
        <v>0.01</v>
      </c>
      <c r="C388" s="34">
        <v>63</v>
      </c>
    </row>
    <row r="389" spans="1:3" x14ac:dyDescent="0.35">
      <c r="A389" s="639" t="s">
        <v>804</v>
      </c>
      <c r="B389" s="638">
        <v>0.02</v>
      </c>
      <c r="C389" s="34">
        <v>64</v>
      </c>
    </row>
    <row r="390" spans="1:3" x14ac:dyDescent="0.35">
      <c r="A390" s="639" t="s">
        <v>805</v>
      </c>
      <c r="B390" s="638">
        <v>0.01</v>
      </c>
      <c r="C390" s="34">
        <v>65</v>
      </c>
    </row>
    <row r="391" spans="1:3" x14ac:dyDescent="0.35">
      <c r="A391" s="639" t="s">
        <v>806</v>
      </c>
      <c r="B391" s="638">
        <v>0.03</v>
      </c>
      <c r="C391" s="34">
        <v>66</v>
      </c>
    </row>
    <row r="392" spans="1:3" x14ac:dyDescent="0.35">
      <c r="A392" s="639" t="s">
        <v>807</v>
      </c>
      <c r="B392" s="638">
        <v>0.03</v>
      </c>
      <c r="C392" s="34">
        <v>67</v>
      </c>
    </row>
    <row r="393" spans="1:3" x14ac:dyDescent="0.35">
      <c r="A393" s="639" t="s">
        <v>808</v>
      </c>
      <c r="B393" s="638">
        <v>0.03</v>
      </c>
      <c r="C393" s="34">
        <v>68</v>
      </c>
    </row>
    <row r="394" spans="1:3" x14ac:dyDescent="0.35">
      <c r="A394" s="639" t="s">
        <v>809</v>
      </c>
      <c r="B394" s="638">
        <v>0.03</v>
      </c>
      <c r="C394" s="34">
        <v>69</v>
      </c>
    </row>
    <row r="395" spans="1:3" x14ac:dyDescent="0.35">
      <c r="A395" s="639" t="s">
        <v>810</v>
      </c>
      <c r="B395" s="638">
        <v>0.05</v>
      </c>
      <c r="C395" s="34">
        <v>70</v>
      </c>
    </row>
    <row r="396" spans="1:3" x14ac:dyDescent="0.35">
      <c r="A396" s="639" t="s">
        <v>811</v>
      </c>
      <c r="B396" s="638">
        <v>0.1</v>
      </c>
      <c r="C396" s="34">
        <v>71</v>
      </c>
    </row>
    <row r="397" spans="1:3" x14ac:dyDescent="0.35">
      <c r="A397" s="639" t="s">
        <v>812</v>
      </c>
      <c r="B397" s="638">
        <v>0.1</v>
      </c>
      <c r="C397" s="34">
        <v>72</v>
      </c>
    </row>
    <row r="398" spans="1:3" x14ac:dyDescent="0.35">
      <c r="A398" s="639" t="s">
        <v>813</v>
      </c>
      <c r="B398" s="638">
        <v>0.08</v>
      </c>
      <c r="C398" s="34">
        <v>73</v>
      </c>
    </row>
    <row r="399" spans="1:3" x14ac:dyDescent="0.35">
      <c r="A399" s="639" t="s">
        <v>814</v>
      </c>
      <c r="B399" s="638">
        <v>0.03</v>
      </c>
      <c r="C399" s="34">
        <v>74</v>
      </c>
    </row>
    <row r="400" spans="1:3" x14ac:dyDescent="0.35">
      <c r="A400" s="639" t="s">
        <v>815</v>
      </c>
      <c r="B400" s="638">
        <v>0.03</v>
      </c>
      <c r="C400" s="34">
        <v>75</v>
      </c>
    </row>
    <row r="401" spans="1:8" x14ac:dyDescent="0.35">
      <c r="A401" s="639" t="s">
        <v>816</v>
      </c>
      <c r="B401" s="638">
        <v>0.03</v>
      </c>
      <c r="C401" s="34">
        <v>76</v>
      </c>
    </row>
    <row r="402" spans="1:8" x14ac:dyDescent="0.35">
      <c r="A402" s="679" t="s">
        <v>817</v>
      </c>
      <c r="B402" s="679"/>
      <c r="C402" s="679"/>
      <c r="D402" s="679"/>
      <c r="E402" s="679"/>
      <c r="F402" s="679"/>
      <c r="G402" s="679"/>
      <c r="H402" s="679"/>
    </row>
  </sheetData>
  <sheetProtection algorithmName="SHA-512" hashValue="+oeU/ugfXb5wf0eTY21PihaKkRoKbD+APMyq9BZgij1rRHYeouOrLYhJdeU4X2wY9I3+YuOy4POS6A0lHhJsDw==" saltValue="2JUaBuWmHKQ1iL/E4/rVMg==" spinCount="100000" sheet="1" objects="1" scenarios="1"/>
  <mergeCells count="37">
    <mergeCell ref="A402:H402"/>
    <mergeCell ref="A215:C215"/>
    <mergeCell ref="A216:C216"/>
    <mergeCell ref="A217:C217"/>
    <mergeCell ref="A224:C224"/>
    <mergeCell ref="A225:C225"/>
    <mergeCell ref="A226:C226"/>
    <mergeCell ref="A227:C227"/>
    <mergeCell ref="A230:A231"/>
    <mergeCell ref="B230:F230"/>
    <mergeCell ref="A242:G242"/>
    <mergeCell ref="A243:G243"/>
    <mergeCell ref="A192:A193"/>
    <mergeCell ref="B192:D192"/>
    <mergeCell ref="A75:D75"/>
    <mergeCell ref="A111:E111"/>
    <mergeCell ref="A112:E112"/>
    <mergeCell ref="A113:E113"/>
    <mergeCell ref="A149:B149"/>
    <mergeCell ref="A150:B150"/>
    <mergeCell ref="A160:B160"/>
    <mergeCell ref="A161:B161"/>
    <mergeCell ref="A164:A165"/>
    <mergeCell ref="B164:D164"/>
    <mergeCell ref="A189:D189"/>
    <mergeCell ref="A74:D74"/>
    <mergeCell ref="A20:B20"/>
    <mergeCell ref="A21:B21"/>
    <mergeCell ref="A36:B36"/>
    <mergeCell ref="A37:B37"/>
    <mergeCell ref="A38:B38"/>
    <mergeCell ref="A39:B39"/>
    <mergeCell ref="A40:B40"/>
    <mergeCell ref="A49:B49"/>
    <mergeCell ref="A56:B56"/>
    <mergeCell ref="A57:B57"/>
    <mergeCell ref="B60:D60"/>
  </mergeCells>
  <hyperlinks>
    <hyperlink ref="A3" r:id="rId1" display="Tables A-1 through A-4 come from USDOT BCA Guidance (March 2022, Revised)" xr:uid="{1245CC09-EB7C-49B6-AC02-0BBA5FD3A793}"/>
    <hyperlink ref="C137" r:id="rId2" location="eyJhcHBpZCI6MTksInN0ZXBzIjpbMSwyLDMsM10sImRhdGEiOltbImNhdGVnb3JpZXMiLCJTdXJ2ZXkiXSxbIm5pcGFfdGFibGVfbGlzdCIsIjEzIl0sWyJGaXJzdF9ZZWFyIiwiMjAwMyJdLFsiTGFzdF9ZZWFyIiwiMjAyMyJdLFsiU2NhbGUiLCIwIl0sWyJTZXJpZXMiLCJBIl1dfQ==" display="https://apps.bea.gov/iTable/?isuri=1&amp;reqid=19&amp;step=4&amp;categories=flatfiles&amp;nipa_table_list=1 - eyJhcHBpZCI6MTksInN0ZXBzIjpbMSwyLDMsM10sImRhdGEiOltbImNhdGVnb3JpZXMiLCJTdXJ2ZXkiXSxbIm5pcGFfdGFibGVfbGlzdCIsIjEzIl0sWyJGaXJzdF9ZZWFyIiwiMjAwMyJdLFsiTGFzdF9ZZWFyIiwiMjAyMyJdLFsiU2NhbGUiLCIwIl0sWyJTZXJpZXMiLCJBIl1dfQ==" xr:uid="{5B14FF2E-7F37-4279-B327-AC2581389161}"/>
  </hyperlinks>
  <pageMargins left="0.7" right="0.7" top="0.75" bottom="0.75" header="0.3" footer="0.3"/>
  <pageSetup orientation="portrait"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E9E55C-D575-4640-95DE-9546B7DA0007}">
  <sheetPr codeName="Sheet25">
    <tabColor theme="9" tint="0.39997558519241921"/>
  </sheetPr>
  <dimension ref="A1:AH79"/>
  <sheetViews>
    <sheetView zoomScaleNormal="100" workbookViewId="0">
      <pane xSplit="1" ySplit="1" topLeftCell="B80" activePane="bottomRight" state="frozen"/>
      <selection pane="topRight" activeCell="B1" sqref="B1"/>
      <selection pane="bottomLeft" activeCell="A2" sqref="A2"/>
      <selection pane="bottomRight" activeCell="D100" sqref="D100"/>
    </sheetView>
  </sheetViews>
  <sheetFormatPr defaultRowHeight="14.5" x14ac:dyDescent="0.35"/>
  <cols>
    <col min="1" max="1" width="13" customWidth="1"/>
    <col min="2" max="2" width="10.81640625" customWidth="1"/>
    <col min="3" max="3" width="24.81640625" customWidth="1"/>
    <col min="4" max="4" width="39.453125" customWidth="1"/>
    <col min="5" max="5" width="17.81640625" customWidth="1"/>
    <col min="6" max="6" width="18.1796875" customWidth="1"/>
    <col min="7" max="7" width="27.1796875" customWidth="1"/>
    <col min="8" max="8" width="24.1796875" customWidth="1"/>
    <col min="9" max="9" width="10" customWidth="1"/>
    <col min="10" max="10" width="16.1796875" customWidth="1"/>
    <col min="11" max="11" width="14" customWidth="1"/>
    <col min="12" max="12" width="21.81640625" customWidth="1"/>
    <col min="13" max="13" width="17.36328125" customWidth="1"/>
    <col min="14" max="14" width="36.6328125" customWidth="1"/>
    <col min="15" max="15" width="14.81640625" customWidth="1"/>
    <col min="16" max="16" width="26.1796875" customWidth="1"/>
    <col min="17" max="17" width="51.81640625" customWidth="1"/>
    <col min="18" max="18" width="54" style="37" customWidth="1"/>
    <col min="19" max="20" width="42.81640625" customWidth="1"/>
    <col min="21" max="21" width="52.81640625" customWidth="1"/>
    <col min="22" max="22" width="20.81640625" customWidth="1"/>
    <col min="23" max="23" width="23.453125" customWidth="1"/>
    <col min="24" max="25" width="21" customWidth="1"/>
    <col min="26" max="26" width="11.453125" customWidth="1"/>
    <col min="27" max="27" width="21" customWidth="1"/>
    <col min="28" max="28" width="15.81640625" customWidth="1"/>
    <col min="29" max="29" width="14" customWidth="1"/>
    <col min="30" max="30" width="12.81640625" customWidth="1"/>
    <col min="31" max="31" width="14" style="19" customWidth="1"/>
    <col min="32" max="32" width="5.1796875" customWidth="1"/>
    <col min="33" max="33" width="6.81640625" customWidth="1"/>
  </cols>
  <sheetData>
    <row r="1" spans="1:34" ht="15" thickBot="1" x14ac:dyDescent="0.4">
      <c r="A1" s="14" t="s">
        <v>16</v>
      </c>
      <c r="B1" s="14" t="s">
        <v>17</v>
      </c>
      <c r="C1" s="14" t="s">
        <v>18</v>
      </c>
      <c r="D1" s="14" t="s">
        <v>19</v>
      </c>
      <c r="E1" s="14" t="s">
        <v>20</v>
      </c>
      <c r="F1" s="14" t="s">
        <v>21</v>
      </c>
      <c r="G1" s="14" t="s">
        <v>22</v>
      </c>
      <c r="H1" s="14" t="s">
        <v>23</v>
      </c>
      <c r="I1" s="14" t="s">
        <v>24</v>
      </c>
      <c r="J1" s="14" t="s">
        <v>25</v>
      </c>
      <c r="K1" s="14" t="s">
        <v>26</v>
      </c>
      <c r="L1" s="14" t="s">
        <v>27</v>
      </c>
      <c r="M1" s="14" t="s">
        <v>28</v>
      </c>
      <c r="N1" s="14" t="s">
        <v>29</v>
      </c>
      <c r="O1" s="14" t="s">
        <v>30</v>
      </c>
      <c r="P1" s="14" t="s">
        <v>31</v>
      </c>
      <c r="Q1" s="14" t="s">
        <v>32</v>
      </c>
      <c r="R1" s="14" t="s">
        <v>33</v>
      </c>
      <c r="S1" s="15" t="s">
        <v>34</v>
      </c>
      <c r="T1" s="14" t="s">
        <v>35</v>
      </c>
      <c r="U1" s="14" t="s">
        <v>36</v>
      </c>
      <c r="V1" s="14" t="s">
        <v>37</v>
      </c>
      <c r="W1" s="14" t="s">
        <v>38</v>
      </c>
      <c r="X1" s="14" t="s">
        <v>39</v>
      </c>
      <c r="Z1" s="16" t="s">
        <v>40</v>
      </c>
      <c r="AA1" s="16" t="s">
        <v>41</v>
      </c>
      <c r="AB1" s="16" t="s">
        <v>42</v>
      </c>
      <c r="AC1" s="16" t="s">
        <v>43</v>
      </c>
      <c r="AD1" s="16" t="s">
        <v>44</v>
      </c>
      <c r="AE1" s="16" t="s">
        <v>43</v>
      </c>
      <c r="AF1" s="16"/>
      <c r="AG1" s="16" t="s">
        <v>45</v>
      </c>
      <c r="AH1" s="16" t="s">
        <v>46</v>
      </c>
    </row>
    <row r="2" spans="1:34" x14ac:dyDescent="0.35">
      <c r="A2" s="25">
        <v>1057</v>
      </c>
      <c r="B2" s="25"/>
      <c r="C2" s="25" t="s">
        <v>52</v>
      </c>
      <c r="D2" s="30">
        <v>88272537.475751847</v>
      </c>
      <c r="E2" s="25">
        <v>40</v>
      </c>
      <c r="F2" s="25">
        <v>2030</v>
      </c>
      <c r="G2" s="25">
        <v>2.7</v>
      </c>
      <c r="H2" s="25">
        <v>2.7</v>
      </c>
      <c r="I2" s="25">
        <v>104119</v>
      </c>
      <c r="J2" s="25">
        <v>21733</v>
      </c>
      <c r="K2" s="27">
        <v>2.75E-2</v>
      </c>
      <c r="L2" s="25"/>
      <c r="M2" s="25"/>
      <c r="N2" s="20" t="s">
        <v>53</v>
      </c>
      <c r="O2" s="25">
        <v>70</v>
      </c>
      <c r="P2" s="25">
        <v>60.549900000000001</v>
      </c>
      <c r="Q2" s="28">
        <v>50724</v>
      </c>
      <c r="R2" s="26" t="s">
        <v>54</v>
      </c>
      <c r="S2" s="17" t="str" cm="1">
        <f t="array" ref="S2">SplitAndMatch(R2, 'Parameter Values'!$C$325:$C$401, 'Parameter Values'!$A$325:$A$401)</f>
        <v>Access Management, Managed HOT/HOV Lanes , Adding New Lanes or Roads , Ramp Configuration, Freight Shuttle System , Shoulder Pavement Upgrades</v>
      </c>
      <c r="T2" s="31"/>
      <c r="U2" s="31"/>
      <c r="V2" s="29"/>
      <c r="W2" s="25">
        <v>0</v>
      </c>
      <c r="X2" s="25" t="s">
        <v>48</v>
      </c>
      <c r="Z2">
        <v>1057</v>
      </c>
      <c r="AA2" t="s">
        <v>55</v>
      </c>
      <c r="AB2" t="s">
        <v>50</v>
      </c>
      <c r="AC2">
        <v>98938</v>
      </c>
      <c r="AD2" t="s">
        <v>48</v>
      </c>
      <c r="AE2" s="32">
        <v>98938</v>
      </c>
      <c r="AF2" s="33" t="s">
        <v>48</v>
      </c>
      <c r="AG2" s="33">
        <v>86</v>
      </c>
      <c r="AH2">
        <f>F2</f>
        <v>2030</v>
      </c>
    </row>
    <row r="3" spans="1:34" x14ac:dyDescent="0.35">
      <c r="A3" s="20"/>
      <c r="B3" s="20"/>
      <c r="C3" s="20"/>
      <c r="D3" s="21"/>
      <c r="E3" s="20"/>
      <c r="F3" s="20"/>
      <c r="G3" s="20"/>
      <c r="H3" s="20"/>
      <c r="I3" s="20"/>
      <c r="J3" s="20"/>
      <c r="K3" s="20"/>
      <c r="L3" s="20"/>
      <c r="M3" s="20"/>
      <c r="N3" s="20"/>
      <c r="O3" s="20"/>
      <c r="P3" s="20"/>
      <c r="Q3" s="20"/>
      <c r="R3" s="24"/>
      <c r="S3" s="17" t="str">
        <f>SplitAndMatch(R3, 'Parameter Values'!$C$325:$C$401, 'Parameter Values'!$A$325:$A$401)</f>
        <v/>
      </c>
      <c r="T3" s="22"/>
      <c r="U3" s="22"/>
      <c r="V3" s="23"/>
      <c r="W3" s="23"/>
      <c r="X3" s="23"/>
      <c r="AE3">
        <v>79</v>
      </c>
    </row>
    <row r="4" spans="1:34" x14ac:dyDescent="0.35">
      <c r="A4" s="20"/>
      <c r="B4" s="20"/>
      <c r="C4" s="20"/>
      <c r="D4" s="21"/>
      <c r="E4" s="20"/>
      <c r="F4" s="20"/>
      <c r="G4" s="20"/>
      <c r="H4" s="20"/>
      <c r="I4" s="20"/>
      <c r="J4" s="20"/>
      <c r="K4" s="20"/>
      <c r="L4" s="20"/>
      <c r="M4" s="20"/>
      <c r="N4" s="20"/>
      <c r="O4" s="20"/>
      <c r="P4" s="20"/>
      <c r="Q4" s="20"/>
      <c r="R4" s="24"/>
      <c r="S4" s="17" t="str">
        <f>SplitAndMatch(R4, 'Parameter Values'!$C$325:$C$401, 'Parameter Values'!$A$325:$A$401)</f>
        <v/>
      </c>
      <c r="T4" s="22"/>
      <c r="U4" s="22"/>
      <c r="V4" s="23"/>
      <c r="W4" s="23"/>
      <c r="X4" s="23"/>
    </row>
    <row r="5" spans="1:34" x14ac:dyDescent="0.35">
      <c r="A5" s="20"/>
      <c r="B5" s="20"/>
      <c r="C5" s="20"/>
      <c r="D5" s="21"/>
      <c r="E5" s="20"/>
      <c r="F5" s="20"/>
      <c r="G5" s="20"/>
      <c r="H5" s="20"/>
      <c r="I5" s="20"/>
      <c r="J5" s="20"/>
      <c r="K5" s="20"/>
      <c r="L5" s="20"/>
      <c r="M5" s="20"/>
      <c r="N5" s="20"/>
      <c r="O5" s="20"/>
      <c r="P5" s="20"/>
      <c r="Q5" s="20"/>
      <c r="R5" s="24"/>
      <c r="S5" s="17" t="str">
        <f>SplitAndMatch(R5, 'Parameter Values'!$C$325:$C$401, 'Parameter Values'!$A$325:$A$401)</f>
        <v/>
      </c>
      <c r="T5" s="22"/>
      <c r="U5" s="22"/>
      <c r="V5" s="23"/>
      <c r="W5" s="23"/>
      <c r="X5" s="23"/>
    </row>
    <row r="6" spans="1:34" x14ac:dyDescent="0.35">
      <c r="A6" s="20"/>
      <c r="B6" s="20"/>
      <c r="C6" s="20"/>
      <c r="D6" s="21"/>
      <c r="E6" s="20"/>
      <c r="F6" s="20"/>
      <c r="G6" s="20"/>
      <c r="H6" s="20"/>
      <c r="I6" s="20"/>
      <c r="J6" s="20"/>
      <c r="K6" s="20"/>
      <c r="L6" s="20"/>
      <c r="M6" s="20"/>
      <c r="N6" s="20"/>
      <c r="O6" s="20"/>
      <c r="P6" s="20"/>
      <c r="Q6" s="20"/>
      <c r="R6" s="24"/>
      <c r="S6" s="17" t="str">
        <f>SplitAndMatch(R6, 'Parameter Values'!$C$325:$C$401, 'Parameter Values'!$A$325:$A$401)</f>
        <v/>
      </c>
      <c r="T6" s="22"/>
      <c r="U6" s="22"/>
      <c r="V6" s="23"/>
      <c r="W6" s="23"/>
      <c r="X6" s="23"/>
    </row>
    <row r="7" spans="1:34" x14ac:dyDescent="0.35">
      <c r="A7" s="20"/>
      <c r="B7" s="20"/>
      <c r="C7" s="20"/>
      <c r="D7" s="21"/>
      <c r="E7" s="20"/>
      <c r="F7" s="20"/>
      <c r="G7" s="20"/>
      <c r="H7" s="20"/>
      <c r="I7" s="20"/>
      <c r="J7" s="20"/>
      <c r="K7" s="20"/>
      <c r="L7" s="20"/>
      <c r="M7" s="20"/>
      <c r="N7" s="20"/>
      <c r="O7" s="20"/>
      <c r="P7" s="20"/>
      <c r="Q7" s="20"/>
      <c r="R7" s="24"/>
      <c r="S7" s="17" t="str">
        <f>SplitAndMatch(R7, 'Parameter Values'!$C$325:$C$401, 'Parameter Values'!$A$325:$A$401)</f>
        <v/>
      </c>
      <c r="T7" s="22"/>
      <c r="U7" s="22"/>
      <c r="V7" s="23"/>
      <c r="W7" s="23"/>
      <c r="X7" s="23"/>
    </row>
    <row r="8" spans="1:34" x14ac:dyDescent="0.35">
      <c r="A8" s="20"/>
      <c r="B8" s="20"/>
      <c r="C8" s="20"/>
      <c r="D8" s="21"/>
      <c r="E8" s="20"/>
      <c r="F8" s="20"/>
      <c r="G8" s="20"/>
      <c r="H8" s="20"/>
      <c r="I8" s="20"/>
      <c r="J8" s="20"/>
      <c r="K8" s="20"/>
      <c r="L8" s="20"/>
      <c r="M8" s="20"/>
      <c r="N8" s="20"/>
      <c r="O8" s="20"/>
      <c r="P8" s="20"/>
      <c r="Q8" s="20"/>
      <c r="R8" s="24"/>
      <c r="S8" s="17" t="str">
        <f>SplitAndMatch(R8, 'Parameter Values'!$C$325:$C$401, 'Parameter Values'!$A$325:$A$401)</f>
        <v/>
      </c>
      <c r="T8" s="22"/>
      <c r="U8" s="22"/>
      <c r="V8" s="23"/>
      <c r="W8" s="23"/>
      <c r="X8" s="23"/>
    </row>
    <row r="9" spans="1:34" x14ac:dyDescent="0.35">
      <c r="A9" s="20"/>
      <c r="B9" s="20"/>
      <c r="C9" s="20"/>
      <c r="D9" s="21"/>
      <c r="E9" s="20"/>
      <c r="F9" s="20"/>
      <c r="G9" s="20"/>
      <c r="H9" s="20"/>
      <c r="I9" s="20"/>
      <c r="J9" s="20"/>
      <c r="K9" s="20"/>
      <c r="L9" s="20"/>
      <c r="M9" s="20"/>
      <c r="N9" s="20"/>
      <c r="O9" s="20"/>
      <c r="P9" s="20"/>
      <c r="Q9" s="20"/>
      <c r="R9" s="24"/>
      <c r="S9" s="17" t="str">
        <f>SplitAndMatch(R9, 'Parameter Values'!$C$325:$C$401, 'Parameter Values'!$A$325:$A$401)</f>
        <v/>
      </c>
      <c r="T9" s="22"/>
      <c r="U9" s="22"/>
      <c r="V9" s="23"/>
      <c r="W9" s="23"/>
      <c r="X9" s="23"/>
    </row>
    <row r="10" spans="1:34" x14ac:dyDescent="0.35">
      <c r="A10" s="20"/>
      <c r="B10" s="20"/>
      <c r="C10" s="20"/>
      <c r="D10" s="21"/>
      <c r="E10" s="20"/>
      <c r="F10" s="20"/>
      <c r="G10" s="20"/>
      <c r="H10" s="20"/>
      <c r="I10" s="20"/>
      <c r="J10" s="20"/>
      <c r="K10" s="20"/>
      <c r="L10" s="20"/>
      <c r="M10" s="20"/>
      <c r="N10" s="20"/>
      <c r="O10" s="20"/>
      <c r="P10" s="20"/>
      <c r="Q10" s="20"/>
      <c r="R10" s="24"/>
      <c r="S10" s="17" t="str">
        <f>SplitAndMatch(R10, 'Parameter Values'!$C$325:$C$401, 'Parameter Values'!$A$325:$A$401)</f>
        <v/>
      </c>
      <c r="T10" s="22"/>
      <c r="U10" s="22"/>
      <c r="V10" s="23"/>
      <c r="W10" s="23"/>
      <c r="X10" s="23"/>
    </row>
    <row r="11" spans="1:34" x14ac:dyDescent="0.35">
      <c r="A11" s="20"/>
      <c r="B11" s="20"/>
      <c r="C11" s="20"/>
      <c r="D11" s="21"/>
      <c r="E11" s="20"/>
      <c r="F11" s="20"/>
      <c r="G11" s="20"/>
      <c r="H11" s="20"/>
      <c r="I11" s="20"/>
      <c r="J11" s="20"/>
      <c r="K11" s="20"/>
      <c r="L11" s="20"/>
      <c r="M11" s="20"/>
      <c r="N11" s="20"/>
      <c r="O11" s="20"/>
      <c r="P11" s="20"/>
      <c r="Q11" s="20"/>
      <c r="R11" s="24"/>
      <c r="S11" s="17" t="str">
        <f>SplitAndMatch(R11, 'Parameter Values'!$C$325:$C$401, 'Parameter Values'!$A$325:$A$401)</f>
        <v/>
      </c>
      <c r="T11" s="22"/>
      <c r="U11" s="22"/>
      <c r="V11" s="23"/>
      <c r="W11" s="23"/>
      <c r="X11" s="23"/>
    </row>
    <row r="12" spans="1:34" x14ac:dyDescent="0.35">
      <c r="A12" s="20"/>
      <c r="B12" s="20"/>
      <c r="C12" s="20"/>
      <c r="D12" s="21"/>
      <c r="E12" s="20"/>
      <c r="F12" s="20"/>
      <c r="G12" s="20"/>
      <c r="H12" s="20"/>
      <c r="I12" s="20"/>
      <c r="J12" s="20"/>
      <c r="K12" s="20"/>
      <c r="L12" s="20"/>
      <c r="M12" s="20"/>
      <c r="N12" s="20"/>
      <c r="O12" s="20"/>
      <c r="P12" s="20"/>
      <c r="Q12" s="20"/>
      <c r="R12" s="24"/>
      <c r="S12" s="17" t="str">
        <f>SplitAndMatch(R12, 'Parameter Values'!$C$325:$C$401, 'Parameter Values'!$A$325:$A$401)</f>
        <v/>
      </c>
      <c r="T12" s="22"/>
      <c r="U12" s="22"/>
      <c r="V12" s="23"/>
      <c r="W12" s="23"/>
      <c r="X12" s="23"/>
    </row>
    <row r="13" spans="1:34" x14ac:dyDescent="0.35">
      <c r="A13" s="20"/>
      <c r="B13" s="20"/>
      <c r="C13" s="20"/>
      <c r="D13" s="21"/>
      <c r="E13" s="20"/>
      <c r="F13" s="20"/>
      <c r="G13" s="20"/>
      <c r="H13" s="20"/>
      <c r="I13" s="20"/>
      <c r="J13" s="20"/>
      <c r="K13" s="20"/>
      <c r="L13" s="20"/>
      <c r="M13" s="20"/>
      <c r="N13" s="20"/>
      <c r="O13" s="20"/>
      <c r="P13" s="20"/>
      <c r="Q13" s="20"/>
      <c r="R13" s="24"/>
      <c r="S13" s="17" t="str">
        <f>SplitAndMatch(R13, 'Parameter Values'!$C$325:$C$401, 'Parameter Values'!$A$325:$A$401)</f>
        <v/>
      </c>
      <c r="T13" s="22"/>
      <c r="U13" s="22"/>
      <c r="V13" s="23"/>
      <c r="W13" s="23"/>
      <c r="X13" s="23"/>
    </row>
    <row r="14" spans="1:34" x14ac:dyDescent="0.35">
      <c r="A14" s="20"/>
      <c r="B14" s="20"/>
      <c r="C14" s="20"/>
      <c r="D14" s="21"/>
      <c r="E14" s="20"/>
      <c r="F14" s="20"/>
      <c r="G14" s="20"/>
      <c r="H14" s="20"/>
      <c r="I14" s="20"/>
      <c r="J14" s="20"/>
      <c r="K14" s="20"/>
      <c r="L14" s="20"/>
      <c r="M14" s="20"/>
      <c r="N14" s="20"/>
      <c r="O14" s="20"/>
      <c r="P14" s="20"/>
      <c r="Q14" s="20"/>
      <c r="R14" s="24"/>
      <c r="S14" s="17" t="str">
        <f>SplitAndMatch(R14, 'Parameter Values'!$C$325:$C$401, 'Parameter Values'!$A$325:$A$401)</f>
        <v/>
      </c>
      <c r="T14" s="22"/>
      <c r="U14" s="22"/>
      <c r="V14" s="23"/>
      <c r="W14" s="23"/>
      <c r="X14" s="23"/>
    </row>
    <row r="15" spans="1:34" x14ac:dyDescent="0.35">
      <c r="A15" s="20"/>
      <c r="B15" s="20"/>
      <c r="C15" s="20"/>
      <c r="D15" s="21"/>
      <c r="E15" s="20"/>
      <c r="F15" s="20"/>
      <c r="G15" s="20"/>
      <c r="H15" s="20"/>
      <c r="I15" s="20"/>
      <c r="J15" s="20"/>
      <c r="K15" s="20"/>
      <c r="L15" s="20"/>
      <c r="M15" s="20"/>
      <c r="N15" s="20"/>
      <c r="O15" s="20"/>
      <c r="P15" s="20"/>
      <c r="Q15" s="20"/>
      <c r="R15" s="24"/>
      <c r="S15" s="17" t="str">
        <f>SplitAndMatch(R15, 'Parameter Values'!$C$325:$C$401, 'Parameter Values'!$A$325:$A$401)</f>
        <v/>
      </c>
      <c r="T15" s="22"/>
      <c r="U15" s="22"/>
      <c r="V15" s="23"/>
      <c r="W15" s="23"/>
      <c r="X15" s="23"/>
    </row>
    <row r="16" spans="1:34" x14ac:dyDescent="0.35">
      <c r="A16" s="20"/>
      <c r="B16" s="20"/>
      <c r="C16" s="20"/>
      <c r="D16" s="21"/>
      <c r="E16" s="20"/>
      <c r="F16" s="20"/>
      <c r="G16" s="20"/>
      <c r="H16" s="20"/>
      <c r="I16" s="20"/>
      <c r="J16" s="20"/>
      <c r="K16" s="20"/>
      <c r="L16" s="20"/>
      <c r="M16" s="20"/>
      <c r="N16" s="20"/>
      <c r="O16" s="20"/>
      <c r="P16" s="20"/>
      <c r="Q16" s="20"/>
      <c r="R16" s="24"/>
      <c r="S16" s="17" t="str">
        <f>SplitAndMatch(R16, 'Parameter Values'!$C$325:$C$401, 'Parameter Values'!$A$325:$A$401)</f>
        <v/>
      </c>
      <c r="T16" s="22"/>
      <c r="U16" s="22"/>
      <c r="V16" s="23"/>
      <c r="W16" s="23"/>
      <c r="X16" s="23"/>
    </row>
    <row r="17" spans="1:24" x14ac:dyDescent="0.35">
      <c r="A17" s="20"/>
      <c r="B17" s="20"/>
      <c r="C17" s="20"/>
      <c r="D17" s="21"/>
      <c r="E17" s="20"/>
      <c r="F17" s="20"/>
      <c r="G17" s="20"/>
      <c r="H17" s="20"/>
      <c r="I17" s="20"/>
      <c r="J17" s="20"/>
      <c r="K17" s="20"/>
      <c r="L17" s="20"/>
      <c r="M17" s="20"/>
      <c r="N17" s="20"/>
      <c r="O17" s="20"/>
      <c r="P17" s="20"/>
      <c r="Q17" s="20"/>
      <c r="R17" s="24"/>
      <c r="S17" s="17" t="str">
        <f>SplitAndMatch(R17, 'Parameter Values'!$C$325:$C$401, 'Parameter Values'!$A$325:$A$401)</f>
        <v/>
      </c>
      <c r="T17" s="22"/>
      <c r="U17" s="22"/>
      <c r="V17" s="23"/>
      <c r="W17" s="23"/>
      <c r="X17" s="23"/>
    </row>
    <row r="18" spans="1:24" x14ac:dyDescent="0.35">
      <c r="A18" s="20"/>
      <c r="B18" s="20"/>
      <c r="C18" s="20"/>
      <c r="D18" s="21"/>
      <c r="E18" s="20"/>
      <c r="F18" s="20"/>
      <c r="G18" s="20"/>
      <c r="H18" s="20"/>
      <c r="I18" s="20"/>
      <c r="J18" s="20"/>
      <c r="K18" s="20"/>
      <c r="L18" s="20"/>
      <c r="M18" s="20"/>
      <c r="N18" s="20"/>
      <c r="O18" s="20"/>
      <c r="P18" s="20"/>
      <c r="Q18" s="20"/>
      <c r="R18" s="24"/>
      <c r="S18" s="17" t="str">
        <f>SplitAndMatch(R18, 'Parameter Values'!$C$325:$C$401, 'Parameter Values'!$A$325:$A$401)</f>
        <v/>
      </c>
      <c r="T18" s="22"/>
      <c r="U18" s="22"/>
      <c r="V18" s="23"/>
      <c r="W18" s="23"/>
      <c r="X18" s="23"/>
    </row>
    <row r="19" spans="1:24" x14ac:dyDescent="0.35">
      <c r="A19" s="20"/>
      <c r="B19" s="20"/>
      <c r="C19" s="20"/>
      <c r="D19" s="21"/>
      <c r="E19" s="20"/>
      <c r="F19" s="20"/>
      <c r="G19" s="20"/>
      <c r="H19" s="20"/>
      <c r="I19" s="20"/>
      <c r="J19" s="20"/>
      <c r="K19" s="20"/>
      <c r="L19" s="20"/>
      <c r="M19" s="20"/>
      <c r="N19" s="20"/>
      <c r="O19" s="20"/>
      <c r="P19" s="20"/>
      <c r="Q19" s="20"/>
      <c r="R19" s="24"/>
      <c r="S19" s="17" t="str">
        <f>SplitAndMatch(R19, 'Parameter Values'!$C$325:$C$401, 'Parameter Values'!$A$325:$A$401)</f>
        <v/>
      </c>
      <c r="T19" s="22"/>
      <c r="U19" s="22"/>
      <c r="V19" s="23"/>
      <c r="W19" s="23"/>
      <c r="X19" s="23"/>
    </row>
    <row r="20" spans="1:24" x14ac:dyDescent="0.35">
      <c r="A20" s="20"/>
      <c r="B20" s="20"/>
      <c r="C20" s="20"/>
      <c r="D20" s="21"/>
      <c r="E20" s="20"/>
      <c r="F20" s="20"/>
      <c r="G20" s="20"/>
      <c r="H20" s="20"/>
      <c r="I20" s="20"/>
      <c r="J20" s="20"/>
      <c r="K20" s="20"/>
      <c r="L20" s="20"/>
      <c r="M20" s="20"/>
      <c r="N20" s="20"/>
      <c r="O20" s="20"/>
      <c r="P20" s="20"/>
      <c r="Q20" s="20"/>
      <c r="R20" s="24"/>
      <c r="S20" s="17" t="str">
        <f>SplitAndMatch(R20, 'Parameter Values'!$C$325:$C$401, 'Parameter Values'!$A$325:$A$401)</f>
        <v/>
      </c>
      <c r="T20" s="22"/>
      <c r="U20" s="22"/>
      <c r="V20" s="23"/>
      <c r="W20" s="23"/>
      <c r="X20" s="23"/>
    </row>
    <row r="21" spans="1:24" x14ac:dyDescent="0.35">
      <c r="A21" s="20"/>
      <c r="B21" s="20"/>
      <c r="C21" s="20"/>
      <c r="D21" s="21"/>
      <c r="E21" s="20"/>
      <c r="F21" s="20"/>
      <c r="G21" s="20"/>
      <c r="H21" s="20"/>
      <c r="I21" s="20"/>
      <c r="J21" s="20"/>
      <c r="K21" s="20"/>
      <c r="L21" s="20"/>
      <c r="M21" s="20"/>
      <c r="N21" s="20"/>
      <c r="O21" s="20"/>
      <c r="P21" s="20"/>
      <c r="Q21" s="20"/>
      <c r="R21" s="24"/>
      <c r="S21" s="17" t="str">
        <f>SplitAndMatch(R21, 'Parameter Values'!$C$325:$C$401, 'Parameter Values'!$A$325:$A$401)</f>
        <v/>
      </c>
      <c r="T21" s="22"/>
      <c r="U21" s="22"/>
      <c r="V21" s="23"/>
      <c r="W21" s="23"/>
      <c r="X21" s="23"/>
    </row>
    <row r="22" spans="1:24" x14ac:dyDescent="0.35">
      <c r="A22" s="20"/>
      <c r="B22" s="20"/>
      <c r="C22" s="20"/>
      <c r="D22" s="21"/>
      <c r="E22" s="20"/>
      <c r="F22" s="20"/>
      <c r="G22" s="20"/>
      <c r="H22" s="20"/>
      <c r="I22" s="20"/>
      <c r="J22" s="20"/>
      <c r="K22" s="20"/>
      <c r="L22" s="20"/>
      <c r="M22" s="20"/>
      <c r="N22" s="20"/>
      <c r="O22" s="20"/>
      <c r="P22" s="20"/>
      <c r="Q22" s="20"/>
      <c r="R22" s="24"/>
      <c r="S22" s="17" t="str">
        <f>SplitAndMatch(R22, 'Parameter Values'!$C$325:$C$401, 'Parameter Values'!$A$325:$A$401)</f>
        <v/>
      </c>
      <c r="T22" s="22"/>
      <c r="U22" s="22"/>
      <c r="V22" s="23"/>
      <c r="W22" s="23"/>
      <c r="X22" s="23"/>
    </row>
    <row r="23" spans="1:24" x14ac:dyDescent="0.35">
      <c r="A23" s="20"/>
      <c r="B23" s="20"/>
      <c r="C23" s="20"/>
      <c r="D23" s="21"/>
      <c r="E23" s="20"/>
      <c r="F23" s="20"/>
      <c r="G23" s="20"/>
      <c r="H23" s="20"/>
      <c r="I23" s="20"/>
      <c r="J23" s="20"/>
      <c r="K23" s="20"/>
      <c r="L23" s="20"/>
      <c r="M23" s="20"/>
      <c r="N23" s="20"/>
      <c r="O23" s="20"/>
      <c r="P23" s="20"/>
      <c r="Q23" s="20"/>
      <c r="R23" s="24"/>
      <c r="S23" s="17" t="str">
        <f>SplitAndMatch(R23, 'Parameter Values'!$C$325:$C$401, 'Parameter Values'!$A$325:$A$401)</f>
        <v/>
      </c>
      <c r="T23" s="22"/>
      <c r="U23" s="22"/>
      <c r="V23" s="23"/>
      <c r="W23" s="23"/>
      <c r="X23" s="23"/>
    </row>
    <row r="24" spans="1:24" x14ac:dyDescent="0.35">
      <c r="A24" s="20"/>
      <c r="B24" s="20"/>
      <c r="C24" s="20"/>
      <c r="D24" s="21"/>
      <c r="E24" s="20"/>
      <c r="F24" s="20"/>
      <c r="G24" s="20"/>
      <c r="H24" s="20"/>
      <c r="I24" s="20"/>
      <c r="J24" s="20"/>
      <c r="K24" s="20"/>
      <c r="L24" s="20"/>
      <c r="M24" s="20"/>
      <c r="N24" s="20"/>
      <c r="O24" s="20"/>
      <c r="P24" s="20"/>
      <c r="Q24" s="20"/>
      <c r="R24" s="24"/>
      <c r="S24" s="17" t="str">
        <f>SplitAndMatch(R24, 'Parameter Values'!$C$325:$C$401, 'Parameter Values'!$A$325:$A$401)</f>
        <v/>
      </c>
      <c r="T24" s="22"/>
      <c r="U24" s="22"/>
      <c r="V24" s="23"/>
      <c r="W24" s="23"/>
      <c r="X24" s="23"/>
    </row>
    <row r="25" spans="1:24" x14ac:dyDescent="0.35">
      <c r="A25" s="20"/>
      <c r="B25" s="20"/>
      <c r="C25" s="20"/>
      <c r="D25" s="21"/>
      <c r="E25" s="20"/>
      <c r="F25" s="20"/>
      <c r="G25" s="20"/>
      <c r="H25" s="20"/>
      <c r="I25" s="20"/>
      <c r="J25" s="20"/>
      <c r="K25" s="20"/>
      <c r="L25" s="20"/>
      <c r="M25" s="20"/>
      <c r="N25" s="20"/>
      <c r="O25" s="20"/>
      <c r="P25" s="20"/>
      <c r="Q25" s="20"/>
      <c r="R25" s="24"/>
      <c r="S25" s="17" t="str">
        <f>SplitAndMatch(R25, 'Parameter Values'!$C$325:$C$401, 'Parameter Values'!$A$325:$A$401)</f>
        <v/>
      </c>
      <c r="T25" s="22"/>
      <c r="U25" s="22"/>
      <c r="V25" s="23"/>
      <c r="W25" s="23"/>
      <c r="X25" s="23"/>
    </row>
    <row r="26" spans="1:24" x14ac:dyDescent="0.35">
      <c r="A26" s="20"/>
      <c r="B26" s="20"/>
      <c r="C26" s="20"/>
      <c r="D26" s="21"/>
      <c r="E26" s="20"/>
      <c r="F26" s="20"/>
      <c r="G26" s="20"/>
      <c r="H26" s="20"/>
      <c r="I26" s="20"/>
      <c r="J26" s="20"/>
      <c r="K26" s="20"/>
      <c r="L26" s="20"/>
      <c r="M26" s="20"/>
      <c r="N26" s="20"/>
      <c r="O26" s="20"/>
      <c r="P26" s="20"/>
      <c r="Q26" s="20"/>
      <c r="R26" s="24"/>
      <c r="S26" s="17" t="str">
        <f>SplitAndMatch(R26, 'Parameter Values'!$C$325:$C$401, 'Parameter Values'!$A$325:$A$401)</f>
        <v/>
      </c>
      <c r="T26" s="22"/>
      <c r="U26" s="22"/>
      <c r="V26" s="23"/>
      <c r="W26" s="23"/>
      <c r="X26" s="23"/>
    </row>
    <row r="27" spans="1:24" x14ac:dyDescent="0.35">
      <c r="A27" s="20"/>
      <c r="B27" s="20"/>
      <c r="C27" s="20"/>
      <c r="D27" s="21"/>
      <c r="E27" s="20"/>
      <c r="F27" s="20"/>
      <c r="G27" s="20"/>
      <c r="H27" s="20"/>
      <c r="I27" s="20"/>
      <c r="J27" s="20"/>
      <c r="K27" s="20"/>
      <c r="L27" s="20"/>
      <c r="M27" s="20"/>
      <c r="N27" s="20"/>
      <c r="O27" s="20"/>
      <c r="P27" s="20"/>
      <c r="Q27" s="20"/>
      <c r="R27" s="24"/>
      <c r="S27" s="17" t="str">
        <f>SplitAndMatch(R27, 'Parameter Values'!$C$325:$C$401, 'Parameter Values'!$A$325:$A$401)</f>
        <v/>
      </c>
      <c r="T27" s="22"/>
      <c r="U27" s="22"/>
      <c r="V27" s="23"/>
      <c r="W27" s="23"/>
      <c r="X27" s="23"/>
    </row>
    <row r="28" spans="1:24" x14ac:dyDescent="0.35">
      <c r="A28" s="20"/>
      <c r="B28" s="20"/>
      <c r="C28" s="20"/>
      <c r="D28" s="21"/>
      <c r="E28" s="20"/>
      <c r="F28" s="20"/>
      <c r="G28" s="20"/>
      <c r="H28" s="20"/>
      <c r="I28" s="20"/>
      <c r="J28" s="20"/>
      <c r="K28" s="20"/>
      <c r="L28" s="20"/>
      <c r="M28" s="20"/>
      <c r="N28" s="20"/>
      <c r="O28" s="20"/>
      <c r="P28" s="20"/>
      <c r="Q28" s="20"/>
      <c r="R28" s="24"/>
      <c r="S28" s="17" t="str">
        <f>SplitAndMatch(R28, 'Parameter Values'!$C$325:$C$401, 'Parameter Values'!$A$325:$A$401)</f>
        <v/>
      </c>
      <c r="T28" s="22"/>
      <c r="U28" s="22"/>
      <c r="V28" s="23"/>
      <c r="W28" s="23"/>
      <c r="X28" s="23"/>
    </row>
    <row r="29" spans="1:24" x14ac:dyDescent="0.35">
      <c r="A29" s="20"/>
      <c r="B29" s="20"/>
      <c r="C29" s="20"/>
      <c r="D29" s="21"/>
      <c r="E29" s="20"/>
      <c r="F29" s="20"/>
      <c r="G29" s="20"/>
      <c r="H29" s="20"/>
      <c r="I29" s="20"/>
      <c r="J29" s="20"/>
      <c r="K29" s="20"/>
      <c r="L29" s="20"/>
      <c r="M29" s="20"/>
      <c r="N29" s="20"/>
      <c r="O29" s="20"/>
      <c r="P29" s="20"/>
      <c r="Q29" s="20"/>
      <c r="R29" s="24"/>
      <c r="S29" s="17" t="str">
        <f>SplitAndMatch(R29, 'Parameter Values'!$C$325:$C$401, 'Parameter Values'!$A$325:$A$401)</f>
        <v/>
      </c>
      <c r="T29" s="22"/>
      <c r="U29" s="22"/>
      <c r="V29" s="23"/>
      <c r="W29" s="23"/>
      <c r="X29" s="23"/>
    </row>
    <row r="30" spans="1:24" x14ac:dyDescent="0.35">
      <c r="A30" s="20"/>
      <c r="B30" s="20"/>
      <c r="C30" s="20"/>
      <c r="D30" s="21"/>
      <c r="E30" s="20"/>
      <c r="F30" s="20"/>
      <c r="G30" s="20"/>
      <c r="H30" s="20"/>
      <c r="I30" s="20"/>
      <c r="J30" s="20"/>
      <c r="K30" s="20"/>
      <c r="L30" s="20"/>
      <c r="M30" s="20"/>
      <c r="N30" s="20"/>
      <c r="O30" s="20"/>
      <c r="P30" s="20"/>
      <c r="Q30" s="20"/>
      <c r="R30" s="24"/>
      <c r="S30" s="17" t="str">
        <f>SplitAndMatch(R30, 'Parameter Values'!$C$325:$C$401, 'Parameter Values'!$A$325:$A$401)</f>
        <v/>
      </c>
      <c r="T30" s="22"/>
      <c r="U30" s="22"/>
      <c r="V30" s="23"/>
      <c r="W30" s="23"/>
      <c r="X30" s="23"/>
    </row>
    <row r="31" spans="1:24" x14ac:dyDescent="0.35">
      <c r="A31" s="20"/>
      <c r="B31" s="20"/>
      <c r="C31" s="20"/>
      <c r="D31" s="21"/>
      <c r="E31" s="20"/>
      <c r="F31" s="20"/>
      <c r="G31" s="20"/>
      <c r="H31" s="20"/>
      <c r="I31" s="20"/>
      <c r="J31" s="20"/>
      <c r="K31" s="20"/>
      <c r="L31" s="20"/>
      <c r="M31" s="20"/>
      <c r="N31" s="20"/>
      <c r="O31" s="20"/>
      <c r="P31" s="20"/>
      <c r="Q31" s="20"/>
      <c r="R31" s="24"/>
      <c r="S31" s="17" t="str">
        <f>SplitAndMatch(R31, 'Parameter Values'!$C$325:$C$401, 'Parameter Values'!$A$325:$A$401)</f>
        <v/>
      </c>
      <c r="T31" s="22"/>
      <c r="U31" s="22"/>
      <c r="V31" s="23"/>
      <c r="W31" s="23"/>
      <c r="X31" s="23"/>
    </row>
    <row r="32" spans="1:24" x14ac:dyDescent="0.35">
      <c r="A32" s="20"/>
      <c r="B32" s="20"/>
      <c r="C32" s="20"/>
      <c r="D32" s="21"/>
      <c r="E32" s="20"/>
      <c r="F32" s="20"/>
      <c r="G32" s="20"/>
      <c r="H32" s="20"/>
      <c r="I32" s="20"/>
      <c r="J32" s="20"/>
      <c r="K32" s="20"/>
      <c r="L32" s="20"/>
      <c r="M32" s="20"/>
      <c r="N32" s="20"/>
      <c r="O32" s="20"/>
      <c r="P32" s="20"/>
      <c r="Q32" s="20"/>
      <c r="R32" s="24"/>
      <c r="S32" s="17" t="str">
        <f>SplitAndMatch(R32, 'Parameter Values'!$C$325:$C$401, 'Parameter Values'!$A$325:$A$401)</f>
        <v/>
      </c>
      <c r="T32" s="22"/>
      <c r="U32" s="22"/>
      <c r="V32" s="23"/>
      <c r="W32" s="23"/>
      <c r="X32" s="23"/>
    </row>
    <row r="33" spans="1:24" x14ac:dyDescent="0.35">
      <c r="A33" s="20"/>
      <c r="B33" s="20"/>
      <c r="C33" s="20"/>
      <c r="D33" s="21"/>
      <c r="E33" s="20"/>
      <c r="F33" s="20"/>
      <c r="G33" s="20"/>
      <c r="H33" s="20"/>
      <c r="I33" s="20"/>
      <c r="J33" s="20"/>
      <c r="K33" s="20"/>
      <c r="L33" s="20"/>
      <c r="M33" s="20"/>
      <c r="N33" s="20"/>
      <c r="O33" s="20"/>
      <c r="P33" s="20"/>
      <c r="Q33" s="20"/>
      <c r="R33" s="24"/>
      <c r="S33" s="17" t="str">
        <f>SplitAndMatch(R33, 'Parameter Values'!$C$325:$C$401, 'Parameter Values'!$A$325:$A$401)</f>
        <v/>
      </c>
      <c r="T33" s="22"/>
      <c r="U33" s="22"/>
      <c r="V33" s="23"/>
      <c r="W33" s="23"/>
      <c r="X33" s="23"/>
    </row>
    <row r="34" spans="1:24" x14ac:dyDescent="0.35">
      <c r="A34" s="20"/>
      <c r="B34" s="20"/>
      <c r="C34" s="20"/>
      <c r="D34" s="21"/>
      <c r="E34" s="20"/>
      <c r="F34" s="20"/>
      <c r="G34" s="20"/>
      <c r="H34" s="20"/>
      <c r="I34" s="20"/>
      <c r="J34" s="20"/>
      <c r="K34" s="20"/>
      <c r="L34" s="20"/>
      <c r="M34" s="20"/>
      <c r="N34" s="20"/>
      <c r="O34" s="20"/>
      <c r="P34" s="20"/>
      <c r="Q34" s="20"/>
      <c r="R34" s="24"/>
      <c r="S34" s="17" t="str">
        <f>SplitAndMatch(R34, 'Parameter Values'!$C$325:$C$401, 'Parameter Values'!$A$325:$A$401)</f>
        <v/>
      </c>
      <c r="T34" s="22"/>
      <c r="U34" s="22"/>
      <c r="V34" s="23"/>
      <c r="W34" s="23"/>
      <c r="X34" s="23"/>
    </row>
    <row r="35" spans="1:24" x14ac:dyDescent="0.35">
      <c r="A35" s="20"/>
      <c r="B35" s="20"/>
      <c r="C35" s="20"/>
      <c r="D35" s="21"/>
      <c r="E35" s="20"/>
      <c r="F35" s="20"/>
      <c r="G35" s="20"/>
      <c r="H35" s="20"/>
      <c r="I35" s="20"/>
      <c r="J35" s="20"/>
      <c r="K35" s="20"/>
      <c r="L35" s="20"/>
      <c r="M35" s="20"/>
      <c r="N35" s="20"/>
      <c r="O35" s="20"/>
      <c r="P35" s="20"/>
      <c r="Q35" s="20"/>
      <c r="R35" s="24"/>
      <c r="S35" s="17" t="str">
        <f>SplitAndMatch(R35, 'Parameter Values'!$C$325:$C$401, 'Parameter Values'!$A$325:$A$401)</f>
        <v/>
      </c>
      <c r="T35" s="22"/>
      <c r="U35" s="22"/>
      <c r="V35" s="23"/>
      <c r="W35" s="23"/>
      <c r="X35" s="23"/>
    </row>
    <row r="36" spans="1:24" x14ac:dyDescent="0.35">
      <c r="A36" s="20"/>
      <c r="B36" s="20"/>
      <c r="C36" s="20"/>
      <c r="D36" s="21"/>
      <c r="E36" s="20"/>
      <c r="F36" s="20"/>
      <c r="G36" s="20"/>
      <c r="H36" s="20"/>
      <c r="I36" s="20"/>
      <c r="J36" s="20"/>
      <c r="K36" s="20"/>
      <c r="L36" s="20"/>
      <c r="M36" s="20"/>
      <c r="N36" s="20"/>
      <c r="O36" s="20"/>
      <c r="P36" s="20"/>
      <c r="Q36" s="20"/>
      <c r="R36" s="24"/>
      <c r="S36" s="17" t="str">
        <f>SplitAndMatch(R36, 'Parameter Values'!$C$325:$C$401, 'Parameter Values'!$A$325:$A$401)</f>
        <v/>
      </c>
      <c r="T36" s="22"/>
      <c r="U36" s="22"/>
      <c r="V36" s="23"/>
      <c r="W36" s="23"/>
      <c r="X36" s="23"/>
    </row>
    <row r="37" spans="1:24" x14ac:dyDescent="0.35">
      <c r="A37" s="20"/>
      <c r="B37" s="20"/>
      <c r="C37" s="20"/>
      <c r="D37" s="21"/>
      <c r="E37" s="20"/>
      <c r="F37" s="20"/>
      <c r="G37" s="20"/>
      <c r="H37" s="20"/>
      <c r="I37" s="20"/>
      <c r="J37" s="20"/>
      <c r="K37" s="20"/>
      <c r="L37" s="20"/>
      <c r="M37" s="20"/>
      <c r="N37" s="20"/>
      <c r="O37" s="20"/>
      <c r="P37" s="20"/>
      <c r="Q37" s="20"/>
      <c r="R37" s="24"/>
      <c r="S37" s="17" t="str">
        <f>SplitAndMatch(R37, 'Parameter Values'!$C$325:$C$401, 'Parameter Values'!$A$325:$A$401)</f>
        <v/>
      </c>
      <c r="T37" s="22"/>
      <c r="U37" s="22"/>
      <c r="V37" s="23"/>
      <c r="W37" s="23"/>
      <c r="X37" s="23"/>
    </row>
    <row r="38" spans="1:24" x14ac:dyDescent="0.35">
      <c r="A38" s="20"/>
      <c r="B38" s="20"/>
      <c r="C38" s="20"/>
      <c r="D38" s="21"/>
      <c r="E38" s="20"/>
      <c r="F38" s="20"/>
      <c r="G38" s="20"/>
      <c r="H38" s="20"/>
      <c r="I38" s="20"/>
      <c r="J38" s="20"/>
      <c r="K38" s="20"/>
      <c r="L38" s="20"/>
      <c r="M38" s="20"/>
      <c r="N38" s="20"/>
      <c r="O38" s="20"/>
      <c r="P38" s="20"/>
      <c r="Q38" s="20"/>
      <c r="R38" s="24"/>
      <c r="S38" s="17" t="str">
        <f>SplitAndMatch(R38, 'Parameter Values'!$C$325:$C$401, 'Parameter Values'!$A$325:$A$401)</f>
        <v/>
      </c>
      <c r="T38" s="22"/>
      <c r="U38" s="22"/>
      <c r="V38" s="23"/>
      <c r="W38" s="23"/>
      <c r="X38" s="23"/>
    </row>
    <row r="39" spans="1:24" x14ac:dyDescent="0.35">
      <c r="A39" s="20"/>
      <c r="B39" s="20"/>
      <c r="C39" s="20"/>
      <c r="D39" s="21"/>
      <c r="E39" s="20"/>
      <c r="F39" s="20"/>
      <c r="G39" s="20"/>
      <c r="H39" s="20"/>
      <c r="I39" s="20"/>
      <c r="J39" s="20"/>
      <c r="K39" s="20"/>
      <c r="L39" s="20"/>
      <c r="M39" s="20"/>
      <c r="N39" s="20"/>
      <c r="O39" s="20"/>
      <c r="P39" s="20"/>
      <c r="Q39" s="20"/>
      <c r="R39" s="24"/>
      <c r="S39" s="17" t="str">
        <f>SplitAndMatch(R39, 'Parameter Values'!$C$325:$C$401, 'Parameter Values'!$A$325:$A$401)</f>
        <v/>
      </c>
      <c r="T39" s="22"/>
      <c r="U39" s="22"/>
      <c r="V39" s="23"/>
      <c r="W39" s="23"/>
      <c r="X39" s="23"/>
    </row>
    <row r="40" spans="1:24" x14ac:dyDescent="0.35">
      <c r="A40" s="20"/>
      <c r="B40" s="20"/>
      <c r="C40" s="20"/>
      <c r="D40" s="21"/>
      <c r="E40" s="20"/>
      <c r="F40" s="20"/>
      <c r="G40" s="20"/>
      <c r="H40" s="20"/>
      <c r="I40" s="20"/>
      <c r="J40" s="20"/>
      <c r="K40" s="20"/>
      <c r="L40" s="20"/>
      <c r="M40" s="20"/>
      <c r="N40" s="20"/>
      <c r="O40" s="20"/>
      <c r="P40" s="20"/>
      <c r="Q40" s="20"/>
      <c r="R40" s="24"/>
      <c r="S40" s="17" t="str">
        <f>SplitAndMatch(R40, 'Parameter Values'!$C$325:$C$401, 'Parameter Values'!$A$325:$A$401)</f>
        <v/>
      </c>
      <c r="T40" s="22"/>
      <c r="U40" s="22"/>
      <c r="V40" s="23"/>
      <c r="W40" s="23"/>
      <c r="X40" s="23"/>
    </row>
    <row r="41" spans="1:24" x14ac:dyDescent="0.35">
      <c r="A41" s="20"/>
      <c r="B41" s="20"/>
      <c r="C41" s="20"/>
      <c r="D41" s="21"/>
      <c r="E41" s="20"/>
      <c r="F41" s="20"/>
      <c r="G41" s="20"/>
      <c r="H41" s="20"/>
      <c r="I41" s="20"/>
      <c r="J41" s="20"/>
      <c r="K41" s="20"/>
      <c r="L41" s="20"/>
      <c r="M41" s="20"/>
      <c r="N41" s="20"/>
      <c r="O41" s="20"/>
      <c r="P41" s="20"/>
      <c r="Q41" s="20"/>
      <c r="R41" s="24"/>
      <c r="S41" s="17" t="str">
        <f>SplitAndMatch(R41, 'Parameter Values'!$C$325:$C$401, 'Parameter Values'!$A$325:$A$401)</f>
        <v/>
      </c>
      <c r="T41" s="22"/>
      <c r="U41" s="22"/>
      <c r="V41" s="23"/>
      <c r="W41" s="23"/>
      <c r="X41" s="23"/>
    </row>
    <row r="42" spans="1:24" x14ac:dyDescent="0.35">
      <c r="A42" s="20"/>
      <c r="B42" s="20"/>
      <c r="C42" s="20"/>
      <c r="D42" s="21"/>
      <c r="E42" s="20"/>
      <c r="F42" s="20"/>
      <c r="G42" s="20"/>
      <c r="H42" s="20"/>
      <c r="I42" s="20"/>
      <c r="J42" s="20"/>
      <c r="K42" s="20"/>
      <c r="L42" s="20"/>
      <c r="M42" s="20"/>
      <c r="N42" s="20"/>
      <c r="O42" s="20"/>
      <c r="P42" s="20"/>
      <c r="Q42" s="20"/>
      <c r="R42" s="24"/>
      <c r="S42" s="17" t="str">
        <f>SplitAndMatch(R42, 'Parameter Values'!$C$325:$C$401, 'Parameter Values'!$A$325:$A$401)</f>
        <v/>
      </c>
      <c r="T42" s="22"/>
      <c r="U42" s="22"/>
      <c r="V42" s="23"/>
      <c r="W42" s="23"/>
      <c r="X42" s="23"/>
    </row>
    <row r="43" spans="1:24" x14ac:dyDescent="0.35">
      <c r="A43" s="20"/>
      <c r="B43" s="20"/>
      <c r="C43" s="20"/>
      <c r="D43" s="21"/>
      <c r="E43" s="20"/>
      <c r="F43" s="20"/>
      <c r="G43" s="20"/>
      <c r="H43" s="20"/>
      <c r="I43" s="20"/>
      <c r="J43" s="20"/>
      <c r="K43" s="20"/>
      <c r="L43" s="20"/>
      <c r="M43" s="20"/>
      <c r="N43" s="20"/>
      <c r="O43" s="20"/>
      <c r="P43" s="20"/>
      <c r="Q43" s="20"/>
      <c r="R43" s="24"/>
      <c r="S43" s="17" t="str">
        <f>SplitAndMatch(R43, 'Parameter Values'!$C$325:$C$401, 'Parameter Values'!$A$325:$A$401)</f>
        <v/>
      </c>
      <c r="T43" s="22"/>
      <c r="U43" s="22"/>
      <c r="V43" s="23"/>
      <c r="W43" s="23"/>
      <c r="X43" s="23"/>
    </row>
    <row r="44" spans="1:24" x14ac:dyDescent="0.35">
      <c r="A44" s="20"/>
      <c r="B44" s="20"/>
      <c r="C44" s="20"/>
      <c r="D44" s="21"/>
      <c r="E44" s="20"/>
      <c r="F44" s="20"/>
      <c r="G44" s="20"/>
      <c r="H44" s="20"/>
      <c r="I44" s="20"/>
      <c r="J44" s="20"/>
      <c r="K44" s="20"/>
      <c r="L44" s="20"/>
      <c r="M44" s="20"/>
      <c r="N44" s="20"/>
      <c r="O44" s="20"/>
      <c r="P44" s="20"/>
      <c r="Q44" s="20"/>
      <c r="R44" s="24"/>
      <c r="S44" s="17" t="str">
        <f>SplitAndMatch(R44, 'Parameter Values'!$C$325:$C$401, 'Parameter Values'!$A$325:$A$401)</f>
        <v/>
      </c>
      <c r="T44" s="22"/>
      <c r="U44" s="22"/>
      <c r="V44" s="23"/>
      <c r="W44" s="23"/>
      <c r="X44" s="23"/>
    </row>
    <row r="45" spans="1:24" x14ac:dyDescent="0.35">
      <c r="A45" s="20"/>
      <c r="B45" s="20"/>
      <c r="C45" s="20"/>
      <c r="D45" s="21"/>
      <c r="E45" s="20"/>
      <c r="F45" s="20"/>
      <c r="G45" s="20"/>
      <c r="H45" s="20"/>
      <c r="I45" s="20"/>
      <c r="J45" s="20"/>
      <c r="K45" s="20"/>
      <c r="L45" s="20"/>
      <c r="M45" s="20"/>
      <c r="N45" s="20"/>
      <c r="O45" s="20"/>
      <c r="P45" s="20"/>
      <c r="Q45" s="20"/>
      <c r="R45" s="24"/>
      <c r="S45" s="17" t="str">
        <f>SplitAndMatch(R45, 'Parameter Values'!$C$325:$C$401, 'Parameter Values'!$A$325:$A$401)</f>
        <v/>
      </c>
      <c r="T45" s="22"/>
      <c r="U45" s="22"/>
      <c r="V45" s="23"/>
      <c r="W45" s="23"/>
      <c r="X45" s="23"/>
    </row>
    <row r="46" spans="1:24" x14ac:dyDescent="0.35">
      <c r="A46" s="20"/>
      <c r="B46" s="20"/>
      <c r="C46" s="20"/>
      <c r="D46" s="21"/>
      <c r="E46" s="20"/>
      <c r="F46" s="20"/>
      <c r="G46" s="20"/>
      <c r="H46" s="20"/>
      <c r="I46" s="20"/>
      <c r="J46" s="20"/>
      <c r="K46" s="20"/>
      <c r="L46" s="20"/>
      <c r="M46" s="20"/>
      <c r="N46" s="20"/>
      <c r="O46" s="20"/>
      <c r="P46" s="20"/>
      <c r="Q46" s="20"/>
      <c r="R46" s="24"/>
      <c r="S46" s="17" t="str">
        <f>SplitAndMatch(R46, 'Parameter Values'!$C$325:$C$401, 'Parameter Values'!$A$325:$A$401)</f>
        <v/>
      </c>
      <c r="T46" s="22"/>
      <c r="U46" s="22"/>
      <c r="V46" s="23"/>
      <c r="W46" s="23"/>
      <c r="X46" s="23"/>
    </row>
    <row r="47" spans="1:24" x14ac:dyDescent="0.35">
      <c r="A47" s="20"/>
      <c r="B47" s="20"/>
      <c r="C47" s="20"/>
      <c r="D47" s="21"/>
      <c r="E47" s="20"/>
      <c r="F47" s="20"/>
      <c r="G47" s="20"/>
      <c r="H47" s="20"/>
      <c r="I47" s="20"/>
      <c r="J47" s="20"/>
      <c r="K47" s="20"/>
      <c r="L47" s="20"/>
      <c r="M47" s="20"/>
      <c r="N47" s="20"/>
      <c r="O47" s="20"/>
      <c r="P47" s="20"/>
      <c r="Q47" s="20"/>
      <c r="R47" s="24"/>
      <c r="S47" s="17" t="str">
        <f>SplitAndMatch(R47, 'Parameter Values'!$C$325:$C$401, 'Parameter Values'!$A$325:$A$401)</f>
        <v/>
      </c>
      <c r="T47" s="22"/>
      <c r="U47" s="22"/>
      <c r="V47" s="23"/>
      <c r="W47" s="23"/>
      <c r="X47" s="23"/>
    </row>
    <row r="48" spans="1:24" x14ac:dyDescent="0.35">
      <c r="A48" s="20"/>
      <c r="B48" s="20"/>
      <c r="C48" s="20"/>
      <c r="D48" s="21"/>
      <c r="E48" s="20"/>
      <c r="F48" s="20"/>
      <c r="G48" s="20"/>
      <c r="H48" s="20"/>
      <c r="I48" s="20"/>
      <c r="J48" s="20"/>
      <c r="K48" s="20"/>
      <c r="L48" s="20"/>
      <c r="M48" s="20"/>
      <c r="N48" s="20"/>
      <c r="O48" s="20"/>
      <c r="P48" s="20"/>
      <c r="Q48" s="20"/>
      <c r="R48" s="24"/>
      <c r="S48" s="17" t="str">
        <f>SplitAndMatch(R48, 'Parameter Values'!$C$325:$C$401, 'Parameter Values'!$A$325:$A$401)</f>
        <v/>
      </c>
      <c r="T48" s="22"/>
      <c r="U48" s="22"/>
      <c r="V48" s="23"/>
      <c r="W48" s="23"/>
      <c r="X48" s="23"/>
    </row>
    <row r="49" spans="1:24" x14ac:dyDescent="0.35">
      <c r="A49" s="20"/>
      <c r="B49" s="20"/>
      <c r="C49" s="20"/>
      <c r="D49" s="21"/>
      <c r="E49" s="20"/>
      <c r="F49" s="20"/>
      <c r="G49" s="20"/>
      <c r="H49" s="20"/>
      <c r="I49" s="20"/>
      <c r="J49" s="20"/>
      <c r="K49" s="20"/>
      <c r="L49" s="20"/>
      <c r="M49" s="20"/>
      <c r="N49" s="20"/>
      <c r="O49" s="20"/>
      <c r="P49" s="20"/>
      <c r="Q49" s="20"/>
      <c r="R49" s="24"/>
      <c r="S49" s="17" t="str">
        <f>SplitAndMatch(R49, 'Parameter Values'!$C$325:$C$401, 'Parameter Values'!$A$325:$A$401)</f>
        <v/>
      </c>
      <c r="T49" s="22"/>
      <c r="U49" s="22"/>
      <c r="V49" s="23"/>
      <c r="W49" s="23"/>
      <c r="X49" s="23"/>
    </row>
    <row r="50" spans="1:24" x14ac:dyDescent="0.35">
      <c r="A50" s="20"/>
      <c r="B50" s="20"/>
      <c r="C50" s="20"/>
      <c r="D50" s="21"/>
      <c r="E50" s="20"/>
      <c r="F50" s="20"/>
      <c r="G50" s="20"/>
      <c r="H50" s="20"/>
      <c r="I50" s="20"/>
      <c r="J50" s="20"/>
      <c r="K50" s="20"/>
      <c r="L50" s="20"/>
      <c r="M50" s="20"/>
      <c r="N50" s="20"/>
      <c r="O50" s="20"/>
      <c r="P50" s="20"/>
      <c r="Q50" s="20"/>
      <c r="R50" s="24"/>
      <c r="S50" s="17" t="str">
        <f>SplitAndMatch(R50, 'Parameter Values'!$C$325:$C$401, 'Parameter Values'!$A$325:$A$401)</f>
        <v/>
      </c>
      <c r="T50" s="22"/>
      <c r="U50" s="22"/>
      <c r="V50" s="23"/>
      <c r="W50" s="23"/>
      <c r="X50" s="23"/>
    </row>
    <row r="51" spans="1:24" x14ac:dyDescent="0.35">
      <c r="A51" s="20"/>
      <c r="B51" s="20"/>
      <c r="C51" s="20"/>
      <c r="D51" s="21"/>
      <c r="E51" s="20"/>
      <c r="F51" s="20"/>
      <c r="G51" s="20"/>
      <c r="H51" s="20"/>
      <c r="I51" s="20"/>
      <c r="J51" s="20"/>
      <c r="K51" s="20"/>
      <c r="L51" s="20"/>
      <c r="M51" s="20"/>
      <c r="N51" s="20"/>
      <c r="O51" s="20"/>
      <c r="P51" s="20"/>
      <c r="Q51" s="20"/>
      <c r="R51" s="24"/>
      <c r="S51" s="17" t="str">
        <f>SplitAndMatch(R51, 'Parameter Values'!$C$325:$C$401, 'Parameter Values'!$A$325:$A$401)</f>
        <v/>
      </c>
      <c r="T51" s="22"/>
      <c r="U51" s="22"/>
      <c r="V51" s="23"/>
      <c r="W51" s="23"/>
      <c r="X51" s="23"/>
    </row>
    <row r="52" spans="1:24" x14ac:dyDescent="0.35">
      <c r="A52" s="20"/>
      <c r="B52" s="20"/>
      <c r="C52" s="20"/>
      <c r="D52" s="21"/>
      <c r="E52" s="20"/>
      <c r="F52" s="20"/>
      <c r="G52" s="20"/>
      <c r="H52" s="20"/>
      <c r="I52" s="20"/>
      <c r="J52" s="20"/>
      <c r="K52" s="20"/>
      <c r="L52" s="20"/>
      <c r="M52" s="20"/>
      <c r="N52" s="20"/>
      <c r="O52" s="20"/>
      <c r="P52" s="20"/>
      <c r="Q52" s="20"/>
      <c r="R52" s="24"/>
      <c r="S52" s="17" t="str">
        <f>SplitAndMatch(R52, 'Parameter Values'!$C$325:$C$401, 'Parameter Values'!$A$325:$A$401)</f>
        <v/>
      </c>
      <c r="T52" s="22"/>
      <c r="U52" s="22"/>
      <c r="V52" s="23"/>
      <c r="W52" s="23"/>
      <c r="X52" s="23"/>
    </row>
    <row r="53" spans="1:24" x14ac:dyDescent="0.35">
      <c r="A53" s="20"/>
      <c r="B53" s="20"/>
      <c r="C53" s="20"/>
      <c r="D53" s="21"/>
      <c r="E53" s="20"/>
      <c r="F53" s="20"/>
      <c r="G53" s="20"/>
      <c r="H53" s="20"/>
      <c r="I53" s="20"/>
      <c r="J53" s="20"/>
      <c r="K53" s="20"/>
      <c r="L53" s="20"/>
      <c r="M53" s="20"/>
      <c r="N53" s="20"/>
      <c r="O53" s="20"/>
      <c r="P53" s="20"/>
      <c r="Q53" s="20"/>
      <c r="R53" s="24"/>
      <c r="S53" s="17" t="str">
        <f>SplitAndMatch(R53, 'Parameter Values'!$C$325:$C$401, 'Parameter Values'!$A$325:$A$401)</f>
        <v/>
      </c>
      <c r="T53" s="22"/>
      <c r="U53" s="22"/>
      <c r="V53" s="23"/>
      <c r="W53" s="23"/>
      <c r="X53" s="23"/>
    </row>
    <row r="54" spans="1:24" x14ac:dyDescent="0.35">
      <c r="A54" s="20"/>
      <c r="B54" s="20"/>
      <c r="C54" s="20"/>
      <c r="D54" s="21"/>
      <c r="E54" s="20"/>
      <c r="F54" s="20"/>
      <c r="G54" s="20"/>
      <c r="H54" s="20"/>
      <c r="I54" s="20"/>
      <c r="J54" s="20"/>
      <c r="K54" s="20"/>
      <c r="L54" s="20"/>
      <c r="M54" s="20"/>
      <c r="N54" s="20"/>
      <c r="O54" s="20"/>
      <c r="P54" s="20"/>
      <c r="Q54" s="20"/>
      <c r="R54" s="24"/>
      <c r="S54" s="17" t="str">
        <f>SplitAndMatch(R54, 'Parameter Values'!$C$325:$C$401, 'Parameter Values'!$A$325:$A$401)</f>
        <v/>
      </c>
      <c r="T54" s="22"/>
      <c r="U54" s="22"/>
      <c r="V54" s="23"/>
      <c r="W54" s="23"/>
      <c r="X54" s="23"/>
    </row>
    <row r="55" spans="1:24" x14ac:dyDescent="0.35">
      <c r="A55" s="20"/>
      <c r="B55" s="20"/>
      <c r="C55" s="20"/>
      <c r="D55" s="21"/>
      <c r="E55" s="20"/>
      <c r="F55" s="20"/>
      <c r="G55" s="20"/>
      <c r="H55" s="20"/>
      <c r="I55" s="20"/>
      <c r="J55" s="20"/>
      <c r="K55" s="20"/>
      <c r="L55" s="20"/>
      <c r="M55" s="20"/>
      <c r="N55" s="20"/>
      <c r="O55" s="20"/>
      <c r="P55" s="20"/>
      <c r="Q55" s="20"/>
      <c r="R55" s="24"/>
      <c r="S55" s="17" t="str">
        <f>SplitAndMatch(R55, 'Parameter Values'!$C$325:$C$401, 'Parameter Values'!$A$325:$A$401)</f>
        <v/>
      </c>
      <c r="T55" s="22"/>
      <c r="U55" s="22"/>
      <c r="V55" s="23"/>
      <c r="W55" s="23"/>
      <c r="X55" s="23"/>
    </row>
    <row r="56" spans="1:24" x14ac:dyDescent="0.35">
      <c r="A56" s="20"/>
      <c r="B56" s="20"/>
      <c r="C56" s="20"/>
      <c r="D56" s="21"/>
      <c r="E56" s="20"/>
      <c r="F56" s="20"/>
      <c r="G56" s="20"/>
      <c r="H56" s="20"/>
      <c r="I56" s="20"/>
      <c r="J56" s="20"/>
      <c r="K56" s="20"/>
      <c r="L56" s="20"/>
      <c r="M56" s="20"/>
      <c r="N56" s="20"/>
      <c r="O56" s="20"/>
      <c r="P56" s="20"/>
      <c r="Q56" s="20"/>
      <c r="R56" s="24"/>
      <c r="S56" s="17" t="str">
        <f>SplitAndMatch(R56, 'Parameter Values'!$C$325:$C$401, 'Parameter Values'!$A$325:$A$401)</f>
        <v/>
      </c>
      <c r="T56" s="22"/>
      <c r="U56" s="22"/>
      <c r="V56" s="23"/>
      <c r="W56" s="23"/>
      <c r="X56" s="23"/>
    </row>
    <row r="57" spans="1:24" x14ac:dyDescent="0.35">
      <c r="A57" s="20"/>
      <c r="B57" s="20"/>
      <c r="C57" s="20"/>
      <c r="D57" s="21"/>
      <c r="E57" s="20"/>
      <c r="F57" s="20"/>
      <c r="G57" s="20"/>
      <c r="H57" s="20"/>
      <c r="I57" s="20"/>
      <c r="J57" s="20"/>
      <c r="K57" s="20"/>
      <c r="L57" s="20"/>
      <c r="M57" s="20"/>
      <c r="N57" s="20"/>
      <c r="O57" s="20"/>
      <c r="P57" s="20"/>
      <c r="Q57" s="20"/>
      <c r="R57" s="24"/>
      <c r="S57" s="17" t="str">
        <f>SplitAndMatch(R57, 'Parameter Values'!$C$325:$C$401, 'Parameter Values'!$A$325:$A$401)</f>
        <v/>
      </c>
      <c r="T57" s="22"/>
      <c r="U57" s="22"/>
      <c r="V57" s="23"/>
      <c r="W57" s="23"/>
      <c r="X57" s="23"/>
    </row>
    <row r="58" spans="1:24" x14ac:dyDescent="0.35">
      <c r="A58" s="20"/>
      <c r="B58" s="20"/>
      <c r="C58" s="20"/>
      <c r="D58" s="21"/>
      <c r="E58" s="20"/>
      <c r="F58" s="20"/>
      <c r="G58" s="20"/>
      <c r="H58" s="20"/>
      <c r="I58" s="20"/>
      <c r="J58" s="20"/>
      <c r="K58" s="20"/>
      <c r="L58" s="20"/>
      <c r="M58" s="20"/>
      <c r="N58" s="20"/>
      <c r="O58" s="20"/>
      <c r="P58" s="20"/>
      <c r="Q58" s="20"/>
      <c r="R58" s="24"/>
      <c r="S58" s="17" t="str">
        <f>SplitAndMatch(R58, 'Parameter Values'!$C$325:$C$401, 'Parameter Values'!$A$325:$A$401)</f>
        <v/>
      </c>
      <c r="T58" s="22"/>
      <c r="U58" s="22"/>
      <c r="V58" s="23"/>
      <c r="W58" s="23"/>
      <c r="X58" s="23"/>
    </row>
    <row r="59" spans="1:24" x14ac:dyDescent="0.35">
      <c r="A59" s="20"/>
      <c r="B59" s="20"/>
      <c r="C59" s="20"/>
      <c r="D59" s="21"/>
      <c r="E59" s="20"/>
      <c r="F59" s="20"/>
      <c r="G59" s="20"/>
      <c r="H59" s="20"/>
      <c r="I59" s="20"/>
      <c r="J59" s="20"/>
      <c r="K59" s="20"/>
      <c r="L59" s="20"/>
      <c r="M59" s="20"/>
      <c r="N59" s="20"/>
      <c r="O59" s="20"/>
      <c r="P59" s="20"/>
      <c r="Q59" s="20"/>
      <c r="R59" s="24"/>
      <c r="S59" s="17" t="str">
        <f>SplitAndMatch(R59, 'Parameter Values'!$C$325:$C$401, 'Parameter Values'!$A$325:$A$401)</f>
        <v/>
      </c>
      <c r="T59" s="22"/>
      <c r="U59" s="22"/>
      <c r="V59" s="23"/>
      <c r="W59" s="23"/>
      <c r="X59" s="23"/>
    </row>
    <row r="60" spans="1:24" x14ac:dyDescent="0.35">
      <c r="A60" s="20"/>
      <c r="B60" s="20"/>
      <c r="C60" s="20"/>
      <c r="D60" s="21"/>
      <c r="E60" s="20"/>
      <c r="F60" s="20"/>
      <c r="G60" s="20"/>
      <c r="H60" s="20"/>
      <c r="I60" s="20"/>
      <c r="J60" s="20"/>
      <c r="K60" s="20"/>
      <c r="L60" s="20"/>
      <c r="M60" s="20"/>
      <c r="N60" s="20"/>
      <c r="O60" s="20"/>
      <c r="P60" s="20"/>
      <c r="Q60" s="20"/>
      <c r="R60" s="24"/>
      <c r="S60" s="17" t="str">
        <f>SplitAndMatch(R60, 'Parameter Values'!$C$325:$C$401, 'Parameter Values'!$A$325:$A$401)</f>
        <v/>
      </c>
      <c r="T60" s="22"/>
      <c r="U60" s="22"/>
      <c r="V60" s="23"/>
      <c r="W60" s="23"/>
      <c r="X60" s="23"/>
    </row>
    <row r="61" spans="1:24" x14ac:dyDescent="0.35">
      <c r="A61" s="20"/>
      <c r="B61" s="20"/>
      <c r="C61" s="20"/>
      <c r="D61" s="21"/>
      <c r="E61" s="20"/>
      <c r="F61" s="20"/>
      <c r="G61" s="20"/>
      <c r="H61" s="20"/>
      <c r="I61" s="20"/>
      <c r="J61" s="20"/>
      <c r="K61" s="20"/>
      <c r="L61" s="20"/>
      <c r="M61" s="20"/>
      <c r="N61" s="20"/>
      <c r="O61" s="20"/>
      <c r="P61" s="20"/>
      <c r="Q61" s="20"/>
      <c r="R61" s="24"/>
      <c r="S61" s="17" t="str">
        <f>SplitAndMatch(R61, 'Parameter Values'!$C$325:$C$401, 'Parameter Values'!$A$325:$A$401)</f>
        <v/>
      </c>
      <c r="T61" s="22"/>
      <c r="U61" s="22"/>
      <c r="V61" s="23"/>
      <c r="W61" s="23"/>
      <c r="X61" s="23"/>
    </row>
    <row r="62" spans="1:24" x14ac:dyDescent="0.35">
      <c r="A62" s="20"/>
      <c r="B62" s="20"/>
      <c r="C62" s="20"/>
      <c r="D62" s="21"/>
      <c r="E62" s="20"/>
      <c r="F62" s="20"/>
      <c r="G62" s="20"/>
      <c r="H62" s="20"/>
      <c r="I62" s="20"/>
      <c r="J62" s="20"/>
      <c r="K62" s="20"/>
      <c r="L62" s="20"/>
      <c r="M62" s="20"/>
      <c r="N62" s="20"/>
      <c r="O62" s="20"/>
      <c r="P62" s="20"/>
      <c r="Q62" s="20"/>
      <c r="R62" s="24"/>
      <c r="S62" s="17" t="str">
        <f>SplitAndMatch(R62, 'Parameter Values'!$C$325:$C$401, 'Parameter Values'!$A$325:$A$401)</f>
        <v/>
      </c>
      <c r="T62" s="22"/>
      <c r="U62" s="22"/>
      <c r="V62" s="23"/>
      <c r="W62" s="23"/>
      <c r="X62" s="23"/>
    </row>
    <row r="63" spans="1:24" x14ac:dyDescent="0.35">
      <c r="A63" s="20"/>
      <c r="B63" s="20"/>
      <c r="C63" s="20"/>
      <c r="D63" s="21"/>
      <c r="E63" s="20"/>
      <c r="F63" s="20"/>
      <c r="G63" s="20"/>
      <c r="H63" s="20"/>
      <c r="I63" s="20"/>
      <c r="J63" s="20"/>
      <c r="K63" s="20"/>
      <c r="L63" s="20"/>
      <c r="M63" s="20"/>
      <c r="N63" s="20"/>
      <c r="O63" s="20"/>
      <c r="P63" s="20"/>
      <c r="Q63" s="20"/>
      <c r="R63" s="24"/>
      <c r="S63" s="17" t="str">
        <f>SplitAndMatch(R63, 'Parameter Values'!$C$325:$C$401, 'Parameter Values'!$A$325:$A$401)</f>
        <v/>
      </c>
      <c r="T63" s="22"/>
      <c r="U63" s="22"/>
      <c r="V63" s="23"/>
      <c r="W63" s="23"/>
      <c r="X63" s="23"/>
    </row>
    <row r="64" spans="1:24" x14ac:dyDescent="0.35">
      <c r="A64" s="20"/>
      <c r="B64" s="20"/>
      <c r="C64" s="20"/>
      <c r="D64" s="21"/>
      <c r="E64" s="20"/>
      <c r="F64" s="20"/>
      <c r="G64" s="20"/>
      <c r="H64" s="20"/>
      <c r="I64" s="20"/>
      <c r="J64" s="20"/>
      <c r="K64" s="20"/>
      <c r="L64" s="20"/>
      <c r="M64" s="20"/>
      <c r="N64" s="20"/>
      <c r="O64" s="20"/>
      <c r="P64" s="20"/>
      <c r="Q64" s="20"/>
      <c r="R64" s="24"/>
      <c r="S64" s="17" t="str">
        <f>SplitAndMatch(R64, 'Parameter Values'!$C$325:$C$401, 'Parameter Values'!$A$325:$A$401)</f>
        <v/>
      </c>
      <c r="T64" s="22"/>
      <c r="U64" s="22"/>
      <c r="V64" s="23"/>
      <c r="W64" s="23"/>
      <c r="X64" s="23"/>
    </row>
    <row r="65" spans="1:34" x14ac:dyDescent="0.35">
      <c r="A65" s="20"/>
      <c r="B65" s="20"/>
      <c r="C65" s="20"/>
      <c r="D65" s="21"/>
      <c r="E65" s="20"/>
      <c r="F65" s="20"/>
      <c r="G65" s="20"/>
      <c r="H65" s="20"/>
      <c r="I65" s="20"/>
      <c r="J65" s="20"/>
      <c r="K65" s="20"/>
      <c r="L65" s="20"/>
      <c r="M65" s="20"/>
      <c r="N65" s="20"/>
      <c r="O65" s="20"/>
      <c r="P65" s="20"/>
      <c r="Q65" s="20"/>
      <c r="R65" s="24"/>
      <c r="S65" s="17" t="str">
        <f>SplitAndMatch(R65, 'Parameter Values'!$C$325:$C$401, 'Parameter Values'!$A$325:$A$401)</f>
        <v/>
      </c>
      <c r="T65" s="22"/>
      <c r="U65" s="22"/>
      <c r="V65" s="23"/>
      <c r="W65" s="23"/>
      <c r="X65" s="23"/>
    </row>
    <row r="66" spans="1:34" x14ac:dyDescent="0.35">
      <c r="A66" s="20"/>
      <c r="B66" s="20"/>
      <c r="C66" s="20"/>
      <c r="D66" s="21"/>
      <c r="E66" s="20"/>
      <c r="F66" s="20"/>
      <c r="G66" s="20"/>
      <c r="H66" s="20"/>
      <c r="I66" s="20"/>
      <c r="J66" s="20"/>
      <c r="K66" s="20"/>
      <c r="L66" s="20"/>
      <c r="M66" s="20"/>
      <c r="N66" s="20"/>
      <c r="O66" s="20"/>
      <c r="P66" s="20"/>
      <c r="Q66" s="20"/>
      <c r="R66" s="24"/>
      <c r="S66" s="17" t="str">
        <f>SplitAndMatch(R66, 'Parameter Values'!$C$325:$C$401, 'Parameter Values'!$A$325:$A$401)</f>
        <v/>
      </c>
      <c r="T66" s="22"/>
      <c r="U66" s="22"/>
      <c r="V66" s="23"/>
      <c r="W66" s="23"/>
      <c r="X66" s="23"/>
    </row>
    <row r="67" spans="1:34" x14ac:dyDescent="0.35">
      <c r="A67" s="20"/>
      <c r="B67" s="20"/>
      <c r="C67" s="20"/>
      <c r="D67" s="21"/>
      <c r="E67" s="20"/>
      <c r="F67" s="20"/>
      <c r="G67" s="20"/>
      <c r="H67" s="20"/>
      <c r="I67" s="20"/>
      <c r="J67" s="20"/>
      <c r="K67" s="20"/>
      <c r="L67" s="20"/>
      <c r="M67" s="20"/>
      <c r="N67" s="20"/>
      <c r="O67" s="20"/>
      <c r="P67" s="20"/>
      <c r="Q67" s="20"/>
      <c r="R67" s="24"/>
      <c r="S67" s="17" t="str">
        <f>SplitAndMatch(R67, 'Parameter Values'!$C$325:$C$401, 'Parameter Values'!$A$325:$A$401)</f>
        <v/>
      </c>
      <c r="T67" s="22"/>
      <c r="U67" s="22"/>
      <c r="V67" s="23"/>
      <c r="W67" s="23"/>
      <c r="X67" s="23"/>
    </row>
    <row r="68" spans="1:34" x14ac:dyDescent="0.35">
      <c r="A68" s="20"/>
      <c r="B68" s="20"/>
      <c r="C68" s="20"/>
      <c r="D68" s="21"/>
      <c r="E68" s="20"/>
      <c r="F68" s="20"/>
      <c r="G68" s="20"/>
      <c r="H68" s="20"/>
      <c r="I68" s="20"/>
      <c r="J68" s="20"/>
      <c r="K68" s="20"/>
      <c r="L68" s="20"/>
      <c r="M68" s="20"/>
      <c r="N68" s="20"/>
      <c r="O68" s="20"/>
      <c r="P68" s="20"/>
      <c r="Q68" s="20"/>
      <c r="R68" s="24"/>
      <c r="S68" s="17" t="str">
        <f>SplitAndMatch(R68, 'Parameter Values'!$C$325:$C$401, 'Parameter Values'!$A$325:$A$401)</f>
        <v/>
      </c>
      <c r="T68" s="22"/>
      <c r="U68" s="22"/>
      <c r="V68" s="23"/>
      <c r="W68" s="23"/>
      <c r="X68" s="23"/>
    </row>
    <row r="69" spans="1:34" x14ac:dyDescent="0.35">
      <c r="A69" s="20"/>
      <c r="B69" s="20"/>
      <c r="C69" s="20"/>
      <c r="D69" s="21"/>
      <c r="E69" s="20"/>
      <c r="F69" s="20"/>
      <c r="G69" s="20"/>
      <c r="H69" s="20"/>
      <c r="I69" s="20"/>
      <c r="J69" s="20"/>
      <c r="K69" s="20"/>
      <c r="L69" s="20"/>
      <c r="M69" s="20"/>
      <c r="N69" s="20"/>
      <c r="O69" s="20"/>
      <c r="P69" s="20"/>
      <c r="Q69" s="20"/>
      <c r="R69" s="24"/>
      <c r="S69" s="17" t="str">
        <f>SplitAndMatch(R69, 'Parameter Values'!$C$325:$C$401, 'Parameter Values'!$A$325:$A$401)</f>
        <v/>
      </c>
      <c r="T69" s="22"/>
      <c r="U69" s="22"/>
      <c r="V69" s="23"/>
      <c r="W69" s="23"/>
      <c r="X69" s="23"/>
    </row>
    <row r="70" spans="1:34" x14ac:dyDescent="0.35">
      <c r="A70" s="20"/>
      <c r="B70" s="20"/>
      <c r="C70" s="20"/>
      <c r="D70" s="21"/>
      <c r="E70" s="20"/>
      <c r="F70" s="20"/>
      <c r="G70" s="20"/>
      <c r="H70" s="20"/>
      <c r="I70" s="20"/>
      <c r="J70" s="20"/>
      <c r="K70" s="20"/>
      <c r="L70" s="20"/>
      <c r="M70" s="20"/>
      <c r="N70" s="20"/>
      <c r="O70" s="20"/>
      <c r="P70" s="20"/>
      <c r="Q70" s="20"/>
      <c r="R70" s="24"/>
      <c r="S70" s="17" t="str">
        <f>SplitAndMatch(R70, 'Parameter Values'!$C$325:$C$401, 'Parameter Values'!$A$325:$A$401)</f>
        <v/>
      </c>
      <c r="T70" s="22"/>
      <c r="U70" s="22"/>
      <c r="V70" s="23"/>
      <c r="W70" s="23"/>
      <c r="X70" s="23"/>
    </row>
    <row r="71" spans="1:34" x14ac:dyDescent="0.35">
      <c r="A71" s="20"/>
      <c r="B71" s="20"/>
      <c r="C71" s="20"/>
      <c r="D71" s="21"/>
      <c r="E71" s="20"/>
      <c r="F71" s="20"/>
      <c r="G71" s="20"/>
      <c r="H71" s="20"/>
      <c r="I71" s="20"/>
      <c r="J71" s="20"/>
      <c r="K71" s="20"/>
      <c r="L71" s="20"/>
      <c r="M71" s="20"/>
      <c r="N71" s="20"/>
      <c r="O71" s="20"/>
      <c r="P71" s="20"/>
      <c r="Q71" s="20"/>
      <c r="R71" s="24"/>
      <c r="S71" s="17" t="str">
        <f>SplitAndMatch(R71, 'Parameter Values'!$C$325:$C$401, 'Parameter Values'!$A$325:$A$401)</f>
        <v/>
      </c>
      <c r="T71" s="22"/>
      <c r="U71" s="22"/>
      <c r="V71" s="23"/>
      <c r="W71" s="23"/>
      <c r="X71" s="23"/>
    </row>
    <row r="72" spans="1:34" x14ac:dyDescent="0.35">
      <c r="A72" s="20"/>
      <c r="B72" s="20"/>
      <c r="C72" s="20"/>
      <c r="D72" s="21"/>
      <c r="E72" s="20"/>
      <c r="F72" s="20"/>
      <c r="G72" s="20"/>
      <c r="H72" s="20"/>
      <c r="I72" s="20"/>
      <c r="J72" s="20"/>
      <c r="K72" s="20"/>
      <c r="L72" s="20"/>
      <c r="M72" s="20"/>
      <c r="N72" s="20"/>
      <c r="O72" s="20"/>
      <c r="P72" s="20"/>
      <c r="Q72" s="20"/>
      <c r="R72" s="24"/>
      <c r="S72" s="17" t="str">
        <f>SplitAndMatch(R72, 'Parameter Values'!$C$325:$C$401, 'Parameter Values'!$A$325:$A$401)</f>
        <v/>
      </c>
      <c r="T72" s="22"/>
      <c r="U72" s="22"/>
      <c r="V72" s="23"/>
      <c r="W72" s="23"/>
      <c r="X72" s="23"/>
    </row>
    <row r="73" spans="1:34" x14ac:dyDescent="0.35">
      <c r="A73" s="20"/>
      <c r="B73" s="20"/>
      <c r="C73" s="20"/>
      <c r="D73" s="21"/>
      <c r="E73" s="20"/>
      <c r="F73" s="20"/>
      <c r="G73" s="20"/>
      <c r="H73" s="20"/>
      <c r="I73" s="20"/>
      <c r="J73" s="20"/>
      <c r="K73" s="20"/>
      <c r="L73" s="20"/>
      <c r="M73" s="20"/>
      <c r="N73" s="20"/>
      <c r="O73" s="20"/>
      <c r="P73" s="20"/>
      <c r="Q73" s="20"/>
      <c r="R73" s="24"/>
      <c r="S73" s="17" t="str">
        <f>SplitAndMatch(R73, 'Parameter Values'!$C$325:$C$401, 'Parameter Values'!$A$325:$A$401)</f>
        <v/>
      </c>
      <c r="T73" s="22"/>
      <c r="U73" s="22"/>
      <c r="V73" s="23"/>
      <c r="W73" s="23"/>
      <c r="X73" s="23"/>
    </row>
    <row r="74" spans="1:34" x14ac:dyDescent="0.35">
      <c r="A74" s="20"/>
      <c r="B74" s="20"/>
      <c r="C74" s="20"/>
      <c r="D74" s="21"/>
      <c r="E74" s="20"/>
      <c r="F74" s="20"/>
      <c r="G74" s="20"/>
      <c r="H74" s="20"/>
      <c r="I74" s="20"/>
      <c r="J74" s="20"/>
      <c r="K74" s="20"/>
      <c r="L74" s="20"/>
      <c r="M74" s="20"/>
      <c r="N74" s="20"/>
      <c r="O74" s="20"/>
      <c r="P74" s="20"/>
      <c r="Q74" s="20"/>
      <c r="R74" s="24"/>
      <c r="S74" s="17" t="str">
        <f>SplitAndMatch(R74, 'Parameter Values'!$C$325:$C$401, 'Parameter Values'!$A$325:$A$401)</f>
        <v/>
      </c>
      <c r="T74" s="22"/>
      <c r="U74" s="22"/>
      <c r="V74" s="23"/>
      <c r="W74" s="23"/>
      <c r="X74" s="23"/>
    </row>
    <row r="75" spans="1:34" x14ac:dyDescent="0.35">
      <c r="A75" s="20"/>
      <c r="B75" s="20"/>
      <c r="C75" s="20"/>
      <c r="D75" s="21"/>
      <c r="E75" s="20"/>
      <c r="F75" s="20"/>
      <c r="G75" s="20"/>
      <c r="H75" s="20"/>
      <c r="I75" s="20"/>
      <c r="J75" s="20"/>
      <c r="K75" s="20"/>
      <c r="L75" s="20"/>
      <c r="M75" s="20"/>
      <c r="N75" s="20"/>
      <c r="O75" s="20"/>
      <c r="P75" s="20"/>
      <c r="Q75" s="20"/>
      <c r="R75" s="24"/>
      <c r="S75" s="17" t="str">
        <f>SplitAndMatch(R75, 'Parameter Values'!$C$325:$C$401, 'Parameter Values'!$A$325:$A$401)</f>
        <v/>
      </c>
      <c r="T75" s="22"/>
      <c r="U75" s="22"/>
      <c r="V75" s="23"/>
      <c r="W75" s="23"/>
      <c r="X75" s="23"/>
    </row>
    <row r="76" spans="1:34" x14ac:dyDescent="0.35">
      <c r="A76" s="20"/>
      <c r="B76" s="20"/>
      <c r="C76" s="20"/>
      <c r="D76" s="21"/>
      <c r="E76" s="20"/>
      <c r="F76" s="20"/>
      <c r="G76" s="20"/>
      <c r="H76" s="20"/>
      <c r="I76" s="20"/>
      <c r="J76" s="20"/>
      <c r="K76" s="20"/>
      <c r="L76" s="20"/>
      <c r="M76" s="20"/>
      <c r="N76" s="20"/>
      <c r="O76" s="20"/>
      <c r="P76" s="20"/>
      <c r="Q76" s="20"/>
      <c r="R76" s="24"/>
      <c r="S76" s="17" t="str">
        <f>SplitAndMatch(R76, 'Parameter Values'!$C$325:$C$401, 'Parameter Values'!$A$325:$A$401)</f>
        <v/>
      </c>
      <c r="T76" s="22"/>
      <c r="U76" s="22"/>
      <c r="V76" s="23"/>
      <c r="W76" s="23"/>
      <c r="X76" s="23"/>
    </row>
    <row r="79" spans="1:34" x14ac:dyDescent="0.35">
      <c r="AH79">
        <f>SUBTOTAL(2,AH2:AH2)</f>
        <v>1</v>
      </c>
    </row>
  </sheetData>
  <sheetProtection algorithmName="SHA-512" hashValue="YhDUA0SS70sxSoonYO31HmuQMzJwv3zWcSz22SYC3ztw6aWuIAfG0mf0UHXC0iGgZMwRTPOU3r504EmgTw/Fwg==" saltValue="sJEWbD0aXiLA1oBQCUrCPA==" spinCount="100000" sheet="1" objects="1" scenarios="1"/>
  <autoFilter ref="A1:AP76" xr:uid="{60E3379E-B583-4B74-B1F8-4AD72A289497}"/>
  <sortState xmlns:xlrd2="http://schemas.microsoft.com/office/spreadsheetml/2017/richdata2" ref="A2:AP2">
    <sortCondition ref="A1"/>
  </sortState>
  <conditionalFormatting sqref="AF2:AF1048576">
    <cfRule type="cellIs" dxfId="32" priority="2" operator="equal">
      <formula>"Yes"</formula>
    </cfRule>
  </conditionalFormatting>
  <conditionalFormatting sqref="X1:X1048576">
    <cfRule type="cellIs" dxfId="31" priority="1" operator="equal">
      <formula>"No"</formula>
    </cfRule>
  </conditionalFormatting>
  <dataValidations count="23">
    <dataValidation allowBlank="1" showInputMessage="1" showErrorMessage="1" prompt="The estimated time saved per trip if the new roadway is constructed. Leave blank or input 0 if not a new roadway project." sqref="U1" xr:uid="{4EC974DF-47FA-48AD-B3BA-5A9E3A07FD8D}"/>
    <dataValidation allowBlank="1" showInputMessage="1" showErrorMessage="1" prompt="Indicate if the project provide additional detour prevention. For example, constructs new roadway bypass to shorten travel time or reconstruct a bridge to prevent detour in case bridge shutting down. Leave blank or input &quot;No&quot; if not a new roadway project." sqref="T1" xr:uid="{26F49368-E28D-495F-A936-923CDC26C25D}"/>
    <dataValidation allowBlank="1" showInputMessage="1" showErrorMessage="1" prompt="Enter the county or counties where the project is located. Can be empty." sqref="B1" xr:uid="{489AA79B-7086-4DEF-B28B-7ABA2B7AE4EB}"/>
    <dataValidation allowBlank="1" showInputMessage="1" showErrorMessage="1" prompt="Indicate if the project will add bike facilities such as bike lane, cycle track, shared use path, etc. " sqref="X1" xr:uid="{1B823D0F-73A3-4267-91EB-6BCD26B7849D}"/>
    <dataValidation allowBlank="1" showInputMessage="1" showErrorMessage="1" prompt="If the project will install or widen sidewalks, enter the total width of sidewalks will be added. " sqref="W1" xr:uid="{C0D59FDF-F6CE-45AA-B79A-D4ACA25721BB}"/>
    <dataValidation allowBlank="1" showInputMessage="1" showErrorMessage="1" prompt="Estimated growth rate for bike/ped trips. Enter the same as AADT growth rate by default." sqref="V1" xr:uid="{E106FE3A-C058-4F5E-82A9-05929DF6E113}"/>
    <dataValidation allowBlank="1" showInputMessage="1" showErrorMessage="1" prompt="ype in the improvement type codes based on Table 16 in &quot;Parameter Values&quot; sheet. Format input as &quot;code1, code2, code3&quot;. Separate code by a comma and a space. Maximum 3 codes. " sqref="R1" xr:uid="{7B9B9B9C-A594-4495-9F5B-76F4F3172C7D}"/>
    <dataValidation allowBlank="1" showInputMessage="1" showErrorMessage="1" prompt="TDM model information provided by HGAC." sqref="O1:Q1" xr:uid="{92D45414-9368-4D83-963B-17C11B613ED1}"/>
    <dataValidation allowBlank="1" showInputMessage="1" showErrorMessage="1" prompt="Refer to sheet &quot;Parameter Values&quot; Table A15. Format the input as &quot;code1, code2, code3&quot;. Separate code by a comma and space. No trailing comma or space. Maximum 3 codes for roadway or intersection related improvements and 1 bike/ped related improvement." sqref="N1" xr:uid="{95343A85-94A6-436B-952A-6CF5DAF329FB}"/>
    <dataValidation allowBlank="1" showInputMessage="1" showErrorMessage="1" prompt="Enter the estimated annual cost for the project in year open to traffic. Leave blank if unkown." sqref="M1" xr:uid="{DB1A0E6C-B202-4506-A852-8AF0EFC4CE86}"/>
    <dataValidation allowBlank="1" showInputMessage="1" showErrorMessage="1" prompt="Estimated annual maintenance cost for the project in no buld scenario. Leave blank if unkown." sqref="L1" xr:uid="{887009E3-3809-46F2-856A-5ABC6BA56068}"/>
    <dataValidation allowBlank="1" showInputMessage="1" showErrorMessage="1" prompt="Enter estimated annual growth rate for AADT. " sqref="K1" xr:uid="{3CE448DB-1C49-4046-B659-2D0695369839}"/>
    <dataValidation allowBlank="1" showInputMessage="1" showErrorMessage="1" prompt="Enter the 2022 Truck AADT along the project corridor. Use 2% of AADT if unknown." sqref="J1" xr:uid="{A0F573AA-52F6-4EDB-8285-754DBA27E982}"/>
    <dataValidation allowBlank="1" showInputMessage="1" showErrorMessage="1" prompt="Enter the AADT along project corridor in 2022. " sqref="I1" xr:uid="{DFD39F48-DD65-4492-97FD-3423D89945C7}"/>
    <dataValidation allowBlank="1" showInputMessage="1" showErrorMessage="1" prompt="Project length in build scenario. If the project improves current roadway, the length will not change. If it is bypass or new roadway project, the length is different than the no build length." sqref="H1" xr:uid="{5F1BDEAD-A3B2-4583-B816-70A9E75B320E}"/>
    <dataValidation allowBlank="1" showInputMessage="1" showErrorMessage="1" prompt="Enter the project length in no build scenario. " sqref="G1" xr:uid="{9E8FF46A-CAAC-44B4-BF9A-22EBDDF45B22}"/>
    <dataValidation allowBlank="1" showInputMessage="1" showErrorMessage="1" prompt="Enter the estimated year open to traffic in this column." sqref="F1" xr:uid="{2666279E-93ED-4307-8EF8-22DDB261A3C7}"/>
    <dataValidation allowBlank="1" showInputMessage="1" showErrorMessage="1" prompt="The useful life of the project. Refer to USDOT BCA Guidance (https://www.transportation.gov/sites/dot.gov/files/2023-12/Benefit%20Cost%20Analysis%20Guidance%202024%20Update.pdf ) for more information." sqref="E1" xr:uid="{D2D5C77D-1CED-4B05-B52D-A350AD3F8186}"/>
    <dataValidation allowBlank="1" showInputMessage="1" showErrorMessage="1" prompt="Enter the estimated total cost in 2023 dollars for the project in this column." sqref="D1" xr:uid="{780E2205-E765-4B9D-AE74-971C474CFFBE}"/>
    <dataValidation allowBlank="1" showInputMessage="1" showErrorMessage="1" prompt="The facility Type of the project. Choose from the drop down list. Refer to TxDOT - Statewide Planning Map (https://www.txdot.gov/apps/statewide_mapping/StatewidePlanningMap.html ) for the type information." sqref="C1" xr:uid="{62061097-AC4B-47E6-8951-CDDE5F218246}"/>
    <dataValidation allowBlank="1" showInputMessage="1" showErrorMessage="1" prompt="Input an unique Project ID for each project." sqref="A1" xr:uid="{443A63B9-7A1F-4DE2-9EC5-970748C64523}"/>
    <dataValidation allowBlank="1" showInputMessage="1" showErrorMessage="1" prompt="No editing needed for this column. Fetched travel time improvement types based on the codes entered in the previous column." sqref="S1" xr:uid="{73F5E475-025D-4E41-BAB3-7DF0B3613A31}"/>
    <dataValidation type="list" allowBlank="1" showInputMessage="1" showErrorMessage="1" sqref="X2:X76" xr:uid="{36A6AE58-CD5E-4244-A9B9-2935CF0921DB}">
      <formula1>#REF!</formula1>
    </dataValidation>
  </dataValidation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FDA82F-7963-4F2C-8AF1-D08719BCDB8D}">
  <sheetPr codeName="Sheet28">
    <tabColor theme="0" tint="-0.249977111117893"/>
  </sheetPr>
  <dimension ref="A1:N318"/>
  <sheetViews>
    <sheetView topLeftCell="A67" workbookViewId="0">
      <selection activeCell="G22" sqref="G22"/>
    </sheetView>
  </sheetViews>
  <sheetFormatPr defaultRowHeight="14.5" x14ac:dyDescent="0.35"/>
  <cols>
    <col min="1" max="1" width="12.81640625" customWidth="1"/>
    <col min="3" max="3" width="13.81640625" bestFit="1" customWidth="1"/>
    <col min="4" max="4" width="21.453125" customWidth="1"/>
    <col min="5" max="5" width="15.1796875" bestFit="1" customWidth="1"/>
    <col min="6" max="6" width="12.453125" bestFit="1" customWidth="1"/>
    <col min="7" max="8" width="12.1796875" bestFit="1" customWidth="1"/>
    <col min="9" max="9" width="17.54296875" customWidth="1"/>
    <col min="11" max="11" width="12.1796875" customWidth="1"/>
    <col min="14" max="14" width="20.453125" bestFit="1" customWidth="1"/>
  </cols>
  <sheetData>
    <row r="1" spans="1:14" x14ac:dyDescent="0.35">
      <c r="A1" t="s">
        <v>818</v>
      </c>
    </row>
    <row r="2" spans="1:14" x14ac:dyDescent="0.35">
      <c r="A2" s="641" t="s">
        <v>819</v>
      </c>
      <c r="B2" s="641" t="s">
        <v>173</v>
      </c>
      <c r="C2" s="641" t="s">
        <v>820</v>
      </c>
      <c r="D2" s="641" t="s">
        <v>821</v>
      </c>
      <c r="E2" s="641" t="s">
        <v>822</v>
      </c>
      <c r="F2" s="641" t="s">
        <v>823</v>
      </c>
      <c r="G2" s="641" t="s">
        <v>824</v>
      </c>
      <c r="H2" s="641" t="s">
        <v>328</v>
      </c>
      <c r="I2" s="641" t="s">
        <v>825</v>
      </c>
      <c r="J2" s="641" t="s">
        <v>826</v>
      </c>
      <c r="N2" s="642" t="s">
        <v>827</v>
      </c>
    </row>
    <row r="3" spans="1:14" x14ac:dyDescent="0.35">
      <c r="A3" t="s">
        <v>828</v>
      </c>
      <c r="B3">
        <v>2014</v>
      </c>
      <c r="C3">
        <v>2</v>
      </c>
      <c r="D3" t="s">
        <v>47</v>
      </c>
      <c r="E3">
        <v>2.5</v>
      </c>
      <c r="F3">
        <v>14.93820706411878</v>
      </c>
      <c r="G3">
        <v>4.0501666499143898E-2</v>
      </c>
      <c r="H3">
        <v>1.7809917914925399</v>
      </c>
      <c r="I3">
        <v>0.57784945414819533</v>
      </c>
      <c r="J3">
        <v>3925.4744636118239</v>
      </c>
      <c r="N3" t="s">
        <v>47</v>
      </c>
    </row>
    <row r="4" spans="1:14" x14ac:dyDescent="0.35">
      <c r="A4" t="s">
        <v>828</v>
      </c>
      <c r="B4">
        <v>2014</v>
      </c>
      <c r="C4">
        <v>2</v>
      </c>
      <c r="D4" t="s">
        <v>47</v>
      </c>
      <c r="E4">
        <v>3</v>
      </c>
      <c r="F4">
        <v>12.681921987926289</v>
      </c>
      <c r="G4">
        <v>3.4549671617100298E-2</v>
      </c>
      <c r="H4">
        <v>1.5144109446073331</v>
      </c>
      <c r="I4">
        <v>0.50355444350109435</v>
      </c>
      <c r="J4">
        <v>3353.5406580743238</v>
      </c>
      <c r="N4" t="s">
        <v>51</v>
      </c>
    </row>
    <row r="5" spans="1:14" x14ac:dyDescent="0.35">
      <c r="A5" t="s">
        <v>828</v>
      </c>
      <c r="B5">
        <v>2014</v>
      </c>
      <c r="C5">
        <v>2</v>
      </c>
      <c r="D5" t="s">
        <v>47</v>
      </c>
      <c r="E5">
        <v>4</v>
      </c>
      <c r="F5">
        <v>9.8615656426856795</v>
      </c>
      <c r="G5">
        <v>2.71096780145457E-2</v>
      </c>
      <c r="H5">
        <v>1.1811848860008229</v>
      </c>
      <c r="I5">
        <v>0.41068568019221813</v>
      </c>
      <c r="J5">
        <v>2638.623401152448</v>
      </c>
      <c r="N5" t="s">
        <v>52</v>
      </c>
    </row>
    <row r="6" spans="1:14" x14ac:dyDescent="0.35">
      <c r="A6" t="s">
        <v>828</v>
      </c>
      <c r="B6">
        <v>2014</v>
      </c>
      <c r="C6">
        <v>2</v>
      </c>
      <c r="D6" t="s">
        <v>47</v>
      </c>
      <c r="E6">
        <v>5</v>
      </c>
      <c r="F6">
        <v>8.1693518355413133</v>
      </c>
      <c r="G6">
        <v>2.2645681853013001E-2</v>
      </c>
      <c r="H6">
        <v>0.98124925083691783</v>
      </c>
      <c r="I6">
        <v>0.35496442220689228</v>
      </c>
      <c r="J6">
        <v>2209.6730469993222</v>
      </c>
      <c r="N6" t="s">
        <v>49</v>
      </c>
    </row>
    <row r="7" spans="1:14" x14ac:dyDescent="0.35">
      <c r="A7" t="s">
        <v>828</v>
      </c>
      <c r="B7">
        <v>2014</v>
      </c>
      <c r="C7">
        <v>2</v>
      </c>
      <c r="D7" t="s">
        <v>47</v>
      </c>
      <c r="E7">
        <v>6</v>
      </c>
      <c r="F7">
        <v>7.1271752542551523</v>
      </c>
      <c r="G7">
        <v>1.97288161974979E-2</v>
      </c>
      <c r="H7">
        <v>0.83856289056314781</v>
      </c>
      <c r="I7">
        <v>0.31075627707685272</v>
      </c>
      <c r="J7">
        <v>1937.5857688757981</v>
      </c>
    </row>
    <row r="8" spans="1:14" x14ac:dyDescent="0.35">
      <c r="A8" t="s">
        <v>828</v>
      </c>
      <c r="B8">
        <v>2014</v>
      </c>
      <c r="C8">
        <v>2</v>
      </c>
      <c r="D8" t="s">
        <v>47</v>
      </c>
      <c r="E8">
        <v>7</v>
      </c>
      <c r="F8">
        <v>6.3827634104793232</v>
      </c>
      <c r="G8">
        <v>1.7645340729272801E-2</v>
      </c>
      <c r="H8">
        <v>0.73664406179616937</v>
      </c>
      <c r="I8">
        <v>0.27917903055539589</v>
      </c>
      <c r="J8">
        <v>1743.2377130732809</v>
      </c>
    </row>
    <row r="9" spans="1:14" x14ac:dyDescent="0.35">
      <c r="A9" t="s">
        <v>828</v>
      </c>
      <c r="B9">
        <v>2014</v>
      </c>
      <c r="C9">
        <v>2</v>
      </c>
      <c r="D9" t="s">
        <v>47</v>
      </c>
      <c r="E9">
        <v>8</v>
      </c>
      <c r="F9">
        <v>5.8244545276474513</v>
      </c>
      <c r="G9">
        <v>1.6082734128104001E-2</v>
      </c>
      <c r="H9">
        <v>0.66020494022093545</v>
      </c>
      <c r="I9">
        <v>0.25549609566430331</v>
      </c>
      <c r="J9">
        <v>1597.476671221393</v>
      </c>
    </row>
    <row r="10" spans="1:14" x14ac:dyDescent="0.35">
      <c r="A10" t="s">
        <v>828</v>
      </c>
      <c r="B10">
        <v>2014</v>
      </c>
      <c r="C10">
        <v>2</v>
      </c>
      <c r="D10" t="s">
        <v>47</v>
      </c>
      <c r="E10">
        <v>9</v>
      </c>
      <c r="F10">
        <v>5.390214285444884</v>
      </c>
      <c r="G10">
        <v>1.4867373438306099E-2</v>
      </c>
      <c r="H10">
        <v>0.60075229010686471</v>
      </c>
      <c r="I10">
        <v>0.2370760351934536</v>
      </c>
      <c r="J10">
        <v>1484.1069720032581</v>
      </c>
    </row>
    <row r="11" spans="1:14" x14ac:dyDescent="0.35">
      <c r="A11" t="s">
        <v>828</v>
      </c>
      <c r="B11">
        <v>2014</v>
      </c>
      <c r="C11">
        <v>2</v>
      </c>
      <c r="D11" t="s">
        <v>47</v>
      </c>
      <c r="E11">
        <v>10</v>
      </c>
      <c r="F11">
        <v>5.0428220916828312</v>
      </c>
      <c r="G11">
        <v>1.38950848864677E-2</v>
      </c>
      <c r="H11">
        <v>0.55319017001560811</v>
      </c>
      <c r="I11">
        <v>0.22233998681677361</v>
      </c>
      <c r="J11">
        <v>1393.41121262875</v>
      </c>
    </row>
    <row r="12" spans="1:14" x14ac:dyDescent="0.35">
      <c r="A12" t="s">
        <v>828</v>
      </c>
      <c r="B12">
        <v>2014</v>
      </c>
      <c r="C12">
        <v>2</v>
      </c>
      <c r="D12" t="s">
        <v>47</v>
      </c>
      <c r="E12">
        <v>11</v>
      </c>
      <c r="F12">
        <v>4.8044039007485368</v>
      </c>
      <c r="G12">
        <v>1.3178761438886299E-2</v>
      </c>
      <c r="H12">
        <v>0.512151202110811</v>
      </c>
      <c r="I12">
        <v>0.21354614238218661</v>
      </c>
      <c r="J12">
        <v>1336.111026046108</v>
      </c>
    </row>
    <row r="13" spans="1:14" x14ac:dyDescent="0.35">
      <c r="A13" t="s">
        <v>828</v>
      </c>
      <c r="B13">
        <v>2014</v>
      </c>
      <c r="C13">
        <v>2</v>
      </c>
      <c r="D13" t="s">
        <v>47</v>
      </c>
      <c r="E13">
        <v>12</v>
      </c>
      <c r="F13">
        <v>4.6057220749699583</v>
      </c>
      <c r="G13">
        <v>1.2581825232568501E-2</v>
      </c>
      <c r="H13">
        <v>0.4779520621901468</v>
      </c>
      <c r="I13">
        <v>0.20621793868669741</v>
      </c>
      <c r="J13">
        <v>1288.360870560572</v>
      </c>
    </row>
    <row r="14" spans="1:14" x14ac:dyDescent="0.35">
      <c r="A14" t="s">
        <v>828</v>
      </c>
      <c r="B14">
        <v>2014</v>
      </c>
      <c r="C14">
        <v>2</v>
      </c>
      <c r="D14" t="s">
        <v>47</v>
      </c>
      <c r="E14">
        <v>13</v>
      </c>
      <c r="F14">
        <v>4.4376066839265462</v>
      </c>
      <c r="G14">
        <v>1.20767253656842E-2</v>
      </c>
      <c r="H14">
        <v>0.44901432841112321</v>
      </c>
      <c r="I14">
        <v>0.20001715094436029</v>
      </c>
      <c r="J14">
        <v>1247.9568928420431</v>
      </c>
    </row>
    <row r="15" spans="1:14" x14ac:dyDescent="0.35">
      <c r="A15" t="s">
        <v>828</v>
      </c>
      <c r="B15">
        <v>2014</v>
      </c>
      <c r="C15">
        <v>2</v>
      </c>
      <c r="D15" t="s">
        <v>47</v>
      </c>
      <c r="E15">
        <v>14</v>
      </c>
      <c r="F15">
        <v>4.293507777317906</v>
      </c>
      <c r="G15">
        <v>1.16437826226405E-2</v>
      </c>
      <c r="H15">
        <v>0.42421055660053159</v>
      </c>
      <c r="I15">
        <v>0.1947021900223572</v>
      </c>
      <c r="J15">
        <v>1213.3249119404461</v>
      </c>
    </row>
    <row r="16" spans="1:14" x14ac:dyDescent="0.35">
      <c r="A16" t="s">
        <v>828</v>
      </c>
      <c r="B16">
        <v>2014</v>
      </c>
      <c r="C16">
        <v>2</v>
      </c>
      <c r="D16" t="s">
        <v>47</v>
      </c>
      <c r="E16">
        <v>15</v>
      </c>
      <c r="F16">
        <v>4.1686220582570854</v>
      </c>
      <c r="G16">
        <v>1.1268565578669299E-2</v>
      </c>
      <c r="H16">
        <v>0.40271395436468549</v>
      </c>
      <c r="I16">
        <v>0.1900958905566211</v>
      </c>
      <c r="J16">
        <v>1183.3105284923961</v>
      </c>
    </row>
    <row r="17" spans="1:10" x14ac:dyDescent="0.35">
      <c r="A17" t="s">
        <v>828</v>
      </c>
      <c r="B17">
        <v>2014</v>
      </c>
      <c r="C17">
        <v>2</v>
      </c>
      <c r="D17" t="s">
        <v>47</v>
      </c>
      <c r="E17">
        <v>16</v>
      </c>
      <c r="F17">
        <v>4.0236347208741563</v>
      </c>
      <c r="G17">
        <v>1.08385229646889E-2</v>
      </c>
      <c r="H17">
        <v>0.38035755156295908</v>
      </c>
      <c r="I17">
        <v>0.18365661824658111</v>
      </c>
      <c r="J17">
        <v>1146.133553616289</v>
      </c>
    </row>
    <row r="18" spans="1:10" x14ac:dyDescent="0.35">
      <c r="A18" t="s">
        <v>828</v>
      </c>
      <c r="B18">
        <v>2014</v>
      </c>
      <c r="C18">
        <v>2</v>
      </c>
      <c r="D18" t="s">
        <v>47</v>
      </c>
      <c r="E18">
        <v>17</v>
      </c>
      <c r="F18">
        <v>3.8957047173009829</v>
      </c>
      <c r="G18">
        <v>1.0459073599412E-2</v>
      </c>
      <c r="H18">
        <v>0.3606313137967298</v>
      </c>
      <c r="I18">
        <v>0.17797490738478119</v>
      </c>
      <c r="J18">
        <v>1113.330340490312</v>
      </c>
    </row>
    <row r="19" spans="1:10" x14ac:dyDescent="0.35">
      <c r="A19" t="s">
        <v>828</v>
      </c>
      <c r="B19">
        <v>2014</v>
      </c>
      <c r="C19">
        <v>2</v>
      </c>
      <c r="D19" t="s">
        <v>47</v>
      </c>
      <c r="E19">
        <v>18</v>
      </c>
      <c r="F19">
        <v>3.781989158569274</v>
      </c>
      <c r="G19">
        <v>1.01217852747214E-2</v>
      </c>
      <c r="H19">
        <v>0.34309688022674828</v>
      </c>
      <c r="I19">
        <v>0.17292449772984789</v>
      </c>
      <c r="J19">
        <v>1084.1719288227771</v>
      </c>
    </row>
    <row r="20" spans="1:10" x14ac:dyDescent="0.35">
      <c r="A20" t="s">
        <v>828</v>
      </c>
      <c r="B20">
        <v>2014</v>
      </c>
      <c r="C20">
        <v>2</v>
      </c>
      <c r="D20" t="s">
        <v>47</v>
      </c>
      <c r="E20">
        <v>19</v>
      </c>
      <c r="F20">
        <v>3.6802436586514289</v>
      </c>
      <c r="G20">
        <v>9.8200009842088001E-3</v>
      </c>
      <c r="H20">
        <v>0.32740817650623849</v>
      </c>
      <c r="I20">
        <v>0.168405710143855</v>
      </c>
      <c r="J20">
        <v>1058.0828236465611</v>
      </c>
    </row>
    <row r="21" spans="1:10" x14ac:dyDescent="0.35">
      <c r="A21" t="s">
        <v>828</v>
      </c>
      <c r="B21">
        <v>2014</v>
      </c>
      <c r="C21">
        <v>2</v>
      </c>
      <c r="D21" t="s">
        <v>47</v>
      </c>
      <c r="E21">
        <v>20</v>
      </c>
      <c r="F21">
        <v>3.588672708725368</v>
      </c>
      <c r="G21">
        <v>9.5483951227475009E-3</v>
      </c>
      <c r="H21">
        <v>0.3132883431577797</v>
      </c>
      <c r="I21">
        <v>0.16433880131646139</v>
      </c>
      <c r="J21">
        <v>1034.6026289879669</v>
      </c>
    </row>
    <row r="22" spans="1:10" x14ac:dyDescent="0.35">
      <c r="A22" t="s">
        <v>828</v>
      </c>
      <c r="B22">
        <v>2014</v>
      </c>
      <c r="C22">
        <v>2</v>
      </c>
      <c r="D22" t="s">
        <v>47</v>
      </c>
      <c r="E22">
        <v>21</v>
      </c>
      <c r="F22">
        <v>3.5060137877988269</v>
      </c>
      <c r="G22">
        <v>9.3173603851760007E-3</v>
      </c>
      <c r="H22">
        <v>0.30181515883656068</v>
      </c>
      <c r="I22">
        <v>0.1611108966902621</v>
      </c>
      <c r="J22">
        <v>1012.518336630923</v>
      </c>
    </row>
    <row r="23" spans="1:10" x14ac:dyDescent="0.35">
      <c r="A23" t="s">
        <v>828</v>
      </c>
      <c r="B23">
        <v>2014</v>
      </c>
      <c r="C23">
        <v>2</v>
      </c>
      <c r="D23" t="s">
        <v>47</v>
      </c>
      <c r="E23">
        <v>22</v>
      </c>
      <c r="F23">
        <v>3.4308693142292439</v>
      </c>
      <c r="G23">
        <v>9.1073288055655999E-3</v>
      </c>
      <c r="H23">
        <v>0.29138499127181627</v>
      </c>
      <c r="I23">
        <v>0.15817643793917191</v>
      </c>
      <c r="J23">
        <v>992.44170721542878</v>
      </c>
    </row>
    <row r="24" spans="1:10" x14ac:dyDescent="0.35">
      <c r="A24" t="s">
        <v>828</v>
      </c>
      <c r="B24">
        <v>2014</v>
      </c>
      <c r="C24">
        <v>2</v>
      </c>
      <c r="D24" t="s">
        <v>47</v>
      </c>
      <c r="E24">
        <v>23</v>
      </c>
      <c r="F24">
        <v>3.3622591427091901</v>
      </c>
      <c r="G24">
        <v>8.9155608415734996E-3</v>
      </c>
      <c r="H24">
        <v>0.28186179479965828</v>
      </c>
      <c r="I24">
        <v>0.15549714951426349</v>
      </c>
      <c r="J24">
        <v>974.11087166215123</v>
      </c>
    </row>
    <row r="25" spans="1:10" x14ac:dyDescent="0.35">
      <c r="A25" t="s">
        <v>828</v>
      </c>
      <c r="B25">
        <v>2014</v>
      </c>
      <c r="C25">
        <v>2</v>
      </c>
      <c r="D25" t="s">
        <v>47</v>
      </c>
      <c r="E25">
        <v>24</v>
      </c>
      <c r="F25">
        <v>3.2993664854824738</v>
      </c>
      <c r="G25">
        <v>8.7397735412472997E-3</v>
      </c>
      <c r="H25">
        <v>0.27313219803351341</v>
      </c>
      <c r="I25">
        <v>0.15304113512476411</v>
      </c>
      <c r="J25">
        <v>957.30760573831321</v>
      </c>
    </row>
    <row r="26" spans="1:10" x14ac:dyDescent="0.35">
      <c r="A26" t="s">
        <v>828</v>
      </c>
      <c r="B26">
        <v>2014</v>
      </c>
      <c r="C26">
        <v>2</v>
      </c>
      <c r="D26" t="s">
        <v>47</v>
      </c>
      <c r="E26">
        <v>25</v>
      </c>
      <c r="F26">
        <v>3.241505240833896</v>
      </c>
      <c r="G26">
        <v>8.5780492249472994E-3</v>
      </c>
      <c r="H26">
        <v>0.2651009690086602</v>
      </c>
      <c r="I26">
        <v>0.15078160188642459</v>
      </c>
      <c r="J26">
        <v>941.84860108838245</v>
      </c>
    </row>
    <row r="27" spans="1:10" x14ac:dyDescent="0.35">
      <c r="A27" t="s">
        <v>828</v>
      </c>
      <c r="B27">
        <v>2014</v>
      </c>
      <c r="C27">
        <v>2</v>
      </c>
      <c r="D27" t="s">
        <v>47</v>
      </c>
      <c r="E27">
        <v>26</v>
      </c>
      <c r="F27">
        <v>3.206342438059596</v>
      </c>
      <c r="G27">
        <v>8.4519509307090998E-3</v>
      </c>
      <c r="H27">
        <v>0.25795894262335289</v>
      </c>
      <c r="I27">
        <v>0.14852953236076771</v>
      </c>
      <c r="J27">
        <v>932.47422290981763</v>
      </c>
    </row>
    <row r="28" spans="1:10" x14ac:dyDescent="0.35">
      <c r="A28" t="s">
        <v>828</v>
      </c>
      <c r="B28">
        <v>2014</v>
      </c>
      <c r="C28">
        <v>2</v>
      </c>
      <c r="D28" t="s">
        <v>47</v>
      </c>
      <c r="E28">
        <v>27</v>
      </c>
      <c r="F28">
        <v>3.1737842873426532</v>
      </c>
      <c r="G28">
        <v>8.3351932508589008E-3</v>
      </c>
      <c r="H28">
        <v>0.25134595522954978</v>
      </c>
      <c r="I28">
        <v>0.1464442827999741</v>
      </c>
      <c r="J28">
        <v>923.79424311485002</v>
      </c>
    </row>
    <row r="29" spans="1:10" x14ac:dyDescent="0.35">
      <c r="A29" t="s">
        <v>828</v>
      </c>
      <c r="B29">
        <v>2014</v>
      </c>
      <c r="C29">
        <v>2</v>
      </c>
      <c r="D29" t="s">
        <v>47</v>
      </c>
      <c r="E29">
        <v>28</v>
      </c>
      <c r="F29">
        <v>3.143551718819777</v>
      </c>
      <c r="G29">
        <v>8.2267754052836994E-3</v>
      </c>
      <c r="H29">
        <v>0.2452053240781612</v>
      </c>
      <c r="I29">
        <v>0.1445079796363801</v>
      </c>
      <c r="J29">
        <v>915.73426187666598</v>
      </c>
    </row>
    <row r="30" spans="1:10" x14ac:dyDescent="0.35">
      <c r="A30" t="s">
        <v>828</v>
      </c>
      <c r="B30">
        <v>2014</v>
      </c>
      <c r="C30">
        <v>2</v>
      </c>
      <c r="D30" t="s">
        <v>47</v>
      </c>
      <c r="E30">
        <v>29</v>
      </c>
      <c r="F30">
        <v>3.1154041550226159</v>
      </c>
      <c r="G30">
        <v>8.1258346525068994E-3</v>
      </c>
      <c r="H30">
        <v>0.23948818473031669</v>
      </c>
      <c r="I30">
        <v>0.14270521462199939</v>
      </c>
      <c r="J30">
        <v>908.23014141352905</v>
      </c>
    </row>
    <row r="31" spans="1:10" x14ac:dyDescent="0.35">
      <c r="A31" t="s">
        <v>828</v>
      </c>
      <c r="B31">
        <v>2014</v>
      </c>
      <c r="C31">
        <v>2</v>
      </c>
      <c r="D31" t="s">
        <v>47</v>
      </c>
      <c r="E31">
        <v>30</v>
      </c>
      <c r="F31">
        <v>3.0891330954785992</v>
      </c>
      <c r="G31">
        <v>8.0316232832484003E-3</v>
      </c>
      <c r="H31">
        <v>0.23415218800566179</v>
      </c>
      <c r="I31">
        <v>0.14102263394191089</v>
      </c>
      <c r="J31">
        <v>901.22629564793465</v>
      </c>
    </row>
    <row r="32" spans="1:10" x14ac:dyDescent="0.35">
      <c r="A32" t="s">
        <v>828</v>
      </c>
      <c r="B32">
        <v>2014</v>
      </c>
      <c r="C32">
        <v>2</v>
      </c>
      <c r="D32" t="s">
        <v>47</v>
      </c>
      <c r="E32">
        <v>31</v>
      </c>
      <c r="F32">
        <v>3.0049188750227329</v>
      </c>
      <c r="G32">
        <v>7.9201109300091992E-3</v>
      </c>
      <c r="H32">
        <v>0.2286293980160507</v>
      </c>
      <c r="I32">
        <v>0.13385541582223731</v>
      </c>
      <c r="J32">
        <v>880.91127471071877</v>
      </c>
    </row>
    <row r="33" spans="1:10" x14ac:dyDescent="0.35">
      <c r="A33" t="s">
        <v>828</v>
      </c>
      <c r="B33">
        <v>2014</v>
      </c>
      <c r="C33">
        <v>2</v>
      </c>
      <c r="D33" t="s">
        <v>47</v>
      </c>
      <c r="E33">
        <v>32</v>
      </c>
      <c r="F33">
        <v>2.9259680433453581</v>
      </c>
      <c r="G33">
        <v>7.8155680988473992E-3</v>
      </c>
      <c r="H33">
        <v>0.22345178240079039</v>
      </c>
      <c r="I33">
        <v>0.12713614883504329</v>
      </c>
      <c r="J33">
        <v>861.8659425820789</v>
      </c>
    </row>
    <row r="34" spans="1:10" x14ac:dyDescent="0.35">
      <c r="A34" t="s">
        <v>828</v>
      </c>
      <c r="B34">
        <v>2014</v>
      </c>
      <c r="C34">
        <v>2</v>
      </c>
      <c r="D34" t="s">
        <v>47</v>
      </c>
      <c r="E34">
        <v>33</v>
      </c>
      <c r="F34">
        <v>2.8518021105575211</v>
      </c>
      <c r="G34">
        <v>7.7173611968468997E-3</v>
      </c>
      <c r="H34">
        <v>0.2185879616713034</v>
      </c>
      <c r="I34">
        <v>0.12082411015010359</v>
      </c>
      <c r="J34">
        <v>843.9748730066899</v>
      </c>
    </row>
    <row r="35" spans="1:10" x14ac:dyDescent="0.35">
      <c r="A35" t="s">
        <v>828</v>
      </c>
      <c r="B35">
        <v>2014</v>
      </c>
      <c r="C35">
        <v>2</v>
      </c>
      <c r="D35" t="s">
        <v>47</v>
      </c>
      <c r="E35">
        <v>34</v>
      </c>
      <c r="F35">
        <v>2.781998879698381</v>
      </c>
      <c r="G35">
        <v>7.6249311714347004E-3</v>
      </c>
      <c r="H35">
        <v>0.2140102480435509</v>
      </c>
      <c r="I35">
        <v>0.1148833678583956</v>
      </c>
      <c r="J35">
        <v>827.13621928867667</v>
      </c>
    </row>
    <row r="36" spans="1:10" x14ac:dyDescent="0.35">
      <c r="A36" t="s">
        <v>828</v>
      </c>
      <c r="B36">
        <v>2014</v>
      </c>
      <c r="C36">
        <v>2</v>
      </c>
      <c r="D36" t="s">
        <v>47</v>
      </c>
      <c r="E36">
        <v>35</v>
      </c>
      <c r="F36">
        <v>2.7161844048883341</v>
      </c>
      <c r="G36">
        <v>7.5377828617603001E-3</v>
      </c>
      <c r="H36">
        <v>0.20969411805166999</v>
      </c>
      <c r="I36">
        <v>0.1092820965547852</v>
      </c>
      <c r="J36">
        <v>811.25977435455002</v>
      </c>
    </row>
    <row r="37" spans="1:10" x14ac:dyDescent="0.35">
      <c r="A37" t="s">
        <v>828</v>
      </c>
      <c r="B37">
        <v>2014</v>
      </c>
      <c r="C37">
        <v>2</v>
      </c>
      <c r="D37" t="s">
        <v>47</v>
      </c>
      <c r="E37">
        <v>36</v>
      </c>
      <c r="F37">
        <v>2.692201986450141</v>
      </c>
      <c r="G37">
        <v>7.4964521401048E-3</v>
      </c>
      <c r="H37">
        <v>0.2056606177380787</v>
      </c>
      <c r="I37">
        <v>0.10723894029217521</v>
      </c>
      <c r="J37">
        <v>806.92799062786162</v>
      </c>
    </row>
    <row r="38" spans="1:10" x14ac:dyDescent="0.35">
      <c r="A38" t="s">
        <v>828</v>
      </c>
      <c r="B38">
        <v>2014</v>
      </c>
      <c r="C38">
        <v>2</v>
      </c>
      <c r="D38" t="s">
        <v>47</v>
      </c>
      <c r="E38">
        <v>37</v>
      </c>
      <c r="F38">
        <v>2.6695159149545531</v>
      </c>
      <c r="G38">
        <v>7.4573555115117996E-3</v>
      </c>
      <c r="H38">
        <v>0.20184514446846519</v>
      </c>
      <c r="I38">
        <v>0.1053062249086251</v>
      </c>
      <c r="J38">
        <v>802.83035737288617</v>
      </c>
    </row>
    <row r="39" spans="1:10" x14ac:dyDescent="0.35">
      <c r="A39" t="s">
        <v>828</v>
      </c>
      <c r="B39">
        <v>2014</v>
      </c>
      <c r="C39">
        <v>2</v>
      </c>
      <c r="D39" t="s">
        <v>47</v>
      </c>
      <c r="E39">
        <v>38</v>
      </c>
      <c r="F39">
        <v>2.6480238472218902</v>
      </c>
      <c r="G39">
        <v>7.4203166002132E-3</v>
      </c>
      <c r="H39">
        <v>0.198230485581463</v>
      </c>
      <c r="I39">
        <v>0.10347523138736719</v>
      </c>
      <c r="J39">
        <v>798.94838902606728</v>
      </c>
    </row>
    <row r="40" spans="1:10" x14ac:dyDescent="0.35">
      <c r="A40" t="s">
        <v>828</v>
      </c>
      <c r="B40">
        <v>2014</v>
      </c>
      <c r="C40">
        <v>2</v>
      </c>
      <c r="D40" t="s">
        <v>47</v>
      </c>
      <c r="E40">
        <v>39</v>
      </c>
      <c r="F40">
        <v>2.6276339368088522</v>
      </c>
      <c r="G40">
        <v>7.3851771202632002E-3</v>
      </c>
      <c r="H40">
        <v>0.19480119381687119</v>
      </c>
      <c r="I40">
        <v>0.1017381349697635</v>
      </c>
      <c r="J40">
        <v>795.26549597908524</v>
      </c>
    </row>
    <row r="41" spans="1:10" x14ac:dyDescent="0.35">
      <c r="A41" t="s">
        <v>828</v>
      </c>
      <c r="B41">
        <v>2014</v>
      </c>
      <c r="C41">
        <v>2</v>
      </c>
      <c r="D41" t="s">
        <v>47</v>
      </c>
      <c r="E41">
        <v>40</v>
      </c>
      <c r="F41">
        <v>2.6082635219164638</v>
      </c>
      <c r="G41">
        <v>7.3517946143106996E-3</v>
      </c>
      <c r="H41">
        <v>0.191543366640509</v>
      </c>
      <c r="I41">
        <v>0.1000878933730399</v>
      </c>
      <c r="J41">
        <v>791.76674758445233</v>
      </c>
    </row>
    <row r="42" spans="1:10" x14ac:dyDescent="0.35">
      <c r="A42" t="s">
        <v>828</v>
      </c>
      <c r="B42">
        <v>2014</v>
      </c>
      <c r="C42">
        <v>2</v>
      </c>
      <c r="D42" t="s">
        <v>47</v>
      </c>
      <c r="E42">
        <v>41</v>
      </c>
      <c r="F42">
        <v>2.5898478952083752</v>
      </c>
      <c r="G42">
        <v>7.3201302129177999E-3</v>
      </c>
      <c r="H42">
        <v>0.18844330634953879</v>
      </c>
      <c r="I42">
        <v>9.8512447849133808E-2</v>
      </c>
      <c r="J42">
        <v>788.44747774200255</v>
      </c>
    </row>
    <row r="43" spans="1:10" x14ac:dyDescent="0.35">
      <c r="A43" t="s">
        <v>828</v>
      </c>
      <c r="B43">
        <v>2014</v>
      </c>
      <c r="C43">
        <v>2</v>
      </c>
      <c r="D43" t="s">
        <v>47</v>
      </c>
      <c r="E43">
        <v>42</v>
      </c>
      <c r="F43">
        <v>2.5723092031054331</v>
      </c>
      <c r="G43">
        <v>7.2899736401628003E-3</v>
      </c>
      <c r="H43">
        <v>0.1854908679771862</v>
      </c>
      <c r="I43">
        <v>9.7012023540651998E-2</v>
      </c>
      <c r="J43">
        <v>785.28626836824094</v>
      </c>
    </row>
    <row r="44" spans="1:10" x14ac:dyDescent="0.35">
      <c r="A44" t="s">
        <v>828</v>
      </c>
      <c r="B44">
        <v>2014</v>
      </c>
      <c r="C44">
        <v>2</v>
      </c>
      <c r="D44" t="s">
        <v>47</v>
      </c>
      <c r="E44">
        <v>43</v>
      </c>
      <c r="F44">
        <v>2.555586264123558</v>
      </c>
      <c r="G44">
        <v>7.2612196986986E-3</v>
      </c>
      <c r="H44">
        <v>0.18267575231982669</v>
      </c>
      <c r="I44">
        <v>9.5581386409308702E-2</v>
      </c>
      <c r="J44">
        <v>782.27209198860771</v>
      </c>
    </row>
    <row r="45" spans="1:10" x14ac:dyDescent="0.35">
      <c r="A45" t="s">
        <v>828</v>
      </c>
      <c r="B45">
        <v>2014</v>
      </c>
      <c r="C45">
        <v>2</v>
      </c>
      <c r="D45" t="s">
        <v>47</v>
      </c>
      <c r="E45">
        <v>44</v>
      </c>
      <c r="F45">
        <v>2.5396234587317692</v>
      </c>
      <c r="G45">
        <v>7.2337727545737996E-3</v>
      </c>
      <c r="H45">
        <v>0.17998859646507451</v>
      </c>
      <c r="I45">
        <v>9.4215778238481096E-2</v>
      </c>
      <c r="J45">
        <v>779.39492362623059</v>
      </c>
    </row>
    <row r="46" spans="1:10" x14ac:dyDescent="0.35">
      <c r="A46" t="s">
        <v>828</v>
      </c>
      <c r="B46">
        <v>2014</v>
      </c>
      <c r="C46">
        <v>2</v>
      </c>
      <c r="D46" t="s">
        <v>47</v>
      </c>
      <c r="E46">
        <v>45</v>
      </c>
      <c r="F46">
        <v>2.524370111357392</v>
      </c>
      <c r="G46">
        <v>7.2075456746322998E-3</v>
      </c>
      <c r="H46">
        <v>0.17742086975942239</v>
      </c>
      <c r="I46">
        <v>9.2910863764134793E-2</v>
      </c>
      <c r="J46">
        <v>776.64562941329245</v>
      </c>
    </row>
    <row r="47" spans="1:10" x14ac:dyDescent="0.35">
      <c r="A47" t="s">
        <v>828</v>
      </c>
      <c r="B47">
        <v>2014</v>
      </c>
      <c r="C47">
        <v>2</v>
      </c>
      <c r="D47" t="s">
        <v>47</v>
      </c>
      <c r="E47">
        <v>46</v>
      </c>
      <c r="F47">
        <v>2.50298470135884</v>
      </c>
      <c r="G47">
        <v>7.1644851455654E-3</v>
      </c>
      <c r="H47">
        <v>0.1749201479847324</v>
      </c>
      <c r="I47">
        <v>9.0342566423699908E-2</v>
      </c>
      <c r="J47">
        <v>771.30290698083411</v>
      </c>
    </row>
    <row r="48" spans="1:10" x14ac:dyDescent="0.35">
      <c r="A48" t="s">
        <v>828</v>
      </c>
      <c r="B48">
        <v>2014</v>
      </c>
      <c r="C48">
        <v>2</v>
      </c>
      <c r="D48" t="s">
        <v>47</v>
      </c>
      <c r="E48">
        <v>47</v>
      </c>
      <c r="F48">
        <v>2.482509308807034</v>
      </c>
      <c r="G48">
        <v>7.1232569794376002E-3</v>
      </c>
      <c r="H48">
        <v>0.1725258399025825</v>
      </c>
      <c r="I48">
        <v>8.7883558331794509E-2</v>
      </c>
      <c r="J48">
        <v>766.18753443911874</v>
      </c>
    </row>
    <row r="49" spans="1:10" x14ac:dyDescent="0.35">
      <c r="A49" t="s">
        <v>828</v>
      </c>
      <c r="B49">
        <v>2014</v>
      </c>
      <c r="C49">
        <v>2</v>
      </c>
      <c r="D49" t="s">
        <v>47</v>
      </c>
      <c r="E49">
        <v>48</v>
      </c>
      <c r="F49">
        <v>2.462887057611554</v>
      </c>
      <c r="G49">
        <v>7.083746653565E-3</v>
      </c>
      <c r="H49">
        <v>0.17023129465718881</v>
      </c>
      <c r="I49">
        <v>8.5527008910384991E-2</v>
      </c>
      <c r="J49">
        <v>761.28530241997487</v>
      </c>
    </row>
    <row r="50" spans="1:10" x14ac:dyDescent="0.35">
      <c r="A50" t="s">
        <v>828</v>
      </c>
      <c r="B50">
        <v>2014</v>
      </c>
      <c r="C50">
        <v>2</v>
      </c>
      <c r="D50" t="s">
        <v>47</v>
      </c>
      <c r="E50">
        <v>49</v>
      </c>
      <c r="F50">
        <v>2.4440657146281328</v>
      </c>
      <c r="G50">
        <v>7.0458489940547001E-3</v>
      </c>
      <c r="H50">
        <v>0.1680304043197704</v>
      </c>
      <c r="I50">
        <v>8.3266645179645299E-2</v>
      </c>
      <c r="J50">
        <v>756.58316150365317</v>
      </c>
    </row>
    <row r="51" spans="1:10" x14ac:dyDescent="0.35">
      <c r="A51" t="s">
        <v>828</v>
      </c>
      <c r="B51">
        <v>2014</v>
      </c>
      <c r="C51">
        <v>2</v>
      </c>
      <c r="D51" t="s">
        <v>47</v>
      </c>
      <c r="E51">
        <v>50</v>
      </c>
      <c r="F51">
        <v>2.4259972253640498</v>
      </c>
      <c r="G51">
        <v>7.0094672409246996E-3</v>
      </c>
      <c r="H51">
        <v>0.1659175495958487</v>
      </c>
      <c r="I51">
        <v>8.1096695998135099E-2</v>
      </c>
      <c r="J51">
        <v>752.06910622398436</v>
      </c>
    </row>
    <row r="52" spans="1:10" x14ac:dyDescent="0.35">
      <c r="A52" t="s">
        <v>828</v>
      </c>
      <c r="B52">
        <v>2014</v>
      </c>
      <c r="C52">
        <v>2</v>
      </c>
      <c r="D52" t="s">
        <v>47</v>
      </c>
      <c r="E52">
        <v>51</v>
      </c>
      <c r="F52">
        <v>2.406090621655502</v>
      </c>
      <c r="G52">
        <v>6.9687439728704998E-3</v>
      </c>
      <c r="H52">
        <v>0.1638496926863697</v>
      </c>
      <c r="I52">
        <v>7.8313075665600793E-2</v>
      </c>
      <c r="J52">
        <v>746.7561665668976</v>
      </c>
    </row>
    <row r="53" spans="1:10" x14ac:dyDescent="0.35">
      <c r="A53" t="s">
        <v>828</v>
      </c>
      <c r="B53">
        <v>2014</v>
      </c>
      <c r="C53">
        <v>2</v>
      </c>
      <c r="D53" t="s">
        <v>47</v>
      </c>
      <c r="E53">
        <v>52</v>
      </c>
      <c r="F53">
        <v>2.3869496565511281</v>
      </c>
      <c r="G53">
        <v>6.9295869843569004E-3</v>
      </c>
      <c r="H53">
        <v>0.16186136873494761</v>
      </c>
      <c r="I53">
        <v>7.5636517653548604E-2</v>
      </c>
      <c r="J53">
        <v>741.64757074277577</v>
      </c>
    </row>
    <row r="54" spans="1:10" x14ac:dyDescent="0.35">
      <c r="A54" t="s">
        <v>828</v>
      </c>
      <c r="B54">
        <v>2014</v>
      </c>
      <c r="C54">
        <v>2</v>
      </c>
      <c r="D54" t="s">
        <v>47</v>
      </c>
      <c r="E54">
        <v>53</v>
      </c>
      <c r="F54">
        <v>2.3685309920167308</v>
      </c>
      <c r="G54">
        <v>6.8919076180513003E-3</v>
      </c>
      <c r="H54">
        <v>0.15994807587603191</v>
      </c>
      <c r="I54">
        <v>7.3060961830630503E-2</v>
      </c>
      <c r="J54">
        <v>736.73175211956413</v>
      </c>
    </row>
    <row r="55" spans="1:10" x14ac:dyDescent="0.35">
      <c r="A55" t="s">
        <v>828</v>
      </c>
      <c r="B55">
        <v>2014</v>
      </c>
      <c r="C55">
        <v>2</v>
      </c>
      <c r="D55" t="s">
        <v>47</v>
      </c>
      <c r="E55">
        <v>54</v>
      </c>
      <c r="F55">
        <v>2.3507945002428672</v>
      </c>
      <c r="G55">
        <v>6.8556237838310998E-3</v>
      </c>
      <c r="H55">
        <v>0.1581056457155946</v>
      </c>
      <c r="I55">
        <v>7.0580796964116801E-2</v>
      </c>
      <c r="J55">
        <v>731.99800085276775</v>
      </c>
    </row>
    <row r="56" spans="1:10" x14ac:dyDescent="0.35">
      <c r="A56" t="s">
        <v>828</v>
      </c>
      <c r="B56">
        <v>2014</v>
      </c>
      <c r="C56">
        <v>2</v>
      </c>
      <c r="D56" t="s">
        <v>47</v>
      </c>
      <c r="E56">
        <v>55</v>
      </c>
      <c r="F56">
        <v>2.3337029718062339</v>
      </c>
      <c r="G56">
        <v>6.8206593617644003E-3</v>
      </c>
      <c r="H56">
        <v>0.1563302130155369</v>
      </c>
      <c r="I56">
        <v>6.8190819910930803E-2</v>
      </c>
      <c r="J56">
        <v>727.43638599567305</v>
      </c>
    </row>
    <row r="57" spans="1:10" x14ac:dyDescent="0.35">
      <c r="A57" t="s">
        <v>828</v>
      </c>
      <c r="B57">
        <v>2014</v>
      </c>
      <c r="C57">
        <v>2</v>
      </c>
      <c r="D57" t="s">
        <v>47</v>
      </c>
      <c r="E57">
        <v>56</v>
      </c>
      <c r="F57">
        <v>2.3298013178353618</v>
      </c>
      <c r="G57">
        <v>6.8067920456066997E-3</v>
      </c>
      <c r="H57">
        <v>0.15463797886055081</v>
      </c>
      <c r="I57">
        <v>6.6895910324143396E-2</v>
      </c>
      <c r="J57">
        <v>727.02699684332413</v>
      </c>
    </row>
    <row r="58" spans="1:10" x14ac:dyDescent="0.35">
      <c r="A58" t="s">
        <v>828</v>
      </c>
      <c r="B58">
        <v>2014</v>
      </c>
      <c r="C58">
        <v>2</v>
      </c>
      <c r="D58" t="s">
        <v>47</v>
      </c>
      <c r="E58">
        <v>57</v>
      </c>
      <c r="F58">
        <v>2.326036564003819</v>
      </c>
      <c r="G58">
        <v>6.7934113019457003E-3</v>
      </c>
      <c r="H58">
        <v>0.15300512134258171</v>
      </c>
      <c r="I58">
        <v>6.5646436161453894E-2</v>
      </c>
      <c r="J58">
        <v>726.6319722226367</v>
      </c>
    </row>
    <row r="59" spans="1:10" x14ac:dyDescent="0.35">
      <c r="A59" t="s">
        <v>828</v>
      </c>
      <c r="B59">
        <v>2014</v>
      </c>
      <c r="C59">
        <v>2</v>
      </c>
      <c r="D59" t="s">
        <v>47</v>
      </c>
      <c r="E59">
        <v>58</v>
      </c>
      <c r="F59">
        <v>2.322401629269915</v>
      </c>
      <c r="G59">
        <v>6.7804919632385996E-3</v>
      </c>
      <c r="H59">
        <v>0.1514285692562668</v>
      </c>
      <c r="I59">
        <v>6.4440047314719098E-2</v>
      </c>
      <c r="J59">
        <v>726.25056914059348</v>
      </c>
    </row>
    <row r="60" spans="1:10" x14ac:dyDescent="0.35">
      <c r="A60" t="s">
        <v>828</v>
      </c>
      <c r="B60">
        <v>2014</v>
      </c>
      <c r="C60">
        <v>2</v>
      </c>
      <c r="D60" t="s">
        <v>47</v>
      </c>
      <c r="E60">
        <v>59</v>
      </c>
      <c r="F60">
        <v>2.318889912662585</v>
      </c>
      <c r="G60">
        <v>6.7680105682165004E-3</v>
      </c>
      <c r="H60">
        <v>0.1499054596135557</v>
      </c>
      <c r="I60">
        <v>6.3274553005161896E-2</v>
      </c>
      <c r="J60">
        <v>725.88209497658579</v>
      </c>
    </row>
    <row r="61" spans="1:10" x14ac:dyDescent="0.35">
      <c r="A61" t="s">
        <v>828</v>
      </c>
      <c r="B61">
        <v>2014</v>
      </c>
      <c r="C61">
        <v>2</v>
      </c>
      <c r="D61" t="s">
        <v>47</v>
      </c>
      <c r="E61">
        <v>60</v>
      </c>
      <c r="F61">
        <v>2.3154952532754991</v>
      </c>
      <c r="G61">
        <v>6.7559452196951E-3</v>
      </c>
      <c r="H61">
        <v>0.14843312029226829</v>
      </c>
      <c r="I61">
        <v>6.2147908505923097E-2</v>
      </c>
      <c r="J61">
        <v>725.5259032847116</v>
      </c>
    </row>
    <row r="62" spans="1:10" x14ac:dyDescent="0.35">
      <c r="A62" t="s">
        <v>828</v>
      </c>
      <c r="B62">
        <v>2014</v>
      </c>
      <c r="C62">
        <v>2</v>
      </c>
      <c r="D62" t="s">
        <v>47</v>
      </c>
      <c r="E62">
        <v>61</v>
      </c>
      <c r="F62">
        <v>2.346246891898542</v>
      </c>
      <c r="G62">
        <v>6.7965932224022998E-3</v>
      </c>
      <c r="H62">
        <v>0.14726537451732191</v>
      </c>
      <c r="I62">
        <v>6.2770298881410905E-2</v>
      </c>
      <c r="J62">
        <v>732.44128906324272</v>
      </c>
    </row>
    <row r="63" spans="1:10" x14ac:dyDescent="0.35">
      <c r="A63" t="s">
        <v>828</v>
      </c>
      <c r="B63">
        <v>2014</v>
      </c>
      <c r="C63">
        <v>2</v>
      </c>
      <c r="D63" t="s">
        <v>47</v>
      </c>
      <c r="E63">
        <v>62</v>
      </c>
      <c r="F63">
        <v>2.3760065421789061</v>
      </c>
      <c r="G63">
        <v>6.8359299992156999E-3</v>
      </c>
      <c r="H63">
        <v>0.14613529796092209</v>
      </c>
      <c r="I63">
        <v>6.3372612148012E-2</v>
      </c>
      <c r="J63">
        <v>739.133597881176</v>
      </c>
    </row>
    <row r="64" spans="1:10" x14ac:dyDescent="0.35">
      <c r="A64" t="s">
        <v>828</v>
      </c>
      <c r="B64">
        <v>2014</v>
      </c>
      <c r="C64">
        <v>2</v>
      </c>
      <c r="D64" t="s">
        <v>47</v>
      </c>
      <c r="E64">
        <v>63</v>
      </c>
      <c r="F64">
        <v>2.4048214416567202</v>
      </c>
      <c r="G64">
        <v>6.8740179894636001E-3</v>
      </c>
      <c r="H64">
        <v>0.1450410968507572</v>
      </c>
      <c r="I64">
        <v>6.3955804358530405E-2</v>
      </c>
      <c r="J64">
        <v>745.61345245092105</v>
      </c>
    </row>
    <row r="65" spans="1:10" x14ac:dyDescent="0.35">
      <c r="A65" t="s">
        <v>828</v>
      </c>
      <c r="B65">
        <v>2014</v>
      </c>
      <c r="C65">
        <v>2</v>
      </c>
      <c r="D65" t="s">
        <v>47</v>
      </c>
      <c r="E65">
        <v>64</v>
      </c>
      <c r="F65">
        <v>2.432735875525851</v>
      </c>
      <c r="G65">
        <v>6.9109157300163001E-3</v>
      </c>
      <c r="H65">
        <v>0.14398108952528499</v>
      </c>
      <c r="I65">
        <v>6.4520771812470096E-2</v>
      </c>
      <c r="J65">
        <v>751.89081156536145</v>
      </c>
    </row>
    <row r="66" spans="1:10" x14ac:dyDescent="0.35">
      <c r="A66" t="s">
        <v>828</v>
      </c>
      <c r="B66">
        <v>2014</v>
      </c>
      <c r="C66">
        <v>2</v>
      </c>
      <c r="D66" t="s">
        <v>47</v>
      </c>
      <c r="E66">
        <v>65</v>
      </c>
      <c r="F66">
        <v>2.459791403737472</v>
      </c>
      <c r="G66">
        <v>6.9466781554751002E-3</v>
      </c>
      <c r="H66">
        <v>0.14295369780982731</v>
      </c>
      <c r="I66">
        <v>6.50683556524424E-2</v>
      </c>
      <c r="J66">
        <v>757.97502116858834</v>
      </c>
    </row>
    <row r="67" spans="1:10" x14ac:dyDescent="0.35">
      <c r="A67" t="s">
        <v>828</v>
      </c>
      <c r="B67">
        <v>2014</v>
      </c>
      <c r="C67">
        <v>2</v>
      </c>
      <c r="D67" t="s">
        <v>47</v>
      </c>
      <c r="E67">
        <v>66</v>
      </c>
      <c r="F67">
        <v>2.4882730894861891</v>
      </c>
      <c r="G67">
        <v>7.0102113294334004E-3</v>
      </c>
      <c r="H67">
        <v>0.1425528716201212</v>
      </c>
      <c r="I67">
        <v>6.5627483154125296E-2</v>
      </c>
      <c r="J67">
        <v>765.31309624366975</v>
      </c>
    </row>
    <row r="68" spans="1:10" x14ac:dyDescent="0.35">
      <c r="A68" t="s">
        <v>828</v>
      </c>
      <c r="B68">
        <v>2014</v>
      </c>
      <c r="C68">
        <v>2</v>
      </c>
      <c r="D68" t="s">
        <v>47</v>
      </c>
      <c r="E68">
        <v>67</v>
      </c>
      <c r="F68">
        <v>2.515904575660318</v>
      </c>
      <c r="G68">
        <v>7.0718479907363003E-3</v>
      </c>
      <c r="H68">
        <v>0.14216401039130189</v>
      </c>
      <c r="I68">
        <v>6.6169920282623695E-2</v>
      </c>
      <c r="J68">
        <v>772.43212430158462</v>
      </c>
    </row>
    <row r="69" spans="1:10" x14ac:dyDescent="0.35">
      <c r="A69" t="s">
        <v>828</v>
      </c>
      <c r="B69">
        <v>2014</v>
      </c>
      <c r="C69">
        <v>2</v>
      </c>
      <c r="D69" t="s">
        <v>47</v>
      </c>
      <c r="E69">
        <v>68</v>
      </c>
      <c r="F69">
        <v>2.54272337106462</v>
      </c>
      <c r="G69">
        <v>7.1316718090595997E-3</v>
      </c>
      <c r="H69">
        <v>0.14178658625744781</v>
      </c>
      <c r="I69">
        <v>6.6696403377930896E-2</v>
      </c>
      <c r="J69">
        <v>779.3417691813255</v>
      </c>
    </row>
    <row r="70" spans="1:10" x14ac:dyDescent="0.35">
      <c r="A70" t="s">
        <v>828</v>
      </c>
      <c r="B70">
        <v>2014</v>
      </c>
      <c r="C70">
        <v>2</v>
      </c>
      <c r="D70" t="s">
        <v>47</v>
      </c>
      <c r="E70">
        <v>69</v>
      </c>
      <c r="F70">
        <v>2.5687648100803919</v>
      </c>
      <c r="G70">
        <v>7.1897616036634996E-3</v>
      </c>
      <c r="H70">
        <v>0.1414201019535605</v>
      </c>
      <c r="I70">
        <v>6.7207626093664097E-2</v>
      </c>
      <c r="J70">
        <v>786.05113449933469</v>
      </c>
    </row>
    <row r="71" spans="1:10" x14ac:dyDescent="0.35">
      <c r="A71" t="s">
        <v>828</v>
      </c>
      <c r="B71">
        <v>2014</v>
      </c>
      <c r="C71">
        <v>2</v>
      </c>
      <c r="D71" t="s">
        <v>47</v>
      </c>
      <c r="E71">
        <v>70</v>
      </c>
      <c r="F71">
        <v>2.5940622079814268</v>
      </c>
      <c r="G71">
        <v>7.2461916898500997E-3</v>
      </c>
      <c r="H71">
        <v>0.14106408862978431</v>
      </c>
      <c r="I71">
        <v>6.7704242446090496E-2</v>
      </c>
      <c r="J71">
        <v>792.56880366540088</v>
      </c>
    </row>
    <row r="72" spans="1:10" x14ac:dyDescent="0.35">
      <c r="A72" t="s">
        <v>828</v>
      </c>
      <c r="B72">
        <v>2014</v>
      </c>
      <c r="C72">
        <v>2</v>
      </c>
      <c r="D72" t="s">
        <v>47</v>
      </c>
      <c r="E72">
        <v>71</v>
      </c>
      <c r="F72">
        <v>2.626246233905551</v>
      </c>
      <c r="G72">
        <v>7.3311544656809004E-3</v>
      </c>
      <c r="H72">
        <v>0.1414297976492912</v>
      </c>
      <c r="I72">
        <v>6.8647161791117101E-2</v>
      </c>
      <c r="J72">
        <v>801.72528524317818</v>
      </c>
    </row>
    <row r="73" spans="1:10" x14ac:dyDescent="0.35">
      <c r="A73" t="s">
        <v>828</v>
      </c>
      <c r="B73">
        <v>2014</v>
      </c>
      <c r="C73">
        <v>2</v>
      </c>
      <c r="D73" t="s">
        <v>47</v>
      </c>
      <c r="E73">
        <v>72</v>
      </c>
      <c r="F73">
        <v>2.6575362591095599</v>
      </c>
      <c r="G73">
        <v>7.4137571644053001E-3</v>
      </c>
      <c r="H73">
        <v>0.14178534808492291</v>
      </c>
      <c r="I73">
        <v>6.9563888932115306E-2</v>
      </c>
      <c r="J73">
        <v>810.6274201104618</v>
      </c>
    </row>
    <row r="74" spans="1:10" x14ac:dyDescent="0.35">
      <c r="A74" t="s">
        <v>828</v>
      </c>
      <c r="B74">
        <v>2014</v>
      </c>
      <c r="C74">
        <v>2</v>
      </c>
      <c r="D74" t="s">
        <v>47</v>
      </c>
      <c r="E74">
        <v>73</v>
      </c>
      <c r="F74">
        <v>2.6879690233490758</v>
      </c>
      <c r="G74">
        <v>7.4940967754934E-3</v>
      </c>
      <c r="H74">
        <v>0.14213115741272911</v>
      </c>
      <c r="I74">
        <v>7.0455500261031104E-2</v>
      </c>
      <c r="J74">
        <v>819.2856608717924</v>
      </c>
    </row>
    <row r="75" spans="1:10" x14ac:dyDescent="0.35">
      <c r="A75" t="s">
        <v>828</v>
      </c>
      <c r="B75">
        <v>2014</v>
      </c>
      <c r="C75">
        <v>2</v>
      </c>
      <c r="D75" t="s">
        <v>47</v>
      </c>
      <c r="E75">
        <v>74</v>
      </c>
      <c r="F75">
        <v>2.7175792804469832</v>
      </c>
      <c r="G75">
        <v>7.5722650457413004E-3</v>
      </c>
      <c r="H75">
        <v>0.14246762054248641</v>
      </c>
      <c r="I75">
        <v>7.1323013986462805E-2</v>
      </c>
      <c r="J75">
        <v>827.70989512605991</v>
      </c>
    </row>
    <row r="76" spans="1:10" x14ac:dyDescent="0.35">
      <c r="A76" t="s">
        <v>828</v>
      </c>
      <c r="B76">
        <v>2014</v>
      </c>
      <c r="C76">
        <v>2</v>
      </c>
      <c r="D76" t="s">
        <v>47</v>
      </c>
      <c r="E76">
        <v>75</v>
      </c>
      <c r="F76">
        <v>2.7463999306889462</v>
      </c>
      <c r="G76">
        <v>7.6483488287826E-3</v>
      </c>
      <c r="H76">
        <v>0.14279511132211689</v>
      </c>
      <c r="I76">
        <v>7.2167394012549596E-2</v>
      </c>
      <c r="J76">
        <v>835.90948313354704</v>
      </c>
    </row>
    <row r="77" spans="1:10" x14ac:dyDescent="0.35">
      <c r="A77" t="s">
        <v>828</v>
      </c>
      <c r="B77">
        <v>2014</v>
      </c>
      <c r="C77">
        <v>3</v>
      </c>
      <c r="D77" t="s">
        <v>51</v>
      </c>
      <c r="E77">
        <v>2.5</v>
      </c>
      <c r="F77">
        <v>5.2871277993046677</v>
      </c>
      <c r="G77">
        <v>4.4202134153647397E-2</v>
      </c>
      <c r="H77">
        <v>1.2943809535177411</v>
      </c>
      <c r="I77">
        <v>0.23715813627361501</v>
      </c>
      <c r="J77">
        <v>2927.3648849983351</v>
      </c>
    </row>
    <row r="78" spans="1:10" x14ac:dyDescent="0.35">
      <c r="A78" t="s">
        <v>828</v>
      </c>
      <c r="B78">
        <v>2014</v>
      </c>
      <c r="C78">
        <v>3</v>
      </c>
      <c r="D78" t="s">
        <v>51</v>
      </c>
      <c r="E78">
        <v>3</v>
      </c>
      <c r="F78">
        <v>4.5303247590911049</v>
      </c>
      <c r="G78">
        <v>3.77726909855697E-2</v>
      </c>
      <c r="H78">
        <v>1.101604705850344</v>
      </c>
      <c r="I78">
        <v>0.2057109143548472</v>
      </c>
      <c r="J78">
        <v>2500.0998205652581</v>
      </c>
    </row>
    <row r="79" spans="1:10" x14ac:dyDescent="0.35">
      <c r="A79" t="s">
        <v>828</v>
      </c>
      <c r="B79">
        <v>2014</v>
      </c>
      <c r="C79">
        <v>3</v>
      </c>
      <c r="D79" t="s">
        <v>51</v>
      </c>
      <c r="E79">
        <v>4</v>
      </c>
      <c r="F79">
        <v>3.5843209588241529</v>
      </c>
      <c r="G79">
        <v>2.9735887025472599E-2</v>
      </c>
      <c r="H79">
        <v>0.86063439626609795</v>
      </c>
      <c r="I79">
        <v>0.1664018869563875</v>
      </c>
      <c r="J79">
        <v>1966.0184900239119</v>
      </c>
    </row>
    <row r="80" spans="1:10" x14ac:dyDescent="0.35">
      <c r="A80" t="s">
        <v>828</v>
      </c>
      <c r="B80">
        <v>2014</v>
      </c>
      <c r="C80">
        <v>3</v>
      </c>
      <c r="D80" t="s">
        <v>51</v>
      </c>
      <c r="E80">
        <v>5</v>
      </c>
      <c r="F80">
        <v>3.0167186786639819</v>
      </c>
      <c r="G80">
        <v>2.4913804649414398E-2</v>
      </c>
      <c r="H80">
        <v>0.71605221051555035</v>
      </c>
      <c r="I80">
        <v>0.14281647051731169</v>
      </c>
      <c r="J80">
        <v>1645.5696916991039</v>
      </c>
    </row>
    <row r="81" spans="1:10" x14ac:dyDescent="0.35">
      <c r="A81" t="s">
        <v>828</v>
      </c>
      <c r="B81">
        <v>2014</v>
      </c>
      <c r="C81">
        <v>3</v>
      </c>
      <c r="D81" t="s">
        <v>51</v>
      </c>
      <c r="E81">
        <v>6</v>
      </c>
      <c r="F81">
        <v>2.6647018418119979</v>
      </c>
      <c r="G81">
        <v>2.17116676942096E-2</v>
      </c>
      <c r="H81">
        <v>0.61607797636810091</v>
      </c>
      <c r="I81">
        <v>0.1246491759215126</v>
      </c>
      <c r="J81">
        <v>1436.032922419331</v>
      </c>
    </row>
    <row r="82" spans="1:10" x14ac:dyDescent="0.35">
      <c r="A82" t="s">
        <v>828</v>
      </c>
      <c r="B82">
        <v>2014</v>
      </c>
      <c r="C82">
        <v>3</v>
      </c>
      <c r="D82" t="s">
        <v>51</v>
      </c>
      <c r="E82">
        <v>7</v>
      </c>
      <c r="F82">
        <v>2.413261244060581</v>
      </c>
      <c r="G82">
        <v>1.94244270119204E-2</v>
      </c>
      <c r="H82">
        <v>0.54466780911992285</v>
      </c>
      <c r="I82">
        <v>0.1116725369245133</v>
      </c>
      <c r="J82">
        <v>1286.363801505207</v>
      </c>
    </row>
    <row r="83" spans="1:10" x14ac:dyDescent="0.35">
      <c r="A83" t="s">
        <v>828</v>
      </c>
      <c r="B83">
        <v>2014</v>
      </c>
      <c r="C83">
        <v>3</v>
      </c>
      <c r="D83" t="s">
        <v>51</v>
      </c>
      <c r="E83">
        <v>8</v>
      </c>
      <c r="F83">
        <v>2.2246807957470169</v>
      </c>
      <c r="G83">
        <v>1.7708996500203501E-2</v>
      </c>
      <c r="H83">
        <v>0.49111018368378928</v>
      </c>
      <c r="I83">
        <v>0.1019400576767638</v>
      </c>
      <c r="J83">
        <v>1174.111960819615</v>
      </c>
    </row>
    <row r="84" spans="1:10" x14ac:dyDescent="0.35">
      <c r="A84" t="s">
        <v>828</v>
      </c>
      <c r="B84">
        <v>2014</v>
      </c>
      <c r="C84">
        <v>3</v>
      </c>
      <c r="D84" t="s">
        <v>51</v>
      </c>
      <c r="E84">
        <v>9</v>
      </c>
      <c r="F84">
        <v>2.0780071137253571</v>
      </c>
      <c r="G84">
        <v>1.6374772768868201E-2</v>
      </c>
      <c r="H84">
        <v>0.44945425278901868</v>
      </c>
      <c r="I84">
        <v>9.4370351595180896E-2</v>
      </c>
      <c r="J84">
        <v>1086.804973619709</v>
      </c>
    </row>
    <row r="85" spans="1:10" x14ac:dyDescent="0.35">
      <c r="A85" t="s">
        <v>828</v>
      </c>
      <c r="B85">
        <v>2014</v>
      </c>
      <c r="C85">
        <v>3</v>
      </c>
      <c r="D85" t="s">
        <v>51</v>
      </c>
      <c r="E85">
        <v>10</v>
      </c>
      <c r="F85">
        <v>1.9606681681080289</v>
      </c>
      <c r="G85">
        <v>1.5307393783799901E-2</v>
      </c>
      <c r="H85">
        <v>0.4161295080732022</v>
      </c>
      <c r="I85">
        <v>8.8314586729914504E-2</v>
      </c>
      <c r="J85">
        <v>1016.959383859785</v>
      </c>
    </row>
    <row r="86" spans="1:10" x14ac:dyDescent="0.35">
      <c r="A86" t="s">
        <v>828</v>
      </c>
      <c r="B86">
        <v>2014</v>
      </c>
      <c r="C86">
        <v>3</v>
      </c>
      <c r="D86" t="s">
        <v>51</v>
      </c>
      <c r="E86">
        <v>11</v>
      </c>
      <c r="F86">
        <v>1.8781094141457131</v>
      </c>
      <c r="G86">
        <v>1.4452036649848E-2</v>
      </c>
      <c r="H86">
        <v>0.38820024943199322</v>
      </c>
      <c r="I86">
        <v>8.4026577771770597E-2</v>
      </c>
      <c r="J86">
        <v>964.49529217585905</v>
      </c>
    </row>
    <row r="87" spans="1:10" x14ac:dyDescent="0.35">
      <c r="A87" t="s">
        <v>828</v>
      </c>
      <c r="B87">
        <v>2014</v>
      </c>
      <c r="C87">
        <v>3</v>
      </c>
      <c r="D87" t="s">
        <v>51</v>
      </c>
      <c r="E87">
        <v>12</v>
      </c>
      <c r="F87">
        <v>1.8093104525104491</v>
      </c>
      <c r="G87">
        <v>1.37392390382213E-2</v>
      </c>
      <c r="H87">
        <v>0.36492586723098569</v>
      </c>
      <c r="I87">
        <v>8.0453236973317299E-2</v>
      </c>
      <c r="J87">
        <v>920.77521577258756</v>
      </c>
    </row>
    <row r="88" spans="1:10" x14ac:dyDescent="0.35">
      <c r="A88" t="s">
        <v>828</v>
      </c>
      <c r="B88">
        <v>2014</v>
      </c>
      <c r="C88">
        <v>3</v>
      </c>
      <c r="D88" t="s">
        <v>51</v>
      </c>
      <c r="E88">
        <v>13</v>
      </c>
      <c r="F88">
        <v>1.75109594651138</v>
      </c>
      <c r="G88">
        <v>1.31361025976142E-2</v>
      </c>
      <c r="H88">
        <v>0.3452321592147487</v>
      </c>
      <c r="I88">
        <v>7.74296409130876E-2</v>
      </c>
      <c r="J88">
        <v>883.78130496981942</v>
      </c>
    </row>
    <row r="89" spans="1:10" x14ac:dyDescent="0.35">
      <c r="A89" t="s">
        <v>828</v>
      </c>
      <c r="B89">
        <v>2014</v>
      </c>
      <c r="C89">
        <v>3</v>
      </c>
      <c r="D89" t="s">
        <v>51</v>
      </c>
      <c r="E89">
        <v>14</v>
      </c>
      <c r="F89">
        <v>1.7011977985121769</v>
      </c>
      <c r="G89">
        <v>1.2619128505665199E-2</v>
      </c>
      <c r="H89">
        <v>0.32835183805797391</v>
      </c>
      <c r="I89">
        <v>7.4837987147176502E-2</v>
      </c>
      <c r="J89">
        <v>852.07223856744656</v>
      </c>
    </row>
    <row r="90" spans="1:10" x14ac:dyDescent="0.35">
      <c r="A90" t="s">
        <v>828</v>
      </c>
      <c r="B90">
        <v>2014</v>
      </c>
      <c r="C90">
        <v>3</v>
      </c>
      <c r="D90" t="s">
        <v>51</v>
      </c>
      <c r="E90">
        <v>15</v>
      </c>
      <c r="F90">
        <v>1.657952736912869</v>
      </c>
      <c r="G90">
        <v>1.21710842926427E-2</v>
      </c>
      <c r="H90">
        <v>0.31372222638876929</v>
      </c>
      <c r="I90">
        <v>7.2591887216720205E-2</v>
      </c>
      <c r="J90">
        <v>824.59104768539021</v>
      </c>
    </row>
    <row r="91" spans="1:10" x14ac:dyDescent="0.35">
      <c r="A91" t="s">
        <v>828</v>
      </c>
      <c r="B91">
        <v>2014</v>
      </c>
      <c r="C91">
        <v>3</v>
      </c>
      <c r="D91" t="s">
        <v>51</v>
      </c>
      <c r="E91">
        <v>16</v>
      </c>
      <c r="F91">
        <v>1.6090774565434161</v>
      </c>
      <c r="G91">
        <v>1.17554077695481E-2</v>
      </c>
      <c r="H91">
        <v>0.30010783296008892</v>
      </c>
      <c r="I91">
        <v>6.9982919859005802E-2</v>
      </c>
      <c r="J91">
        <v>797.46563652987993</v>
      </c>
    </row>
    <row r="92" spans="1:10" x14ac:dyDescent="0.35">
      <c r="A92" t="s">
        <v>828</v>
      </c>
      <c r="B92">
        <v>2014</v>
      </c>
      <c r="C92">
        <v>3</v>
      </c>
      <c r="D92" t="s">
        <v>51</v>
      </c>
      <c r="E92">
        <v>17</v>
      </c>
      <c r="F92">
        <v>1.5659522091586049</v>
      </c>
      <c r="G92">
        <v>1.1388634366817601E-2</v>
      </c>
      <c r="H92">
        <v>0.28809513287595928</v>
      </c>
      <c r="I92">
        <v>6.7680889837493305E-2</v>
      </c>
      <c r="J92">
        <v>773.53145021619423</v>
      </c>
    </row>
    <row r="93" spans="1:10" x14ac:dyDescent="0.35">
      <c r="A93" t="s">
        <v>828</v>
      </c>
      <c r="B93">
        <v>2014</v>
      </c>
      <c r="C93">
        <v>3</v>
      </c>
      <c r="D93" t="s">
        <v>51</v>
      </c>
      <c r="E93">
        <v>18</v>
      </c>
      <c r="F93">
        <v>1.527618655927661</v>
      </c>
      <c r="G93">
        <v>1.10626135643904E-2</v>
      </c>
      <c r="H93">
        <v>0.2774171772456217</v>
      </c>
      <c r="I93">
        <v>6.5634640929481902E-2</v>
      </c>
      <c r="J93">
        <v>752.25661793736265</v>
      </c>
    </row>
    <row r="94" spans="1:10" x14ac:dyDescent="0.35">
      <c r="A94" t="s">
        <v>828</v>
      </c>
      <c r="B94">
        <v>2014</v>
      </c>
      <c r="C94">
        <v>3</v>
      </c>
      <c r="D94" t="s">
        <v>51</v>
      </c>
      <c r="E94">
        <v>19</v>
      </c>
      <c r="F94">
        <v>1.4933202135631329</v>
      </c>
      <c r="G94">
        <v>1.0770910741166199E-2</v>
      </c>
      <c r="H94">
        <v>0.26786321694479348</v>
      </c>
      <c r="I94">
        <v>6.3803786643366597E-2</v>
      </c>
      <c r="J94">
        <v>733.22124168788173</v>
      </c>
    </row>
    <row r="95" spans="1:10" x14ac:dyDescent="0.35">
      <c r="A95" t="s">
        <v>828</v>
      </c>
      <c r="B95">
        <v>2014</v>
      </c>
      <c r="C95">
        <v>3</v>
      </c>
      <c r="D95" t="s">
        <v>51</v>
      </c>
      <c r="E95">
        <v>20</v>
      </c>
      <c r="F95">
        <v>1.462451615435058</v>
      </c>
      <c r="G95">
        <v>1.05083782002643E-2</v>
      </c>
      <c r="H95">
        <v>0.25926465267404802</v>
      </c>
      <c r="I95">
        <v>6.2156017785862903E-2</v>
      </c>
      <c r="J95">
        <v>716.08940306334887</v>
      </c>
    </row>
    <row r="96" spans="1:10" x14ac:dyDescent="0.35">
      <c r="A96" t="s">
        <v>828</v>
      </c>
      <c r="B96">
        <v>2014</v>
      </c>
      <c r="C96">
        <v>3</v>
      </c>
      <c r="D96" t="s">
        <v>51</v>
      </c>
      <c r="E96">
        <v>21</v>
      </c>
      <c r="F96">
        <v>1.431122234340976</v>
      </c>
      <c r="G96">
        <v>1.0241283171504601E-2</v>
      </c>
      <c r="H96">
        <v>0.25051254928464628</v>
      </c>
      <c r="I96">
        <v>6.0628239871515603E-2</v>
      </c>
      <c r="J96">
        <v>698.70405681574141</v>
      </c>
    </row>
    <row r="97" spans="1:10" x14ac:dyDescent="0.35">
      <c r="A97" t="s">
        <v>828</v>
      </c>
      <c r="B97">
        <v>2014</v>
      </c>
      <c r="C97">
        <v>3</v>
      </c>
      <c r="D97" t="s">
        <v>51</v>
      </c>
      <c r="E97">
        <v>22</v>
      </c>
      <c r="F97">
        <v>1.402640978800902</v>
      </c>
      <c r="G97">
        <v>9.9984695089957998E-3</v>
      </c>
      <c r="H97">
        <v>0.2425560916579175</v>
      </c>
      <c r="I97">
        <v>5.9239350858472588E-2</v>
      </c>
      <c r="J97">
        <v>682.89919659064367</v>
      </c>
    </row>
    <row r="98" spans="1:10" x14ac:dyDescent="0.35">
      <c r="A98" t="s">
        <v>828</v>
      </c>
      <c r="B98">
        <v>2014</v>
      </c>
      <c r="C98">
        <v>3</v>
      </c>
      <c r="D98" t="s">
        <v>51</v>
      </c>
      <c r="E98">
        <v>23</v>
      </c>
      <c r="F98">
        <v>1.3766363541773561</v>
      </c>
      <c r="G98">
        <v>9.7767700780095005E-3</v>
      </c>
      <c r="H98">
        <v>0.23529149991177381</v>
      </c>
      <c r="I98">
        <v>5.7971234803085497E-2</v>
      </c>
      <c r="J98">
        <v>668.46867203729369</v>
      </c>
    </row>
    <row r="99" spans="1:10" x14ac:dyDescent="0.35">
      <c r="A99" t="s">
        <v>828</v>
      </c>
      <c r="B99">
        <v>2014</v>
      </c>
      <c r="C99">
        <v>3</v>
      </c>
      <c r="D99" t="s">
        <v>51</v>
      </c>
      <c r="E99">
        <v>24</v>
      </c>
      <c r="F99">
        <v>1.3527987816057729</v>
      </c>
      <c r="G99">
        <v>9.5735455996053005E-3</v>
      </c>
      <c r="H99">
        <v>0.22863229081114211</v>
      </c>
      <c r="I99">
        <v>5.6808795085647297E-2</v>
      </c>
      <c r="J99">
        <v>655.24069119672276</v>
      </c>
    </row>
    <row r="100" spans="1:10" x14ac:dyDescent="0.35">
      <c r="A100" t="s">
        <v>828</v>
      </c>
      <c r="B100">
        <v>2014</v>
      </c>
      <c r="C100">
        <v>3</v>
      </c>
      <c r="D100" t="s">
        <v>51</v>
      </c>
      <c r="E100">
        <v>25</v>
      </c>
      <c r="F100">
        <v>1.330868214839916</v>
      </c>
      <c r="G100">
        <v>9.3865790794734998E-3</v>
      </c>
      <c r="H100">
        <v>0.2225058184385609</v>
      </c>
      <c r="I100">
        <v>5.5739350545604208E-2</v>
      </c>
      <c r="J100">
        <v>643.07094882339754</v>
      </c>
    </row>
    <row r="101" spans="1:10" x14ac:dyDescent="0.35">
      <c r="A101" t="s">
        <v>828</v>
      </c>
      <c r="B101">
        <v>2014</v>
      </c>
      <c r="C101">
        <v>3</v>
      </c>
      <c r="D101" t="s">
        <v>51</v>
      </c>
      <c r="E101">
        <v>26</v>
      </c>
      <c r="F101">
        <v>1.3103193317754811</v>
      </c>
      <c r="G101">
        <v>9.1736898094590003E-3</v>
      </c>
      <c r="H101">
        <v>0.21579606466523099</v>
      </c>
      <c r="I101">
        <v>5.4580002975644103E-2</v>
      </c>
      <c r="J101">
        <v>631.24029831115422</v>
      </c>
    </row>
    <row r="102" spans="1:10" x14ac:dyDescent="0.35">
      <c r="A102" t="s">
        <v>828</v>
      </c>
      <c r="B102">
        <v>2014</v>
      </c>
      <c r="C102">
        <v>3</v>
      </c>
      <c r="D102" t="s">
        <v>51</v>
      </c>
      <c r="E102">
        <v>27</v>
      </c>
      <c r="F102">
        <v>1.291292588197301</v>
      </c>
      <c r="G102">
        <v>8.9765701150011003E-3</v>
      </c>
      <c r="H102">
        <v>0.20958332968992549</v>
      </c>
      <c r="I102">
        <v>5.3506533003458888E-2</v>
      </c>
      <c r="J102">
        <v>620.28599228129929</v>
      </c>
    </row>
    <row r="103" spans="1:10" x14ac:dyDescent="0.35">
      <c r="A103" t="s">
        <v>828</v>
      </c>
      <c r="B103">
        <v>2014</v>
      </c>
      <c r="C103">
        <v>3</v>
      </c>
      <c r="D103" t="s">
        <v>51</v>
      </c>
      <c r="E103">
        <v>28</v>
      </c>
      <c r="F103">
        <v>1.2736248977318481</v>
      </c>
      <c r="G103">
        <v>8.7935303987188001E-3</v>
      </c>
      <c r="H103">
        <v>0.20381436149857049</v>
      </c>
      <c r="I103">
        <v>5.2509739457858202E-2</v>
      </c>
      <c r="J103">
        <v>610.11413668214834</v>
      </c>
    </row>
    <row r="104" spans="1:10" x14ac:dyDescent="0.35">
      <c r="A104" t="s">
        <v>828</v>
      </c>
      <c r="B104">
        <v>2014</v>
      </c>
      <c r="C104">
        <v>3</v>
      </c>
      <c r="D104" t="s">
        <v>51</v>
      </c>
      <c r="E104">
        <v>29</v>
      </c>
      <c r="F104">
        <v>1.2571756686778051</v>
      </c>
      <c r="G104">
        <v>8.6231141111456008E-3</v>
      </c>
      <c r="H104">
        <v>0.19844325318248129</v>
      </c>
      <c r="I104">
        <v>5.1581690294712802E-2</v>
      </c>
      <c r="J104">
        <v>600.64378836569745</v>
      </c>
    </row>
    <row r="105" spans="1:10" x14ac:dyDescent="0.35">
      <c r="A105" t="s">
        <v>828</v>
      </c>
      <c r="B105">
        <v>2014</v>
      </c>
      <c r="C105">
        <v>3</v>
      </c>
      <c r="D105" t="s">
        <v>51</v>
      </c>
      <c r="E105">
        <v>30</v>
      </c>
      <c r="F105">
        <v>1.2418230548940321</v>
      </c>
      <c r="G105">
        <v>8.4640589094106006E-3</v>
      </c>
      <c r="H105">
        <v>0.1934302187541313</v>
      </c>
      <c r="I105">
        <v>5.0715511075777098E-2</v>
      </c>
      <c r="J105">
        <v>591.80479660367655</v>
      </c>
    </row>
    <row r="106" spans="1:10" x14ac:dyDescent="0.35">
      <c r="A106" t="s">
        <v>828</v>
      </c>
      <c r="B106">
        <v>2014</v>
      </c>
      <c r="C106">
        <v>3</v>
      </c>
      <c r="D106" t="s">
        <v>51</v>
      </c>
      <c r="E106">
        <v>31</v>
      </c>
      <c r="F106">
        <v>1.213167804501764</v>
      </c>
      <c r="G106">
        <v>8.3492193152220999E-3</v>
      </c>
      <c r="H106">
        <v>0.1879890305711244</v>
      </c>
      <c r="I106">
        <v>4.8360634187775503E-2</v>
      </c>
      <c r="J106">
        <v>580.94654611477108</v>
      </c>
    </row>
    <row r="107" spans="1:10" x14ac:dyDescent="0.35">
      <c r="A107" t="s">
        <v>828</v>
      </c>
      <c r="B107">
        <v>2014</v>
      </c>
      <c r="C107">
        <v>3</v>
      </c>
      <c r="D107" t="s">
        <v>51</v>
      </c>
      <c r="E107">
        <v>32</v>
      </c>
      <c r="F107">
        <v>1.1863035072590129</v>
      </c>
      <c r="G107">
        <v>8.2415571956705007E-3</v>
      </c>
      <c r="H107">
        <v>0.18288791664955539</v>
      </c>
      <c r="I107">
        <v>4.6152937105274003E-2</v>
      </c>
      <c r="J107">
        <v>570.76693628142209</v>
      </c>
    </row>
    <row r="108" spans="1:10" x14ac:dyDescent="0.35">
      <c r="A108" t="s">
        <v>828</v>
      </c>
      <c r="B108">
        <v>2014</v>
      </c>
      <c r="C108">
        <v>3</v>
      </c>
      <c r="D108" t="s">
        <v>51</v>
      </c>
      <c r="E108">
        <v>33</v>
      </c>
      <c r="F108">
        <v>1.1610673492430961</v>
      </c>
      <c r="G108">
        <v>8.1404200530613008E-3</v>
      </c>
      <c r="H108">
        <v>0.1780959611474755</v>
      </c>
      <c r="I108">
        <v>4.4079039845954397E-2</v>
      </c>
      <c r="J108">
        <v>561.20427249857926</v>
      </c>
    </row>
    <row r="109" spans="1:10" x14ac:dyDescent="0.35">
      <c r="A109" t="s">
        <v>828</v>
      </c>
      <c r="B109">
        <v>2014</v>
      </c>
      <c r="C109">
        <v>3</v>
      </c>
      <c r="D109" t="s">
        <v>51</v>
      </c>
      <c r="E109">
        <v>34</v>
      </c>
      <c r="F109">
        <v>1.1373156711104671</v>
      </c>
      <c r="G109">
        <v>8.0452321541350999E-3</v>
      </c>
      <c r="H109">
        <v>0.17358588538081199</v>
      </c>
      <c r="I109">
        <v>4.2127136543065498E-2</v>
      </c>
      <c r="J109">
        <v>552.20411835002119</v>
      </c>
    </row>
    <row r="110" spans="1:10" x14ac:dyDescent="0.35">
      <c r="A110" t="s">
        <v>828</v>
      </c>
      <c r="B110">
        <v>2014</v>
      </c>
      <c r="C110">
        <v>3</v>
      </c>
      <c r="D110" t="s">
        <v>51</v>
      </c>
      <c r="E110">
        <v>35</v>
      </c>
      <c r="F110">
        <v>1.1149212317282751</v>
      </c>
      <c r="G110">
        <v>7.9554835637189007E-3</v>
      </c>
      <c r="H110">
        <v>0.16933352822938641</v>
      </c>
      <c r="I110">
        <v>4.0286770571770103E-2</v>
      </c>
      <c r="J110">
        <v>543.7182587242379</v>
      </c>
    </row>
    <row r="111" spans="1:10" x14ac:dyDescent="0.35">
      <c r="A111" t="s">
        <v>828</v>
      </c>
      <c r="B111">
        <v>2014</v>
      </c>
      <c r="C111">
        <v>3</v>
      </c>
      <c r="D111" t="s">
        <v>51</v>
      </c>
      <c r="E111">
        <v>36</v>
      </c>
      <c r="F111">
        <v>1.1060749063096951</v>
      </c>
      <c r="G111">
        <v>7.8983192365825999E-3</v>
      </c>
      <c r="H111">
        <v>0.16522798749968531</v>
      </c>
      <c r="I111">
        <v>3.9413764991255602E-2</v>
      </c>
      <c r="J111">
        <v>539.8341179407372</v>
      </c>
    </row>
    <row r="112" spans="1:10" x14ac:dyDescent="0.35">
      <c r="A112" t="s">
        <v>828</v>
      </c>
      <c r="B112">
        <v>2014</v>
      </c>
      <c r="C112">
        <v>3</v>
      </c>
      <c r="D112" t="s">
        <v>51</v>
      </c>
      <c r="E112">
        <v>37</v>
      </c>
      <c r="F112">
        <v>1.0977067606434701</v>
      </c>
      <c r="G112">
        <v>7.8442448730752998E-3</v>
      </c>
      <c r="H112">
        <v>0.1613443678905086</v>
      </c>
      <c r="I112">
        <v>3.8587948901579697E-2</v>
      </c>
      <c r="J112">
        <v>536.15993071310152</v>
      </c>
    </row>
    <row r="113" spans="1:10" x14ac:dyDescent="0.35">
      <c r="A113" t="s">
        <v>828</v>
      </c>
      <c r="B113">
        <v>2014</v>
      </c>
      <c r="C113">
        <v>3</v>
      </c>
      <c r="D113" t="s">
        <v>51</v>
      </c>
      <c r="E113">
        <v>38</v>
      </c>
      <c r="F113">
        <v>1.08977904369652</v>
      </c>
      <c r="G113">
        <v>7.7930165286998997E-3</v>
      </c>
      <c r="H113">
        <v>0.1576651493133939</v>
      </c>
      <c r="I113">
        <v>3.7805596816623703E-2</v>
      </c>
      <c r="J113">
        <v>532.6791217606044</v>
      </c>
    </row>
    <row r="114" spans="1:10" x14ac:dyDescent="0.35">
      <c r="A114" t="s">
        <v>828</v>
      </c>
      <c r="B114">
        <v>2014</v>
      </c>
      <c r="C114">
        <v>3</v>
      </c>
      <c r="D114" t="s">
        <v>51</v>
      </c>
      <c r="E114">
        <v>39</v>
      </c>
      <c r="F114">
        <v>1.082257876336594</v>
      </c>
      <c r="G114">
        <v>7.7444152789079004E-3</v>
      </c>
      <c r="H114">
        <v>0.15417460861202861</v>
      </c>
      <c r="I114">
        <v>3.7063365351409E-2</v>
      </c>
      <c r="J114">
        <v>529.37681583131234</v>
      </c>
    </row>
    <row r="115" spans="1:10" x14ac:dyDescent="0.35">
      <c r="A115" t="s">
        <v>828</v>
      </c>
      <c r="B115">
        <v>2014</v>
      </c>
      <c r="C115">
        <v>3</v>
      </c>
      <c r="D115" t="s">
        <v>51</v>
      </c>
      <c r="E115">
        <v>40</v>
      </c>
      <c r="F115">
        <v>1.0751127673446641</v>
      </c>
      <c r="G115">
        <v>7.6982440916055E-3</v>
      </c>
      <c r="H115">
        <v>0.15085859494573159</v>
      </c>
      <c r="I115">
        <v>3.6358245459454999E-2</v>
      </c>
      <c r="J115">
        <v>526.23962519848487</v>
      </c>
    </row>
    <row r="116" spans="1:10" x14ac:dyDescent="0.35">
      <c r="A116" t="s">
        <v>828</v>
      </c>
      <c r="B116">
        <v>2014</v>
      </c>
      <c r="C116">
        <v>3</v>
      </c>
      <c r="D116" t="s">
        <v>51</v>
      </c>
      <c r="E116">
        <v>41</v>
      </c>
      <c r="F116">
        <v>1.0683278448898881</v>
      </c>
      <c r="G116">
        <v>7.6544261975579004E-3</v>
      </c>
      <c r="H116">
        <v>0.14770319252537861</v>
      </c>
      <c r="I116">
        <v>3.5683933563394797E-2</v>
      </c>
      <c r="J116">
        <v>523.26479295458876</v>
      </c>
    </row>
    <row r="117" spans="1:10" x14ac:dyDescent="0.35">
      <c r="A117" t="s">
        <v>828</v>
      </c>
      <c r="B117">
        <v>2014</v>
      </c>
      <c r="C117">
        <v>3</v>
      </c>
      <c r="D117" t="s">
        <v>51</v>
      </c>
      <c r="E117">
        <v>42</v>
      </c>
      <c r="F117">
        <v>1.0618660139805789</v>
      </c>
      <c r="G117">
        <v>7.6126948698934001E-3</v>
      </c>
      <c r="H117">
        <v>0.14469804736313771</v>
      </c>
      <c r="I117">
        <v>3.5041731757622999E-2</v>
      </c>
      <c r="J117">
        <v>520.43161938897333</v>
      </c>
    </row>
    <row r="118" spans="1:10" x14ac:dyDescent="0.35">
      <c r="A118" t="s">
        <v>828</v>
      </c>
      <c r="B118">
        <v>2014</v>
      </c>
      <c r="C118">
        <v>3</v>
      </c>
      <c r="D118" t="s">
        <v>51</v>
      </c>
      <c r="E118">
        <v>43</v>
      </c>
      <c r="F118">
        <v>1.05570473334612</v>
      </c>
      <c r="G118">
        <v>7.5729045342134002E-3</v>
      </c>
      <c r="H118">
        <v>0.1418326763944894</v>
      </c>
      <c r="I118">
        <v>3.44293998032826E-2</v>
      </c>
      <c r="J118">
        <v>517.73022133803772</v>
      </c>
    </row>
    <row r="119" spans="1:10" x14ac:dyDescent="0.35">
      <c r="A119" t="s">
        <v>828</v>
      </c>
      <c r="B119">
        <v>2014</v>
      </c>
      <c r="C119">
        <v>3</v>
      </c>
      <c r="D119" t="s">
        <v>51</v>
      </c>
      <c r="E119">
        <v>44</v>
      </c>
      <c r="F119">
        <v>1.0498235109223191</v>
      </c>
      <c r="G119">
        <v>7.5349228501552E-3</v>
      </c>
      <c r="H119">
        <v>0.13909754956077969</v>
      </c>
      <c r="I119">
        <v>3.3844901119593901E-2</v>
      </c>
      <c r="J119">
        <v>515.15161410759924</v>
      </c>
    </row>
    <row r="120" spans="1:10" x14ac:dyDescent="0.35">
      <c r="A120" t="s">
        <v>828</v>
      </c>
      <c r="B120">
        <v>2014</v>
      </c>
      <c r="C120">
        <v>3</v>
      </c>
      <c r="D120" t="s">
        <v>51</v>
      </c>
      <c r="E120">
        <v>45</v>
      </c>
      <c r="F120">
        <v>1.0442036761617981</v>
      </c>
      <c r="G120">
        <v>7.4986292409439997E-3</v>
      </c>
      <c r="H120">
        <v>0.1364839839196792</v>
      </c>
      <c r="I120">
        <v>3.3286380155180199E-2</v>
      </c>
      <c r="J120">
        <v>512.68761164295802</v>
      </c>
    </row>
    <row r="121" spans="1:10" x14ac:dyDescent="0.35">
      <c r="A121" t="s">
        <v>828</v>
      </c>
      <c r="B121">
        <v>2014</v>
      </c>
      <c r="C121">
        <v>3</v>
      </c>
      <c r="D121" t="s">
        <v>51</v>
      </c>
      <c r="E121">
        <v>46</v>
      </c>
      <c r="F121">
        <v>1.0375306641494699</v>
      </c>
      <c r="G121">
        <v>7.4652259537468998E-3</v>
      </c>
      <c r="H121">
        <v>0.13401346063480041</v>
      </c>
      <c r="I121">
        <v>3.2438385413842502E-2</v>
      </c>
      <c r="J121">
        <v>509.9353167297391</v>
      </c>
    </row>
    <row r="122" spans="1:10" x14ac:dyDescent="0.35">
      <c r="A122" t="s">
        <v>828</v>
      </c>
      <c r="B122">
        <v>2014</v>
      </c>
      <c r="C122">
        <v>3</v>
      </c>
      <c r="D122" t="s">
        <v>51</v>
      </c>
      <c r="E122">
        <v>47</v>
      </c>
      <c r="F122">
        <v>1.0311416100951121</v>
      </c>
      <c r="G122">
        <v>7.4332440830261999E-3</v>
      </c>
      <c r="H122">
        <v>0.13164806600034201</v>
      </c>
      <c r="I122">
        <v>3.1626475555114802E-2</v>
      </c>
      <c r="J122">
        <v>507.30014074899759</v>
      </c>
    </row>
    <row r="123" spans="1:10" x14ac:dyDescent="0.35">
      <c r="A123" t="s">
        <v>828</v>
      </c>
      <c r="B123">
        <v>2014</v>
      </c>
      <c r="C123">
        <v>3</v>
      </c>
      <c r="D123" t="s">
        <v>51</v>
      </c>
      <c r="E123">
        <v>48</v>
      </c>
      <c r="F123">
        <v>1.0250187666263531</v>
      </c>
      <c r="G123">
        <v>7.4025947902523004E-3</v>
      </c>
      <c r="H123">
        <v>0.12938122947565259</v>
      </c>
      <c r="I123">
        <v>3.0848395273834199E-2</v>
      </c>
      <c r="J123">
        <v>504.77476376745358</v>
      </c>
    </row>
    <row r="124" spans="1:10" x14ac:dyDescent="0.35">
      <c r="A124" t="s">
        <v>828</v>
      </c>
      <c r="B124">
        <v>2014</v>
      </c>
      <c r="C124">
        <v>3</v>
      </c>
      <c r="D124" t="s">
        <v>51</v>
      </c>
      <c r="E124">
        <v>49</v>
      </c>
      <c r="F124">
        <v>1.0191458351359099</v>
      </c>
      <c r="G124">
        <v>7.3731964890200999E-3</v>
      </c>
      <c r="H124">
        <v>0.12720691689074659</v>
      </c>
      <c r="I124">
        <v>3.0102073371381301E-2</v>
      </c>
      <c r="J124">
        <v>502.35246339740132</v>
      </c>
    </row>
    <row r="125" spans="1:10" x14ac:dyDescent="0.35">
      <c r="A125" t="s">
        <v>828</v>
      </c>
      <c r="B125">
        <v>2014</v>
      </c>
      <c r="C125">
        <v>3</v>
      </c>
      <c r="D125" t="s">
        <v>51</v>
      </c>
      <c r="E125">
        <v>50</v>
      </c>
      <c r="F125">
        <v>1.013507820905085</v>
      </c>
      <c r="G125">
        <v>7.3449741198371998E-3</v>
      </c>
      <c r="H125">
        <v>0.12511957680923669</v>
      </c>
      <c r="I125">
        <v>2.93856043450266E-2</v>
      </c>
      <c r="J125">
        <v>500.02705504215101</v>
      </c>
    </row>
    <row r="126" spans="1:10" x14ac:dyDescent="0.35">
      <c r="A126" t="s">
        <v>828</v>
      </c>
      <c r="B126">
        <v>2014</v>
      </c>
      <c r="C126">
        <v>3</v>
      </c>
      <c r="D126" t="s">
        <v>51</v>
      </c>
      <c r="E126">
        <v>51</v>
      </c>
      <c r="F126">
        <v>1.008218794354097</v>
      </c>
      <c r="G126">
        <v>7.3269773245146002E-3</v>
      </c>
      <c r="H126">
        <v>0.12335596350108929</v>
      </c>
      <c r="I126">
        <v>2.85358164190831E-2</v>
      </c>
      <c r="J126">
        <v>498.04822723252221</v>
      </c>
    </row>
    <row r="127" spans="1:10" x14ac:dyDescent="0.35">
      <c r="A127" t="s">
        <v>828</v>
      </c>
      <c r="B127">
        <v>2014</v>
      </c>
      <c r="C127">
        <v>3</v>
      </c>
      <c r="D127" t="s">
        <v>51</v>
      </c>
      <c r="E127">
        <v>52</v>
      </c>
      <c r="F127">
        <v>1.0031331919012241</v>
      </c>
      <c r="G127">
        <v>7.3096727136273999E-3</v>
      </c>
      <c r="H127">
        <v>0.1216601814740246</v>
      </c>
      <c r="I127">
        <v>2.77187126441375E-2</v>
      </c>
      <c r="J127">
        <v>496.14550818480222</v>
      </c>
    </row>
    <row r="128" spans="1:10" x14ac:dyDescent="0.35">
      <c r="A128" t="s">
        <v>828</v>
      </c>
      <c r="B128">
        <v>2014</v>
      </c>
      <c r="C128">
        <v>3</v>
      </c>
      <c r="D128" t="s">
        <v>51</v>
      </c>
      <c r="E128">
        <v>53</v>
      </c>
      <c r="F128">
        <v>0.99823949897487396</v>
      </c>
      <c r="G128">
        <v>7.2930211069245996E-3</v>
      </c>
      <c r="H128">
        <v>0.120028391221566</v>
      </c>
      <c r="I128">
        <v>2.69324429739069E-2</v>
      </c>
      <c r="J128">
        <v>494.31458985586409</v>
      </c>
    </row>
    <row r="129" spans="1:10" x14ac:dyDescent="0.35">
      <c r="A129" t="s">
        <v>828</v>
      </c>
      <c r="B129">
        <v>2014</v>
      </c>
      <c r="C129">
        <v>3</v>
      </c>
      <c r="D129" t="s">
        <v>51</v>
      </c>
      <c r="E129">
        <v>54</v>
      </c>
      <c r="F129">
        <v>0.99352705393468521</v>
      </c>
      <c r="G129">
        <v>7.2769862263960001E-3</v>
      </c>
      <c r="H129">
        <v>0.1184570376451245</v>
      </c>
      <c r="I129">
        <v>2.6175294402573501E-2</v>
      </c>
      <c r="J129">
        <v>492.55148331688667</v>
      </c>
    </row>
    <row r="130" spans="1:10" x14ac:dyDescent="0.35">
      <c r="A130" t="s">
        <v>828</v>
      </c>
      <c r="B130">
        <v>2014</v>
      </c>
      <c r="C130">
        <v>3</v>
      </c>
      <c r="D130" t="s">
        <v>51</v>
      </c>
      <c r="E130">
        <v>55</v>
      </c>
      <c r="F130">
        <v>0.9889859705323214</v>
      </c>
      <c r="G130">
        <v>7.2615344324320997E-3</v>
      </c>
      <c r="H130">
        <v>0.11694282419873531</v>
      </c>
      <c r="I130">
        <v>2.5445678506561601E-2</v>
      </c>
      <c r="J130">
        <v>490.85248974296297</v>
      </c>
    </row>
    <row r="131" spans="1:10" x14ac:dyDescent="0.35">
      <c r="A131" t="s">
        <v>828</v>
      </c>
      <c r="B131">
        <v>2014</v>
      </c>
      <c r="C131">
        <v>3</v>
      </c>
      <c r="D131" t="s">
        <v>51</v>
      </c>
      <c r="E131">
        <v>56</v>
      </c>
      <c r="F131">
        <v>0.98750607475063279</v>
      </c>
      <c r="G131">
        <v>7.2484702423546996E-3</v>
      </c>
      <c r="H131">
        <v>0.1154777033686737</v>
      </c>
      <c r="I131">
        <v>2.4974802489849599E-2</v>
      </c>
      <c r="J131">
        <v>490.00509824177738</v>
      </c>
    </row>
    <row r="132" spans="1:10" x14ac:dyDescent="0.35">
      <c r="A132" t="s">
        <v>828</v>
      </c>
      <c r="B132">
        <v>2014</v>
      </c>
      <c r="C132">
        <v>3</v>
      </c>
      <c r="D132" t="s">
        <v>51</v>
      </c>
      <c r="E132">
        <v>57</v>
      </c>
      <c r="F132">
        <v>0.98607810513672245</v>
      </c>
      <c r="G132">
        <v>7.2358644449117002E-3</v>
      </c>
      <c r="H132">
        <v>0.1140639902870353</v>
      </c>
      <c r="I132">
        <v>2.4520448438636201E-2</v>
      </c>
      <c r="J132">
        <v>489.1874397757212</v>
      </c>
    </row>
    <row r="133" spans="1:10" x14ac:dyDescent="0.35">
      <c r="A133" t="s">
        <v>828</v>
      </c>
      <c r="B133">
        <v>2014</v>
      </c>
      <c r="C133">
        <v>3</v>
      </c>
      <c r="D133" t="s">
        <v>51</v>
      </c>
      <c r="E133">
        <v>58</v>
      </c>
      <c r="F133">
        <v>0.98469937585432643</v>
      </c>
      <c r="G133">
        <v>7.2236933301390001E-3</v>
      </c>
      <c r="H133">
        <v>0.11269902593235</v>
      </c>
      <c r="I133">
        <v>2.4081761768499101E-2</v>
      </c>
      <c r="J133">
        <v>488.39797642918398</v>
      </c>
    </row>
    <row r="134" spans="1:10" x14ac:dyDescent="0.35">
      <c r="A134" t="s">
        <v>828</v>
      </c>
      <c r="B134">
        <v>2014</v>
      </c>
      <c r="C134">
        <v>3</v>
      </c>
      <c r="D134" t="s">
        <v>51</v>
      </c>
      <c r="E134">
        <v>59</v>
      </c>
      <c r="F134">
        <v>0.98336738315777439</v>
      </c>
      <c r="G134">
        <v>7.2119347955282003E-3</v>
      </c>
      <c r="H134">
        <v>0.11138033155578959</v>
      </c>
      <c r="I134">
        <v>2.3657945832942898E-2</v>
      </c>
      <c r="J134">
        <v>487.63527455202109</v>
      </c>
    </row>
    <row r="135" spans="1:10" x14ac:dyDescent="0.35">
      <c r="A135" t="s">
        <v>828</v>
      </c>
      <c r="B135">
        <v>2014</v>
      </c>
      <c r="C135">
        <v>3</v>
      </c>
      <c r="D135" t="s">
        <v>51</v>
      </c>
      <c r="E135">
        <v>60</v>
      </c>
      <c r="F135">
        <v>0.98207979021777403</v>
      </c>
      <c r="G135">
        <v>7.2005682120711003E-3</v>
      </c>
      <c r="H135">
        <v>0.1101055936584478</v>
      </c>
      <c r="I135">
        <v>2.32482570952387E-2</v>
      </c>
      <c r="J135">
        <v>486.89799607076361</v>
      </c>
    </row>
    <row r="136" spans="1:10" x14ac:dyDescent="0.35">
      <c r="A136" t="s">
        <v>828</v>
      </c>
      <c r="B136">
        <v>2014</v>
      </c>
      <c r="C136">
        <v>3</v>
      </c>
      <c r="D136" t="s">
        <v>51</v>
      </c>
      <c r="E136">
        <v>61</v>
      </c>
      <c r="F136">
        <v>0.99213473479356562</v>
      </c>
      <c r="G136">
        <v>7.2147408551267002E-3</v>
      </c>
      <c r="H136">
        <v>0.1091995329060689</v>
      </c>
      <c r="I136">
        <v>2.3314665139098901E-2</v>
      </c>
      <c r="J136">
        <v>489.07411048911842</v>
      </c>
    </row>
    <row r="137" spans="1:10" x14ac:dyDescent="0.35">
      <c r="A137" t="s">
        <v>828</v>
      </c>
      <c r="B137">
        <v>2014</v>
      </c>
      <c r="C137">
        <v>3</v>
      </c>
      <c r="D137" t="s">
        <v>51</v>
      </c>
      <c r="E137">
        <v>62</v>
      </c>
      <c r="F137">
        <v>1.0018653263185251</v>
      </c>
      <c r="G137">
        <v>7.2284563161482997E-3</v>
      </c>
      <c r="H137">
        <v>0.1083226999198957</v>
      </c>
      <c r="I137">
        <v>2.33789309879959E-2</v>
      </c>
      <c r="J137">
        <v>491.18002766817148</v>
      </c>
    </row>
    <row r="138" spans="1:10" x14ac:dyDescent="0.35">
      <c r="A138" t="s">
        <v>828</v>
      </c>
      <c r="B138">
        <v>2014</v>
      </c>
      <c r="C138">
        <v>3</v>
      </c>
      <c r="D138" t="s">
        <v>51</v>
      </c>
      <c r="E138">
        <v>63</v>
      </c>
      <c r="F138">
        <v>1.0112870101760261</v>
      </c>
      <c r="G138">
        <v>7.2417363657088004E-3</v>
      </c>
      <c r="H138">
        <v>0.1074737029015376</v>
      </c>
      <c r="I138">
        <v>2.3441156651213602E-2</v>
      </c>
      <c r="J138">
        <v>493.21909033360379</v>
      </c>
    </row>
    <row r="139" spans="1:10" x14ac:dyDescent="0.35">
      <c r="A139" t="s">
        <v>828</v>
      </c>
      <c r="B139">
        <v>2014</v>
      </c>
      <c r="C139">
        <v>3</v>
      </c>
      <c r="D139" t="s">
        <v>51</v>
      </c>
      <c r="E139">
        <v>64</v>
      </c>
      <c r="F139">
        <v>1.0204142664129801</v>
      </c>
      <c r="G139">
        <v>7.2546014137207003E-3</v>
      </c>
      <c r="H139">
        <v>0.10665123704000321</v>
      </c>
      <c r="I139">
        <v>2.35014377624558E-2</v>
      </c>
      <c r="J139">
        <v>495.19443229074142</v>
      </c>
    </row>
    <row r="140" spans="1:10" x14ac:dyDescent="0.35">
      <c r="A140" t="s">
        <v>828</v>
      </c>
      <c r="B140">
        <v>2014</v>
      </c>
      <c r="C140">
        <v>3</v>
      </c>
      <c r="D140" t="s">
        <v>51</v>
      </c>
      <c r="E140">
        <v>65</v>
      </c>
      <c r="F140">
        <v>1.0292606839964891</v>
      </c>
      <c r="G140">
        <v>7.2670706141012998E-3</v>
      </c>
      <c r="H140">
        <v>0.1058540778203621</v>
      </c>
      <c r="I140">
        <v>2.3559864070275102E-2</v>
      </c>
      <c r="J140">
        <v>497.10899449535162</v>
      </c>
    </row>
    <row r="141" spans="1:10" x14ac:dyDescent="0.35">
      <c r="A141" t="s">
        <v>828</v>
      </c>
      <c r="B141">
        <v>2014</v>
      </c>
      <c r="C141">
        <v>3</v>
      </c>
      <c r="D141" t="s">
        <v>51</v>
      </c>
      <c r="E141">
        <v>66</v>
      </c>
      <c r="F141">
        <v>1.041454618817274</v>
      </c>
      <c r="G141">
        <v>7.3207827273641998E-3</v>
      </c>
      <c r="H141">
        <v>0.1056740114042746</v>
      </c>
      <c r="I141">
        <v>2.36690299448933E-2</v>
      </c>
      <c r="J141">
        <v>501.02753907070371</v>
      </c>
    </row>
    <row r="142" spans="1:10" x14ac:dyDescent="0.35">
      <c r="A142" t="s">
        <v>828</v>
      </c>
      <c r="B142">
        <v>2014</v>
      </c>
      <c r="C142">
        <v>3</v>
      </c>
      <c r="D142" t="s">
        <v>51</v>
      </c>
      <c r="E142">
        <v>67</v>
      </c>
      <c r="F142">
        <v>1.053284555583706</v>
      </c>
      <c r="G142">
        <v>7.3728914939624E-3</v>
      </c>
      <c r="H142">
        <v>0.1054993201050851</v>
      </c>
      <c r="I142">
        <v>2.3774937136687099E-2</v>
      </c>
      <c r="J142">
        <v>504.82911216619448</v>
      </c>
    </row>
    <row r="143" spans="1:10" x14ac:dyDescent="0.35">
      <c r="A143" t="s">
        <v>828</v>
      </c>
      <c r="B143">
        <v>2014</v>
      </c>
      <c r="C143">
        <v>3</v>
      </c>
      <c r="D143" t="s">
        <v>51</v>
      </c>
      <c r="E143">
        <v>68</v>
      </c>
      <c r="F143">
        <v>1.0647665530334789</v>
      </c>
      <c r="G143">
        <v>7.4234676497783999E-3</v>
      </c>
      <c r="H143">
        <v>0.10532976678528359</v>
      </c>
      <c r="I143">
        <v>2.3877729411075101E-2</v>
      </c>
      <c r="J143">
        <v>508.51887428828849</v>
      </c>
    </row>
    <row r="144" spans="1:10" x14ac:dyDescent="0.35">
      <c r="A144" t="s">
        <v>828</v>
      </c>
      <c r="B144">
        <v>2014</v>
      </c>
      <c r="C144">
        <v>3</v>
      </c>
      <c r="D144" t="s">
        <v>51</v>
      </c>
      <c r="E144">
        <v>69</v>
      </c>
      <c r="F144">
        <v>1.075915738962969</v>
      </c>
      <c r="G144">
        <v>7.4725778300634999E-3</v>
      </c>
      <c r="H144">
        <v>0.10516512805446181</v>
      </c>
      <c r="I144">
        <v>2.3977542199249101E-2</v>
      </c>
      <c r="J144">
        <v>512.10168678365517</v>
      </c>
    </row>
    <row r="145" spans="1:10" x14ac:dyDescent="0.35">
      <c r="A145" t="s">
        <v>828</v>
      </c>
      <c r="B145">
        <v>2014</v>
      </c>
      <c r="C145">
        <v>3</v>
      </c>
      <c r="D145" t="s">
        <v>51</v>
      </c>
      <c r="E145">
        <v>70</v>
      </c>
      <c r="F145">
        <v>1.086746376723045</v>
      </c>
      <c r="G145">
        <v>7.5202848623404E-3</v>
      </c>
      <c r="H145">
        <v>0.1050051932873779</v>
      </c>
      <c r="I145">
        <v>2.4074503193475101E-2</v>
      </c>
      <c r="J145">
        <v>515.58213320772563</v>
      </c>
    </row>
    <row r="146" spans="1:10" x14ac:dyDescent="0.35">
      <c r="A146" t="s">
        <v>828</v>
      </c>
      <c r="B146">
        <v>2014</v>
      </c>
      <c r="C146">
        <v>3</v>
      </c>
      <c r="D146" t="s">
        <v>51</v>
      </c>
      <c r="E146">
        <v>71</v>
      </c>
      <c r="F146">
        <v>1.1012984602211391</v>
      </c>
      <c r="G146">
        <v>7.6067139538494996E-3</v>
      </c>
      <c r="H146">
        <v>0.10551271247119751</v>
      </c>
      <c r="I146">
        <v>2.43332543288966E-2</v>
      </c>
      <c r="J146">
        <v>521.32747832423308</v>
      </c>
    </row>
    <row r="147" spans="1:10" x14ac:dyDescent="0.35">
      <c r="A147" t="s">
        <v>828</v>
      </c>
      <c r="B147">
        <v>2014</v>
      </c>
      <c r="C147">
        <v>3</v>
      </c>
      <c r="D147" t="s">
        <v>51</v>
      </c>
      <c r="E147">
        <v>72</v>
      </c>
      <c r="F147">
        <v>1.1154463191776189</v>
      </c>
      <c r="G147">
        <v>7.6907422372611001E-3</v>
      </c>
      <c r="H147">
        <v>0.10600613389991111</v>
      </c>
      <c r="I147">
        <v>2.45848179327787E-2</v>
      </c>
      <c r="J147">
        <v>526.91323052083749</v>
      </c>
    </row>
    <row r="148" spans="1:10" x14ac:dyDescent="0.35">
      <c r="A148" t="s">
        <v>828</v>
      </c>
      <c r="B148">
        <v>2014</v>
      </c>
      <c r="C148">
        <v>3</v>
      </c>
      <c r="D148" t="s">
        <v>51</v>
      </c>
      <c r="E148">
        <v>73</v>
      </c>
      <c r="F148">
        <v>1.129206565559949</v>
      </c>
      <c r="G148">
        <v>7.7724683759215997E-3</v>
      </c>
      <c r="H148">
        <v>0.1064860369333174</v>
      </c>
      <c r="I148">
        <v>2.4829489383129701E-2</v>
      </c>
      <c r="J148">
        <v>532.34594841068565</v>
      </c>
    </row>
    <row r="149" spans="1:10" x14ac:dyDescent="0.35">
      <c r="A149" t="s">
        <v>828</v>
      </c>
      <c r="B149">
        <v>2014</v>
      </c>
      <c r="C149">
        <v>3</v>
      </c>
      <c r="D149" t="s">
        <v>51</v>
      </c>
      <c r="E149">
        <v>74</v>
      </c>
      <c r="F149">
        <v>1.1425949133914051</v>
      </c>
      <c r="G149">
        <v>7.8519857000237999E-3</v>
      </c>
      <c r="H149">
        <v>0.1069529696144695</v>
      </c>
      <c r="I149">
        <v>2.5067548091579399E-2</v>
      </c>
      <c r="J149">
        <v>537.63183608729457</v>
      </c>
    </row>
    <row r="150" spans="1:10" x14ac:dyDescent="0.35">
      <c r="A150" t="s">
        <v>828</v>
      </c>
      <c r="B150">
        <v>2014</v>
      </c>
      <c r="C150">
        <v>3</v>
      </c>
      <c r="D150" t="s">
        <v>51</v>
      </c>
      <c r="E150">
        <v>75</v>
      </c>
      <c r="F150">
        <v>1.155626238614023</v>
      </c>
      <c r="G150">
        <v>7.9293825621500006E-3</v>
      </c>
      <c r="H150">
        <v>0.1074074507574576</v>
      </c>
      <c r="I150">
        <v>2.5299258567803701E-2</v>
      </c>
      <c r="J150">
        <v>542.77676675919406</v>
      </c>
    </row>
    <row r="151" spans="1:10" x14ac:dyDescent="0.35">
      <c r="A151" t="s">
        <v>828</v>
      </c>
      <c r="B151">
        <v>2014</v>
      </c>
      <c r="C151">
        <v>4</v>
      </c>
      <c r="D151" t="s">
        <v>52</v>
      </c>
      <c r="E151">
        <v>2.5</v>
      </c>
      <c r="F151">
        <v>4.0829178330146174</v>
      </c>
      <c r="G151">
        <v>4.4051718791463801E-2</v>
      </c>
      <c r="H151">
        <v>1.1445643861341519</v>
      </c>
      <c r="I151">
        <v>0.19237468458613149</v>
      </c>
      <c r="J151">
        <v>2754.4512911367779</v>
      </c>
    </row>
    <row r="152" spans="1:10" x14ac:dyDescent="0.35">
      <c r="A152" t="s">
        <v>828</v>
      </c>
      <c r="B152">
        <v>2014</v>
      </c>
      <c r="C152">
        <v>4</v>
      </c>
      <c r="D152" t="s">
        <v>52</v>
      </c>
      <c r="E152">
        <v>3</v>
      </c>
      <c r="F152">
        <v>3.506018866178358</v>
      </c>
      <c r="G152">
        <v>3.7539914246038399E-2</v>
      </c>
      <c r="H152">
        <v>0.97427165757065604</v>
      </c>
      <c r="I152">
        <v>0.16682398373315341</v>
      </c>
      <c r="J152">
        <v>2346.2223659669698</v>
      </c>
    </row>
    <row r="153" spans="1:10" x14ac:dyDescent="0.35">
      <c r="A153" t="s">
        <v>828</v>
      </c>
      <c r="B153">
        <v>2014</v>
      </c>
      <c r="C153">
        <v>4</v>
      </c>
      <c r="D153" t="s">
        <v>52</v>
      </c>
      <c r="E153">
        <v>4</v>
      </c>
      <c r="F153">
        <v>2.7848951576330339</v>
      </c>
      <c r="G153">
        <v>2.94001585642568E-2</v>
      </c>
      <c r="H153">
        <v>0.76140574686628615</v>
      </c>
      <c r="I153">
        <v>0.134885607666931</v>
      </c>
      <c r="J153">
        <v>1835.9362095047111</v>
      </c>
    </row>
    <row r="154" spans="1:10" x14ac:dyDescent="0.35">
      <c r="A154" t="s">
        <v>828</v>
      </c>
      <c r="B154">
        <v>2014</v>
      </c>
      <c r="C154">
        <v>4</v>
      </c>
      <c r="D154" t="s">
        <v>52</v>
      </c>
      <c r="E154">
        <v>5</v>
      </c>
      <c r="F154">
        <v>2.3522209325058401</v>
      </c>
      <c r="G154">
        <v>2.4516305155187799E-2</v>
      </c>
      <c r="H154">
        <v>0.63368620044366419</v>
      </c>
      <c r="I154">
        <v>0.1157225820271974</v>
      </c>
      <c r="J154">
        <v>1529.764515627355</v>
      </c>
    </row>
    <row r="155" spans="1:10" x14ac:dyDescent="0.35">
      <c r="A155" t="s">
        <v>828</v>
      </c>
      <c r="B155">
        <v>2014</v>
      </c>
      <c r="C155">
        <v>4</v>
      </c>
      <c r="D155" t="s">
        <v>52</v>
      </c>
      <c r="E155">
        <v>6</v>
      </c>
      <c r="F155">
        <v>2.0797992042476769</v>
      </c>
      <c r="G155">
        <v>2.1291694281667502E-2</v>
      </c>
      <c r="H155">
        <v>0.54551671658829293</v>
      </c>
      <c r="I155">
        <v>0.10110573884767141</v>
      </c>
      <c r="J155">
        <v>1329.9424048107389</v>
      </c>
    </row>
    <row r="156" spans="1:10" x14ac:dyDescent="0.35">
      <c r="A156" t="s">
        <v>828</v>
      </c>
      <c r="B156">
        <v>2014</v>
      </c>
      <c r="C156">
        <v>4</v>
      </c>
      <c r="D156" t="s">
        <v>52</v>
      </c>
      <c r="E156">
        <v>7</v>
      </c>
      <c r="F156">
        <v>1.885212255491846</v>
      </c>
      <c r="G156">
        <v>1.89884008005816E-2</v>
      </c>
      <c r="H156">
        <v>0.48253851383445628</v>
      </c>
      <c r="I156">
        <v>9.0665136576581401E-2</v>
      </c>
      <c r="J156">
        <v>1187.2123256560139</v>
      </c>
    </row>
    <row r="157" spans="1:10" x14ac:dyDescent="0.35">
      <c r="A157" t="s">
        <v>828</v>
      </c>
      <c r="B157">
        <v>2014</v>
      </c>
      <c r="C157">
        <v>4</v>
      </c>
      <c r="D157" t="s">
        <v>52</v>
      </c>
      <c r="E157">
        <v>8</v>
      </c>
      <c r="F157">
        <v>1.7392720439249729</v>
      </c>
      <c r="G157">
        <v>1.7260930689767199E-2</v>
      </c>
      <c r="H157">
        <v>0.43530486176907879</v>
      </c>
      <c r="I157">
        <v>8.28346848732638E-2</v>
      </c>
      <c r="J157">
        <v>1080.16476628997</v>
      </c>
    </row>
    <row r="158" spans="1:10" x14ac:dyDescent="0.35">
      <c r="A158" t="s">
        <v>828</v>
      </c>
      <c r="B158">
        <v>2014</v>
      </c>
      <c r="C158">
        <v>4</v>
      </c>
      <c r="D158" t="s">
        <v>52</v>
      </c>
      <c r="E158">
        <v>9</v>
      </c>
      <c r="F158">
        <v>1.625762990484072</v>
      </c>
      <c r="G158">
        <v>1.5917342825800498E-2</v>
      </c>
      <c r="H158">
        <v>0.3985675768293408</v>
      </c>
      <c r="I158">
        <v>7.6744333548461302E-2</v>
      </c>
      <c r="J158">
        <v>996.90555344971358</v>
      </c>
    </row>
    <row r="159" spans="1:10" x14ac:dyDescent="0.35">
      <c r="A159" t="s">
        <v>828</v>
      </c>
      <c r="B159">
        <v>2014</v>
      </c>
      <c r="C159">
        <v>4</v>
      </c>
      <c r="D159" t="s">
        <v>52</v>
      </c>
      <c r="E159">
        <v>10</v>
      </c>
      <c r="F159">
        <v>1.5349557477313509</v>
      </c>
      <c r="G159">
        <v>1.4842472534627E-2</v>
      </c>
      <c r="H159">
        <v>0.36917774887755039</v>
      </c>
      <c r="I159">
        <v>7.1872052488619304E-2</v>
      </c>
      <c r="J159">
        <v>930.29818317750835</v>
      </c>
    </row>
    <row r="160" spans="1:10" x14ac:dyDescent="0.35">
      <c r="A160" t="s">
        <v>828</v>
      </c>
      <c r="B160">
        <v>2014</v>
      </c>
      <c r="C160">
        <v>4</v>
      </c>
      <c r="D160" t="s">
        <v>52</v>
      </c>
      <c r="E160">
        <v>11</v>
      </c>
      <c r="F160">
        <v>1.463667407223544</v>
      </c>
      <c r="G160">
        <v>1.40105242991956E-2</v>
      </c>
      <c r="H160">
        <v>0.34403974291579559</v>
      </c>
      <c r="I160">
        <v>6.83462661639853E-2</v>
      </c>
      <c r="J160">
        <v>881.17385571317573</v>
      </c>
    </row>
    <row r="161" spans="1:10" x14ac:dyDescent="0.35">
      <c r="A161" t="s">
        <v>828</v>
      </c>
      <c r="B161">
        <v>2014</v>
      </c>
      <c r="C161">
        <v>4</v>
      </c>
      <c r="D161" t="s">
        <v>52</v>
      </c>
      <c r="E161">
        <v>12</v>
      </c>
      <c r="F161">
        <v>1.4042604568003709</v>
      </c>
      <c r="G161">
        <v>1.3317234103002701E-2</v>
      </c>
      <c r="H161">
        <v>0.32309140461433328</v>
      </c>
      <c r="I161">
        <v>6.5408110893456897E-2</v>
      </c>
      <c r="J161">
        <v>840.23691615956523</v>
      </c>
    </row>
    <row r="162" spans="1:10" x14ac:dyDescent="0.35">
      <c r="A162" t="s">
        <v>828</v>
      </c>
      <c r="B162">
        <v>2014</v>
      </c>
      <c r="C162">
        <v>4</v>
      </c>
      <c r="D162" t="s">
        <v>52</v>
      </c>
      <c r="E162">
        <v>13</v>
      </c>
      <c r="F162">
        <v>1.353993037211533</v>
      </c>
      <c r="G162">
        <v>1.2730603936993301E-2</v>
      </c>
      <c r="H162">
        <v>0.30536588759001898</v>
      </c>
      <c r="I162">
        <v>6.2921979510702095E-2</v>
      </c>
      <c r="J162">
        <v>805.59796730651033</v>
      </c>
    </row>
    <row r="163" spans="1:10" x14ac:dyDescent="0.35">
      <c r="A163" t="s">
        <v>828</v>
      </c>
      <c r="B163">
        <v>2014</v>
      </c>
      <c r="C163">
        <v>4</v>
      </c>
      <c r="D163" t="s">
        <v>52</v>
      </c>
      <c r="E163">
        <v>14</v>
      </c>
      <c r="F163">
        <v>1.3109066775639571</v>
      </c>
      <c r="G163">
        <v>1.2227778080413801E-2</v>
      </c>
      <c r="H163">
        <v>0.2901725872834639</v>
      </c>
      <c r="I163">
        <v>6.0791009754055103E-2</v>
      </c>
      <c r="J163">
        <v>775.90743971817733</v>
      </c>
    </row>
    <row r="164" spans="1:10" x14ac:dyDescent="0.35">
      <c r="A164" t="s">
        <v>828</v>
      </c>
      <c r="B164">
        <v>2014</v>
      </c>
      <c r="C164">
        <v>4</v>
      </c>
      <c r="D164" t="s">
        <v>52</v>
      </c>
      <c r="E164">
        <v>15</v>
      </c>
      <c r="F164">
        <v>1.2735651658693909</v>
      </c>
      <c r="G164">
        <v>1.17919956713783E-2</v>
      </c>
      <c r="H164">
        <v>0.27700506035111611</v>
      </c>
      <c r="I164">
        <v>5.8944169298294408E-2</v>
      </c>
      <c r="J164">
        <v>750.17564914162222</v>
      </c>
    </row>
    <row r="165" spans="1:10" x14ac:dyDescent="0.35">
      <c r="A165" t="s">
        <v>828</v>
      </c>
      <c r="B165">
        <v>2014</v>
      </c>
      <c r="C165">
        <v>4</v>
      </c>
      <c r="D165" t="s">
        <v>52</v>
      </c>
      <c r="E165">
        <v>16</v>
      </c>
      <c r="F165">
        <v>1.2266822039340699</v>
      </c>
      <c r="G165">
        <v>1.1306636900157801E-2</v>
      </c>
      <c r="H165">
        <v>0.2615527648949374</v>
      </c>
      <c r="I165">
        <v>5.6479938107716003E-2</v>
      </c>
      <c r="J165">
        <v>721.3130847415091</v>
      </c>
    </row>
    <row r="166" spans="1:10" x14ac:dyDescent="0.35">
      <c r="A166" t="s">
        <v>828</v>
      </c>
      <c r="B166">
        <v>2014</v>
      </c>
      <c r="C166">
        <v>4</v>
      </c>
      <c r="D166" t="s">
        <v>52</v>
      </c>
      <c r="E166">
        <v>17</v>
      </c>
      <c r="F166">
        <v>1.1853148845793751</v>
      </c>
      <c r="G166">
        <v>1.08783791608456E-2</v>
      </c>
      <c r="H166">
        <v>0.2479183865512502</v>
      </c>
      <c r="I166">
        <v>5.4305616468970287E-2</v>
      </c>
      <c r="J166">
        <v>695.84611615317408</v>
      </c>
    </row>
    <row r="167" spans="1:10" x14ac:dyDescent="0.35">
      <c r="A167" t="s">
        <v>828</v>
      </c>
      <c r="B167">
        <v>2014</v>
      </c>
      <c r="C167">
        <v>4</v>
      </c>
      <c r="D167" t="s">
        <v>52</v>
      </c>
      <c r="E167">
        <v>18</v>
      </c>
      <c r="F167">
        <v>1.1485439340418679</v>
      </c>
      <c r="G167">
        <v>1.04977056147903E-2</v>
      </c>
      <c r="H167">
        <v>0.2357989391346394</v>
      </c>
      <c r="I167">
        <v>5.2372886123418512E-2</v>
      </c>
      <c r="J167">
        <v>673.20881074132069</v>
      </c>
    </row>
    <row r="168" spans="1:10" x14ac:dyDescent="0.35">
      <c r="A168" t="s">
        <v>828</v>
      </c>
      <c r="B168">
        <v>2014</v>
      </c>
      <c r="C168">
        <v>4</v>
      </c>
      <c r="D168" t="s">
        <v>52</v>
      </c>
      <c r="E168">
        <v>19</v>
      </c>
      <c r="F168">
        <v>1.1156436098767311</v>
      </c>
      <c r="G168">
        <v>1.01571029683197E-2</v>
      </c>
      <c r="H168">
        <v>0.22495522302504031</v>
      </c>
      <c r="I168">
        <v>5.0643601077398702E-2</v>
      </c>
      <c r="J168">
        <v>652.95437958334662</v>
      </c>
    </row>
    <row r="169" spans="1:10" x14ac:dyDescent="0.35">
      <c r="A169" t="s">
        <v>828</v>
      </c>
      <c r="B169">
        <v>2014</v>
      </c>
      <c r="C169">
        <v>4</v>
      </c>
      <c r="D169" t="s">
        <v>52</v>
      </c>
      <c r="E169">
        <v>20</v>
      </c>
      <c r="F169">
        <v>1.086033318128107</v>
      </c>
      <c r="G169">
        <v>9.8505605864963007E-3</v>
      </c>
      <c r="H169">
        <v>0.2151958785264011</v>
      </c>
      <c r="I169">
        <v>4.9087244535980602E-2</v>
      </c>
      <c r="J169">
        <v>634.72539154116998</v>
      </c>
    </row>
    <row r="170" spans="1:10" x14ac:dyDescent="0.35">
      <c r="A170" t="s">
        <v>828</v>
      </c>
      <c r="B170">
        <v>2014</v>
      </c>
      <c r="C170">
        <v>4</v>
      </c>
      <c r="D170" t="s">
        <v>52</v>
      </c>
      <c r="E170">
        <v>21</v>
      </c>
      <c r="F170">
        <v>1.0646790236987009</v>
      </c>
      <c r="G170">
        <v>9.5981871838988E-3</v>
      </c>
      <c r="H170">
        <v>0.2072251164143129</v>
      </c>
      <c r="I170">
        <v>4.77588885803139E-2</v>
      </c>
      <c r="J170">
        <v>618.90851991221177</v>
      </c>
    </row>
    <row r="171" spans="1:10" x14ac:dyDescent="0.35">
      <c r="A171" t="s">
        <v>828</v>
      </c>
      <c r="B171">
        <v>2014</v>
      </c>
      <c r="C171">
        <v>4</v>
      </c>
      <c r="D171" t="s">
        <v>52</v>
      </c>
      <c r="E171">
        <v>22</v>
      </c>
      <c r="F171">
        <v>1.0452660287628781</v>
      </c>
      <c r="G171">
        <v>9.3687568179012005E-3</v>
      </c>
      <c r="H171">
        <v>0.1999789690396874</v>
      </c>
      <c r="I171">
        <v>4.65512922569805E-2</v>
      </c>
      <c r="J171">
        <v>604.52954570406803</v>
      </c>
    </row>
    <row r="172" spans="1:10" x14ac:dyDescent="0.35">
      <c r="A172" t="s">
        <v>828</v>
      </c>
      <c r="B172">
        <v>2014</v>
      </c>
      <c r="C172">
        <v>4</v>
      </c>
      <c r="D172" t="s">
        <v>52</v>
      </c>
      <c r="E172">
        <v>23</v>
      </c>
      <c r="F172">
        <v>1.0275411203432141</v>
      </c>
      <c r="G172">
        <v>9.159276918512E-3</v>
      </c>
      <c r="H172">
        <v>0.19336292143676831</v>
      </c>
      <c r="I172">
        <v>4.5448704309589201E-2</v>
      </c>
      <c r="J172">
        <v>591.40091707924114</v>
      </c>
    </row>
    <row r="173" spans="1:10" x14ac:dyDescent="0.35">
      <c r="A173" t="s">
        <v>828</v>
      </c>
      <c r="B173">
        <v>2014</v>
      </c>
      <c r="C173">
        <v>4</v>
      </c>
      <c r="D173" t="s">
        <v>52</v>
      </c>
      <c r="E173">
        <v>24</v>
      </c>
      <c r="F173">
        <v>1.0112932876251881</v>
      </c>
      <c r="G173">
        <v>8.9672536774051993E-3</v>
      </c>
      <c r="H173">
        <v>0.18729821113409259</v>
      </c>
      <c r="I173">
        <v>4.4437998691147201E-2</v>
      </c>
      <c r="J173">
        <v>579.36634083981642</v>
      </c>
    </row>
    <row r="174" spans="1:10" x14ac:dyDescent="0.35">
      <c r="A174" t="s">
        <v>828</v>
      </c>
      <c r="B174">
        <v>2014</v>
      </c>
      <c r="C174">
        <v>4</v>
      </c>
      <c r="D174" t="s">
        <v>52</v>
      </c>
      <c r="E174">
        <v>25</v>
      </c>
      <c r="F174">
        <v>0.99634528152460444</v>
      </c>
      <c r="G174">
        <v>8.7905922955869992E-3</v>
      </c>
      <c r="H174">
        <v>0.18171867765563091</v>
      </c>
      <c r="I174">
        <v>4.3508149522180413E-2</v>
      </c>
      <c r="J174">
        <v>568.2945306995457</v>
      </c>
    </row>
    <row r="175" spans="1:10" x14ac:dyDescent="0.35">
      <c r="A175" t="s">
        <v>828</v>
      </c>
      <c r="B175">
        <v>2014</v>
      </c>
      <c r="C175">
        <v>4</v>
      </c>
      <c r="D175" t="s">
        <v>52</v>
      </c>
      <c r="E175">
        <v>26</v>
      </c>
      <c r="F175">
        <v>0.98758297110059423</v>
      </c>
      <c r="G175">
        <v>8.6393311759741E-3</v>
      </c>
      <c r="H175">
        <v>0.1767916233278673</v>
      </c>
      <c r="I175">
        <v>4.2662515782937303E-2</v>
      </c>
      <c r="J175">
        <v>559.61383651468827</v>
      </c>
    </row>
    <row r="176" spans="1:10" x14ac:dyDescent="0.35">
      <c r="A176" t="s">
        <v>828</v>
      </c>
      <c r="B176">
        <v>2014</v>
      </c>
      <c r="C176">
        <v>4</v>
      </c>
      <c r="D176" t="s">
        <v>52</v>
      </c>
      <c r="E176">
        <v>27</v>
      </c>
      <c r="F176">
        <v>0.97946972070799221</v>
      </c>
      <c r="G176">
        <v>8.4992745837398995E-3</v>
      </c>
      <c r="H176">
        <v>0.17222953598734539</v>
      </c>
      <c r="I176">
        <v>4.1879521579934513E-2</v>
      </c>
      <c r="J176">
        <v>551.57615671389419</v>
      </c>
    </row>
    <row r="177" spans="1:10" x14ac:dyDescent="0.35">
      <c r="A177" t="s">
        <v>828</v>
      </c>
      <c r="B177">
        <v>2014</v>
      </c>
      <c r="C177">
        <v>4</v>
      </c>
      <c r="D177" t="s">
        <v>52</v>
      </c>
      <c r="E177">
        <v>28</v>
      </c>
      <c r="F177">
        <v>0.97193598820057603</v>
      </c>
      <c r="G177">
        <v>8.3692220338080995E-3</v>
      </c>
      <c r="H177">
        <v>0.16799331202828929</v>
      </c>
      <c r="I177">
        <v>4.1152455534288902E-2</v>
      </c>
      <c r="J177">
        <v>544.11259689887129</v>
      </c>
    </row>
    <row r="178" spans="1:10" x14ac:dyDescent="0.35">
      <c r="A178" t="s">
        <v>828</v>
      </c>
      <c r="B178">
        <v>2014</v>
      </c>
      <c r="C178">
        <v>4</v>
      </c>
      <c r="D178" t="s">
        <v>52</v>
      </c>
      <c r="E178">
        <v>29</v>
      </c>
      <c r="F178">
        <v>0.96492182345229205</v>
      </c>
      <c r="G178">
        <v>8.2481386252510006E-3</v>
      </c>
      <c r="H178">
        <v>0.16404924144572</v>
      </c>
      <c r="I178">
        <v>4.0475531974549901E-2</v>
      </c>
      <c r="J178">
        <v>537.16376534695337</v>
      </c>
    </row>
    <row r="179" spans="1:10" x14ac:dyDescent="0.35">
      <c r="A179" t="s">
        <v>828</v>
      </c>
      <c r="B179">
        <v>2014</v>
      </c>
      <c r="C179">
        <v>4</v>
      </c>
      <c r="D179" t="s">
        <v>52</v>
      </c>
      <c r="E179">
        <v>30</v>
      </c>
      <c r="F179">
        <v>0.95837526968722697</v>
      </c>
      <c r="G179">
        <v>8.1351274439310003E-3</v>
      </c>
      <c r="H179">
        <v>0.16036810890198849</v>
      </c>
      <c r="I179">
        <v>3.9843736652126899E-2</v>
      </c>
      <c r="J179">
        <v>530.67818923182995</v>
      </c>
    </row>
    <row r="180" spans="1:10" x14ac:dyDescent="0.35">
      <c r="A180" t="s">
        <v>828</v>
      </c>
      <c r="B180">
        <v>2014</v>
      </c>
      <c r="C180">
        <v>4</v>
      </c>
      <c r="D180" t="s">
        <v>52</v>
      </c>
      <c r="E180">
        <v>31</v>
      </c>
      <c r="F180">
        <v>0.94040747917880119</v>
      </c>
      <c r="G180">
        <v>8.0544781479303992E-3</v>
      </c>
      <c r="H180">
        <v>0.15628316620929039</v>
      </c>
      <c r="I180">
        <v>3.8039700790163201E-2</v>
      </c>
      <c r="J180">
        <v>522.74514163770721</v>
      </c>
    </row>
    <row r="181" spans="1:10" x14ac:dyDescent="0.35">
      <c r="A181" t="s">
        <v>828</v>
      </c>
      <c r="B181">
        <v>2014</v>
      </c>
      <c r="C181">
        <v>4</v>
      </c>
      <c r="D181" t="s">
        <v>52</v>
      </c>
      <c r="E181">
        <v>32</v>
      </c>
      <c r="F181">
        <v>0.92356267557715221</v>
      </c>
      <c r="G181">
        <v>7.9788694329298998E-3</v>
      </c>
      <c r="H181">
        <v>0.15245353243488591</v>
      </c>
      <c r="I181">
        <v>3.6348417169572197E-2</v>
      </c>
      <c r="J181">
        <v>515.30790951821712</v>
      </c>
    </row>
    <row r="182" spans="1:10" x14ac:dyDescent="0.35">
      <c r="A182" t="s">
        <v>828</v>
      </c>
      <c r="B182">
        <v>2014</v>
      </c>
      <c r="C182">
        <v>4</v>
      </c>
      <c r="D182" t="s">
        <v>52</v>
      </c>
      <c r="E182">
        <v>33</v>
      </c>
      <c r="F182">
        <v>0.90773876916348184</v>
      </c>
      <c r="G182">
        <v>7.9078430642929992E-3</v>
      </c>
      <c r="H182">
        <v>0.148855997677112</v>
      </c>
      <c r="I182">
        <v>3.4759635586592799E-2</v>
      </c>
      <c r="J182">
        <v>508.3214187393022</v>
      </c>
    </row>
    <row r="183" spans="1:10" x14ac:dyDescent="0.35">
      <c r="A183" t="s">
        <v>828</v>
      </c>
      <c r="B183">
        <v>2014</v>
      </c>
      <c r="C183">
        <v>4</v>
      </c>
      <c r="D183" t="s">
        <v>52</v>
      </c>
      <c r="E183">
        <v>34</v>
      </c>
      <c r="F183">
        <v>0.89284568077414506</v>
      </c>
      <c r="G183">
        <v>7.8409947173406994E-3</v>
      </c>
      <c r="H183">
        <v>0.1454700826109718</v>
      </c>
      <c r="I183">
        <v>3.3264311743788702E-2</v>
      </c>
      <c r="J183">
        <v>501.74589800620578</v>
      </c>
    </row>
    <row r="184" spans="1:10" x14ac:dyDescent="0.35">
      <c r="A184" t="s">
        <v>828</v>
      </c>
      <c r="B184">
        <v>2014</v>
      </c>
      <c r="C184">
        <v>4</v>
      </c>
      <c r="D184" t="s">
        <v>52</v>
      </c>
      <c r="E184">
        <v>35</v>
      </c>
      <c r="F184">
        <v>0.87880362600705608</v>
      </c>
      <c r="G184">
        <v>7.7779662759285004E-3</v>
      </c>
      <c r="H184">
        <v>0.14227764840575391</v>
      </c>
      <c r="I184">
        <v>3.1854434977716201E-2</v>
      </c>
      <c r="J184">
        <v>495.54612131500062</v>
      </c>
    </row>
    <row r="185" spans="1:10" x14ac:dyDescent="0.35">
      <c r="A185" t="s">
        <v>828</v>
      </c>
      <c r="B185">
        <v>2014</v>
      </c>
      <c r="C185">
        <v>4</v>
      </c>
      <c r="D185" t="s">
        <v>52</v>
      </c>
      <c r="E185">
        <v>36</v>
      </c>
      <c r="F185">
        <v>0.8742148227230474</v>
      </c>
      <c r="G185">
        <v>7.7328796718875003E-3</v>
      </c>
      <c r="H185">
        <v>0.1392263734419496</v>
      </c>
      <c r="I185">
        <v>3.1177362728169601E-2</v>
      </c>
      <c r="J185">
        <v>492.46622181665629</v>
      </c>
    </row>
    <row r="186" spans="1:10" x14ac:dyDescent="0.35">
      <c r="A186" t="s">
        <v>828</v>
      </c>
      <c r="B186">
        <v>2014</v>
      </c>
      <c r="C186">
        <v>4</v>
      </c>
      <c r="D186" t="s">
        <v>52</v>
      </c>
      <c r="E186">
        <v>37</v>
      </c>
      <c r="F186">
        <v>0.86987406285979596</v>
      </c>
      <c r="G186">
        <v>7.6902301815784E-3</v>
      </c>
      <c r="H186">
        <v>0.13634003225997249</v>
      </c>
      <c r="I186">
        <v>3.0536888978598398E-2</v>
      </c>
      <c r="J186">
        <v>489.55280337227663</v>
      </c>
    </row>
    <row r="187" spans="1:10" x14ac:dyDescent="0.35">
      <c r="A187" t="s">
        <v>828</v>
      </c>
      <c r="B187">
        <v>2014</v>
      </c>
      <c r="C187">
        <v>4</v>
      </c>
      <c r="D187" t="s">
        <v>52</v>
      </c>
      <c r="E187">
        <v>38</v>
      </c>
      <c r="F187">
        <v>0.86576176404197869</v>
      </c>
      <c r="G187">
        <v>7.6498254012856001E-3</v>
      </c>
      <c r="H187">
        <v>0.1336056037717836</v>
      </c>
      <c r="I187">
        <v>2.9930124373741599E-2</v>
      </c>
      <c r="J187">
        <v>486.7927227407589</v>
      </c>
    </row>
    <row r="188" spans="1:10" x14ac:dyDescent="0.35">
      <c r="A188" t="s">
        <v>828</v>
      </c>
      <c r="B188">
        <v>2014</v>
      </c>
      <c r="C188">
        <v>4</v>
      </c>
      <c r="D188" t="s">
        <v>52</v>
      </c>
      <c r="E188">
        <v>39</v>
      </c>
      <c r="F188">
        <v>0.86186035234302394</v>
      </c>
      <c r="G188">
        <v>7.6114926610077998E-3</v>
      </c>
      <c r="H188">
        <v>0.1310114023855532</v>
      </c>
      <c r="I188">
        <v>2.9354475902467099E-2</v>
      </c>
      <c r="J188">
        <v>484.17418470572932</v>
      </c>
    </row>
    <row r="189" spans="1:10" x14ac:dyDescent="0.35">
      <c r="A189" t="s">
        <v>828</v>
      </c>
      <c r="B189">
        <v>2014</v>
      </c>
      <c r="C189">
        <v>4</v>
      </c>
      <c r="D189" t="s">
        <v>52</v>
      </c>
      <c r="E189">
        <v>40</v>
      </c>
      <c r="F189">
        <v>0.85815401122901691</v>
      </c>
      <c r="G189">
        <v>7.5750765577440003E-3</v>
      </c>
      <c r="H189">
        <v>0.12854691106863431</v>
      </c>
      <c r="I189">
        <v>2.8807609854756298E-2</v>
      </c>
      <c r="J189">
        <v>481.68657357245121</v>
      </c>
    </row>
    <row r="190" spans="1:10" x14ac:dyDescent="0.35">
      <c r="A190" t="s">
        <v>828</v>
      </c>
      <c r="B190">
        <v>2014</v>
      </c>
      <c r="C190">
        <v>4</v>
      </c>
      <c r="D190" t="s">
        <v>52</v>
      </c>
      <c r="E190">
        <v>41</v>
      </c>
      <c r="F190">
        <v>0.85463643095567887</v>
      </c>
      <c r="G190">
        <v>7.5405067433258997E-3</v>
      </c>
      <c r="H190">
        <v>0.1262017656002124</v>
      </c>
      <c r="I190">
        <v>2.82836148181555E-2</v>
      </c>
      <c r="J190">
        <v>479.32691492837142</v>
      </c>
    </row>
    <row r="191" spans="1:10" x14ac:dyDescent="0.35">
      <c r="A191" t="s">
        <v>828</v>
      </c>
      <c r="B191">
        <v>2014</v>
      </c>
      <c r="C191">
        <v>4</v>
      </c>
      <c r="D191" t="s">
        <v>52</v>
      </c>
      <c r="E191">
        <v>42</v>
      </c>
      <c r="F191">
        <v>0.85128635450488077</v>
      </c>
      <c r="G191">
        <v>7.5075831105468E-3</v>
      </c>
      <c r="H191">
        <v>0.1239682937255248</v>
      </c>
      <c r="I191">
        <v>2.7784571926154598E-2</v>
      </c>
      <c r="J191">
        <v>477.07962098162869</v>
      </c>
    </row>
    <row r="192" spans="1:10" x14ac:dyDescent="0.35">
      <c r="A192" t="s">
        <v>828</v>
      </c>
      <c r="B192">
        <v>2014</v>
      </c>
      <c r="C192">
        <v>4</v>
      </c>
      <c r="D192" t="s">
        <v>52</v>
      </c>
      <c r="E192">
        <v>43</v>
      </c>
      <c r="F192">
        <v>0.84809209556342213</v>
      </c>
      <c r="G192">
        <v>7.4761908095249E-3</v>
      </c>
      <c r="H192">
        <v>0.1218387042636135</v>
      </c>
      <c r="I192">
        <v>2.73087403314561E-2</v>
      </c>
      <c r="J192">
        <v>474.93685233473451</v>
      </c>
    </row>
    <row r="193" spans="1:10" x14ac:dyDescent="0.35">
      <c r="A193" t="s">
        <v>828</v>
      </c>
      <c r="B193">
        <v>2014</v>
      </c>
      <c r="C193">
        <v>4</v>
      </c>
      <c r="D193" t="s">
        <v>52</v>
      </c>
      <c r="E193">
        <v>44</v>
      </c>
      <c r="F193">
        <v>0.84504303021021154</v>
      </c>
      <c r="G193">
        <v>7.4462254312767E-3</v>
      </c>
      <c r="H193">
        <v>0.1198059143226981</v>
      </c>
      <c r="I193">
        <v>2.6854537445607601E-2</v>
      </c>
      <c r="J193">
        <v>472.89148226269913</v>
      </c>
    </row>
    <row r="194" spans="1:10" x14ac:dyDescent="0.35">
      <c r="A194" t="s">
        <v>828</v>
      </c>
      <c r="B194">
        <v>2014</v>
      </c>
      <c r="C194">
        <v>4</v>
      </c>
      <c r="D194" t="s">
        <v>52</v>
      </c>
      <c r="E194">
        <v>45</v>
      </c>
      <c r="F194">
        <v>0.84212947887269929</v>
      </c>
      <c r="G194">
        <v>7.4175918476173004E-3</v>
      </c>
      <c r="H194">
        <v>0.1178634706013789</v>
      </c>
      <c r="I194">
        <v>2.6420521354685599E-2</v>
      </c>
      <c r="J194">
        <v>470.93701752719869</v>
      </c>
    </row>
    <row r="195" spans="1:10" x14ac:dyDescent="0.35">
      <c r="A195" t="s">
        <v>828</v>
      </c>
      <c r="B195">
        <v>2014</v>
      </c>
      <c r="C195">
        <v>4</v>
      </c>
      <c r="D195" t="s">
        <v>52</v>
      </c>
      <c r="E195">
        <v>46</v>
      </c>
      <c r="F195">
        <v>0.83717068941641892</v>
      </c>
      <c r="G195">
        <v>7.3748166636108002E-3</v>
      </c>
      <c r="H195">
        <v>0.1160331222575742</v>
      </c>
      <c r="I195">
        <v>2.5735468447907799E-2</v>
      </c>
      <c r="J195">
        <v>467.96653469768711</v>
      </c>
    </row>
    <row r="196" spans="1:10" x14ac:dyDescent="0.35">
      <c r="A196" t="s">
        <v>828</v>
      </c>
      <c r="B196">
        <v>2014</v>
      </c>
      <c r="C196">
        <v>4</v>
      </c>
      <c r="D196" t="s">
        <v>52</v>
      </c>
      <c r="E196">
        <v>47</v>
      </c>
      <c r="F196">
        <v>0.83242291227742715</v>
      </c>
      <c r="G196">
        <v>7.3338617002001996E-3</v>
      </c>
      <c r="H196">
        <v>0.1142806610773358</v>
      </c>
      <c r="I196">
        <v>2.50795667286524E-2</v>
      </c>
      <c r="J196">
        <v>465.1224553928356</v>
      </c>
    </row>
    <row r="197" spans="1:10" x14ac:dyDescent="0.35">
      <c r="A197" t="s">
        <v>828</v>
      </c>
      <c r="B197">
        <v>2014</v>
      </c>
      <c r="C197">
        <v>4</v>
      </c>
      <c r="D197" t="s">
        <v>52</v>
      </c>
      <c r="E197">
        <v>48</v>
      </c>
      <c r="F197">
        <v>0.82787295918589321</v>
      </c>
      <c r="G197">
        <v>7.2946131935985002E-3</v>
      </c>
      <c r="H197">
        <v>0.11260121911294051</v>
      </c>
      <c r="I197">
        <v>2.4450994247699399E-2</v>
      </c>
      <c r="J197">
        <v>462.39687939235279</v>
      </c>
    </row>
    <row r="198" spans="1:10" x14ac:dyDescent="0.35">
      <c r="A198" t="s">
        <v>828</v>
      </c>
      <c r="B198">
        <v>2014</v>
      </c>
      <c r="C198">
        <v>4</v>
      </c>
      <c r="D198" t="s">
        <v>52</v>
      </c>
      <c r="E198">
        <v>49</v>
      </c>
      <c r="F198">
        <v>0.82350871846544249</v>
      </c>
      <c r="G198">
        <v>7.2569666668580004E-3</v>
      </c>
      <c r="H198">
        <v>0.11099032580015331</v>
      </c>
      <c r="I198">
        <v>2.3848077786377101E-2</v>
      </c>
      <c r="J198">
        <v>459.78255139188991</v>
      </c>
    </row>
    <row r="199" spans="1:10" x14ac:dyDescent="0.35">
      <c r="A199" t="s">
        <v>828</v>
      </c>
      <c r="B199">
        <v>2014</v>
      </c>
      <c r="C199">
        <v>4</v>
      </c>
      <c r="D199" t="s">
        <v>52</v>
      </c>
      <c r="E199">
        <v>50</v>
      </c>
      <c r="F199">
        <v>0.81931904737380967</v>
      </c>
      <c r="G199">
        <v>7.2208260011872001E-3</v>
      </c>
      <c r="H199">
        <v>0.1094438682198775</v>
      </c>
      <c r="I199">
        <v>2.32692779835076E-2</v>
      </c>
      <c r="J199">
        <v>457.27279651144539</v>
      </c>
    </row>
    <row r="200" spans="1:10" x14ac:dyDescent="0.35">
      <c r="A200" t="s">
        <v>828</v>
      </c>
      <c r="B200">
        <v>2014</v>
      </c>
      <c r="C200">
        <v>4</v>
      </c>
      <c r="D200" t="s">
        <v>52</v>
      </c>
      <c r="E200">
        <v>51</v>
      </c>
      <c r="F200">
        <v>0.81455516565005837</v>
      </c>
      <c r="G200">
        <v>7.1817262731822002E-3</v>
      </c>
      <c r="H200">
        <v>0.1079604806727204</v>
      </c>
      <c r="I200">
        <v>2.25727941069537E-2</v>
      </c>
      <c r="J200">
        <v>454.50850905844209</v>
      </c>
    </row>
    <row r="201" spans="1:10" x14ac:dyDescent="0.35">
      <c r="A201" t="s">
        <v>828</v>
      </c>
      <c r="B201">
        <v>2014</v>
      </c>
      <c r="C201">
        <v>4</v>
      </c>
      <c r="D201" t="s">
        <v>52</v>
      </c>
      <c r="E201">
        <v>52</v>
      </c>
      <c r="F201">
        <v>0.80997451014645128</v>
      </c>
      <c r="G201">
        <v>7.1441303808696998E-3</v>
      </c>
      <c r="H201">
        <v>0.1065341464927617</v>
      </c>
      <c r="I201">
        <v>2.1903098071805498E-2</v>
      </c>
      <c r="J201">
        <v>451.85054035363117</v>
      </c>
    </row>
    <row r="202" spans="1:10" x14ac:dyDescent="0.35">
      <c r="A202" t="s">
        <v>828</v>
      </c>
      <c r="B202">
        <v>2014</v>
      </c>
      <c r="C202">
        <v>4</v>
      </c>
      <c r="D202" t="s">
        <v>52</v>
      </c>
      <c r="E202">
        <v>53</v>
      </c>
      <c r="F202">
        <v>0.80556670956750864</v>
      </c>
      <c r="G202">
        <v>7.1079532014746002E-3</v>
      </c>
      <c r="H202">
        <v>0.1051616362441221</v>
      </c>
      <c r="I202">
        <v>2.1258673585153601E-2</v>
      </c>
      <c r="J202">
        <v>449.29287235466228</v>
      </c>
    </row>
    <row r="203" spans="1:10" x14ac:dyDescent="0.35">
      <c r="A203" t="s">
        <v>828</v>
      </c>
      <c r="B203">
        <v>2014</v>
      </c>
      <c r="C203">
        <v>4</v>
      </c>
      <c r="D203" t="s">
        <v>52</v>
      </c>
      <c r="E203">
        <v>54</v>
      </c>
      <c r="F203">
        <v>0.80132216086186014</v>
      </c>
      <c r="G203">
        <v>7.0731159176126998E-3</v>
      </c>
      <c r="H203">
        <v>0.1038399597083952</v>
      </c>
      <c r="I203">
        <v>2.0638116672081399E-2</v>
      </c>
      <c r="J203">
        <v>446.82993280009958</v>
      </c>
    </row>
    <row r="204" spans="1:10" x14ac:dyDescent="0.35">
      <c r="A204" t="s">
        <v>828</v>
      </c>
      <c r="B204">
        <v>2014</v>
      </c>
      <c r="C204">
        <v>4</v>
      </c>
      <c r="D204" t="s">
        <v>52</v>
      </c>
      <c r="E204">
        <v>55</v>
      </c>
      <c r="F204">
        <v>0.79723195938187164</v>
      </c>
      <c r="G204">
        <v>7.0395454440730001E-3</v>
      </c>
      <c r="H204">
        <v>0.1025663441376037</v>
      </c>
      <c r="I204">
        <v>2.00401254649391E-2</v>
      </c>
      <c r="J204">
        <v>444.45655468388458</v>
      </c>
    </row>
    <row r="205" spans="1:10" x14ac:dyDescent="0.35">
      <c r="A205" t="s">
        <v>828</v>
      </c>
      <c r="B205">
        <v>2014</v>
      </c>
      <c r="C205">
        <v>4</v>
      </c>
      <c r="D205" t="s">
        <v>52</v>
      </c>
      <c r="E205">
        <v>56</v>
      </c>
      <c r="F205">
        <v>0.79636248969560774</v>
      </c>
      <c r="G205">
        <v>7.0196568545353001E-3</v>
      </c>
      <c r="H205">
        <v>0.1013476314313668</v>
      </c>
      <c r="I205">
        <v>1.96609358564598E-2</v>
      </c>
      <c r="J205">
        <v>443.30732878887289</v>
      </c>
    </row>
    <row r="206" spans="1:10" x14ac:dyDescent="0.35">
      <c r="A206" t="s">
        <v>828</v>
      </c>
      <c r="B206">
        <v>2014</v>
      </c>
      <c r="C206">
        <v>4</v>
      </c>
      <c r="D206" t="s">
        <v>52</v>
      </c>
      <c r="E206">
        <v>57</v>
      </c>
      <c r="F206">
        <v>0.7955235277176339</v>
      </c>
      <c r="G206">
        <v>7.0004661102444996E-3</v>
      </c>
      <c r="H206">
        <v>0.1001716805744715</v>
      </c>
      <c r="I206">
        <v>1.92950511465237E-2</v>
      </c>
      <c r="J206">
        <v>442.19842660947558</v>
      </c>
    </row>
    <row r="207" spans="1:10" x14ac:dyDescent="0.35">
      <c r="A207" t="s">
        <v>828</v>
      </c>
      <c r="B207">
        <v>2014</v>
      </c>
      <c r="C207">
        <v>4</v>
      </c>
      <c r="D207" t="s">
        <v>52</v>
      </c>
      <c r="E207">
        <v>58</v>
      </c>
      <c r="F207">
        <v>0.79471349546303838</v>
      </c>
      <c r="G207">
        <v>6.9819371157569003E-3</v>
      </c>
      <c r="H207">
        <v>9.9036279747124395E-2</v>
      </c>
      <c r="I207">
        <v>1.8941783150723202E-2</v>
      </c>
      <c r="J207">
        <v>441.1277624362645</v>
      </c>
    </row>
    <row r="208" spans="1:10" x14ac:dyDescent="0.35">
      <c r="A208" t="s">
        <v>828</v>
      </c>
      <c r="B208">
        <v>2014</v>
      </c>
      <c r="C208">
        <v>4</v>
      </c>
      <c r="D208" t="s">
        <v>52</v>
      </c>
      <c r="E208">
        <v>59</v>
      </c>
      <c r="F208">
        <v>0.79393092192893766</v>
      </c>
      <c r="G208">
        <v>6.9640362227772999E-3</v>
      </c>
      <c r="H208">
        <v>9.7939367083416107E-2</v>
      </c>
      <c r="I208">
        <v>1.8600490341221101E-2</v>
      </c>
      <c r="J208">
        <v>440.09339196384008</v>
      </c>
    </row>
    <row r="209" spans="1:10" x14ac:dyDescent="0.35">
      <c r="A209" t="s">
        <v>828</v>
      </c>
      <c r="B209">
        <v>2014</v>
      </c>
      <c r="C209">
        <v>4</v>
      </c>
      <c r="D209" t="s">
        <v>52</v>
      </c>
      <c r="E209">
        <v>60</v>
      </c>
      <c r="F209">
        <v>0.793174434179307</v>
      </c>
      <c r="G209">
        <v>6.9467320262302998E-3</v>
      </c>
      <c r="H209">
        <v>9.6879018175164797E-2</v>
      </c>
      <c r="I209">
        <v>1.82705739587023E-2</v>
      </c>
      <c r="J209">
        <v>439.09350050716318</v>
      </c>
    </row>
    <row r="210" spans="1:10" x14ac:dyDescent="0.35">
      <c r="A210" t="s">
        <v>828</v>
      </c>
      <c r="B210">
        <v>2014</v>
      </c>
      <c r="C210">
        <v>4</v>
      </c>
      <c r="D210" t="s">
        <v>52</v>
      </c>
      <c r="E210">
        <v>61</v>
      </c>
      <c r="F210">
        <v>0.80276364329129524</v>
      </c>
      <c r="G210">
        <v>6.9763858991732999E-3</v>
      </c>
      <c r="H210">
        <v>9.6060941850207998E-2</v>
      </c>
      <c r="I210">
        <v>1.8344402372659899E-2</v>
      </c>
      <c r="J210">
        <v>441.59517255505688</v>
      </c>
    </row>
    <row r="211" spans="1:10" x14ac:dyDescent="0.35">
      <c r="A211" t="s">
        <v>828</v>
      </c>
      <c r="B211">
        <v>2014</v>
      </c>
      <c r="C211">
        <v>4</v>
      </c>
      <c r="D211" t="s">
        <v>52</v>
      </c>
      <c r="E211">
        <v>62</v>
      </c>
      <c r="F211">
        <v>0.81204352307709038</v>
      </c>
      <c r="G211">
        <v>7.0050831955698004E-3</v>
      </c>
      <c r="H211">
        <v>9.5269255084120902E-2</v>
      </c>
      <c r="I211">
        <v>1.8415849224877101E-2</v>
      </c>
      <c r="J211">
        <v>444.01614550463142</v>
      </c>
    </row>
    <row r="212" spans="1:10" x14ac:dyDescent="0.35">
      <c r="A212" t="s">
        <v>828</v>
      </c>
      <c r="B212">
        <v>2014</v>
      </c>
      <c r="C212">
        <v>4</v>
      </c>
      <c r="D212" t="s">
        <v>52</v>
      </c>
      <c r="E212">
        <v>63</v>
      </c>
      <c r="F212">
        <v>0.82102880350460627</v>
      </c>
      <c r="G212">
        <v>7.0328694666837999E-3</v>
      </c>
      <c r="H212">
        <v>9.4502701231242797E-2</v>
      </c>
      <c r="I212">
        <v>1.8485027923055501E-2</v>
      </c>
      <c r="J212">
        <v>446.36026217009243</v>
      </c>
    </row>
    <row r="213" spans="1:10" x14ac:dyDescent="0.35">
      <c r="A213" t="s">
        <v>828</v>
      </c>
      <c r="B213">
        <v>2014</v>
      </c>
      <c r="C213">
        <v>4</v>
      </c>
      <c r="D213" t="s">
        <v>52</v>
      </c>
      <c r="E213">
        <v>64</v>
      </c>
      <c r="F213">
        <v>0.82973329391876227</v>
      </c>
      <c r="G213">
        <v>7.0597874168255997E-3</v>
      </c>
      <c r="H213">
        <v>9.3760102186267194E-2</v>
      </c>
      <c r="I213">
        <v>1.85520447869158E-2</v>
      </c>
      <c r="J213">
        <v>448.63112518975782</v>
      </c>
    </row>
    <row r="214" spans="1:10" x14ac:dyDescent="0.35">
      <c r="A214" t="s">
        <v>828</v>
      </c>
      <c r="B214">
        <v>2014</v>
      </c>
      <c r="C214">
        <v>4</v>
      </c>
      <c r="D214" t="s">
        <v>52</v>
      </c>
      <c r="E214">
        <v>65</v>
      </c>
      <c r="F214">
        <v>0.83816995385863657</v>
      </c>
      <c r="G214">
        <v>7.0858771223475002E-3</v>
      </c>
      <c r="H214">
        <v>9.3040352342675395E-2</v>
      </c>
      <c r="I214">
        <v>1.8616999593426699E-2</v>
      </c>
      <c r="J214">
        <v>450.83211550112583</v>
      </c>
    </row>
    <row r="215" spans="1:10" x14ac:dyDescent="0.35">
      <c r="A215" t="s">
        <v>828</v>
      </c>
      <c r="B215">
        <v>2014</v>
      </c>
      <c r="C215">
        <v>4</v>
      </c>
      <c r="D215" t="s">
        <v>52</v>
      </c>
      <c r="E215">
        <v>66</v>
      </c>
      <c r="F215">
        <v>0.84904267461522809</v>
      </c>
      <c r="G215">
        <v>7.1481625008222001E-3</v>
      </c>
      <c r="H215">
        <v>9.3076349420766397E-2</v>
      </c>
      <c r="I215">
        <v>1.8714249221260498E-2</v>
      </c>
      <c r="J215">
        <v>454.79180767477487</v>
      </c>
    </row>
    <row r="216" spans="1:10" x14ac:dyDescent="0.35">
      <c r="A216" t="s">
        <v>828</v>
      </c>
      <c r="B216">
        <v>2014</v>
      </c>
      <c r="C216">
        <v>4</v>
      </c>
      <c r="D216" t="s">
        <v>52</v>
      </c>
      <c r="E216">
        <v>67</v>
      </c>
      <c r="F216">
        <v>0.85959083654326462</v>
      </c>
      <c r="G216">
        <v>7.2085886142678E-3</v>
      </c>
      <c r="H216">
        <v>9.3111271959212802E-2</v>
      </c>
      <c r="I216">
        <v>1.8808595875129199E-2</v>
      </c>
      <c r="J216">
        <v>458.63330008204628</v>
      </c>
    </row>
    <row r="217" spans="1:10" x14ac:dyDescent="0.35">
      <c r="A217" t="s">
        <v>828</v>
      </c>
      <c r="B217">
        <v>2014</v>
      </c>
      <c r="C217">
        <v>4</v>
      </c>
      <c r="D217" t="s">
        <v>52</v>
      </c>
      <c r="E217">
        <v>68</v>
      </c>
      <c r="F217">
        <v>0.86982875841459428</v>
      </c>
      <c r="G217">
        <v>7.2672374890826001E-3</v>
      </c>
      <c r="H217">
        <v>9.3145167364175496E-2</v>
      </c>
      <c r="I217">
        <v>1.8900167627413499E-2</v>
      </c>
      <c r="J217">
        <v>462.3618074185157</v>
      </c>
    </row>
    <row r="218" spans="1:10" x14ac:dyDescent="0.35">
      <c r="A218" t="s">
        <v>828</v>
      </c>
      <c r="B218">
        <v>2014</v>
      </c>
      <c r="C218">
        <v>4</v>
      </c>
      <c r="D218" t="s">
        <v>52</v>
      </c>
      <c r="E218">
        <v>69</v>
      </c>
      <c r="F218">
        <v>0.87976992892733452</v>
      </c>
      <c r="G218">
        <v>7.3241863965114997E-3</v>
      </c>
      <c r="H218">
        <v>9.3178080293632004E-2</v>
      </c>
      <c r="I218">
        <v>1.89890851260083E-2</v>
      </c>
      <c r="J218">
        <v>465.9822420785656</v>
      </c>
    </row>
    <row r="219" spans="1:10" x14ac:dyDescent="0.35">
      <c r="A219" t="s">
        <v>828</v>
      </c>
      <c r="B219">
        <v>2014</v>
      </c>
      <c r="C219">
        <v>4</v>
      </c>
      <c r="D219" t="s">
        <v>52</v>
      </c>
      <c r="E219">
        <v>70</v>
      </c>
      <c r="F219">
        <v>0.88942706599685373</v>
      </c>
      <c r="G219">
        <v>7.3795081922995E-3</v>
      </c>
      <c r="H219">
        <v>9.3210052853675507E-2</v>
      </c>
      <c r="I219">
        <v>1.9075462124643401E-2</v>
      </c>
      <c r="J219">
        <v>469.49923574832837</v>
      </c>
    </row>
    <row r="220" spans="1:10" x14ac:dyDescent="0.35">
      <c r="A220" t="s">
        <v>828</v>
      </c>
      <c r="B220">
        <v>2014</v>
      </c>
      <c r="C220">
        <v>4</v>
      </c>
      <c r="D220" t="s">
        <v>52</v>
      </c>
      <c r="E220">
        <v>71</v>
      </c>
      <c r="F220">
        <v>0.90195167065385717</v>
      </c>
      <c r="G220">
        <v>7.4665513258040999E-3</v>
      </c>
      <c r="H220">
        <v>9.38672358066516E-2</v>
      </c>
      <c r="I220">
        <v>1.9303591143553001E-2</v>
      </c>
      <c r="J220">
        <v>474.8562947960101</v>
      </c>
    </row>
    <row r="221" spans="1:10" x14ac:dyDescent="0.35">
      <c r="A221" t="s">
        <v>828</v>
      </c>
      <c r="B221">
        <v>2014</v>
      </c>
      <c r="C221">
        <v>4</v>
      </c>
      <c r="D221" t="s">
        <v>52</v>
      </c>
      <c r="E221">
        <v>72</v>
      </c>
      <c r="F221">
        <v>0.91412836962594424</v>
      </c>
      <c r="G221">
        <v>7.5511765944891E-3</v>
      </c>
      <c r="H221">
        <v>9.4506163677600605E-2</v>
      </c>
      <c r="I221">
        <v>1.9525383245270599E-2</v>
      </c>
      <c r="J221">
        <v>480.0645466479229</v>
      </c>
    </row>
    <row r="222" spans="1:10" x14ac:dyDescent="0.35">
      <c r="A222" t="s">
        <v>828</v>
      </c>
      <c r="B222">
        <v>2014</v>
      </c>
      <c r="C222">
        <v>4</v>
      </c>
      <c r="D222" t="s">
        <v>52</v>
      </c>
      <c r="E222">
        <v>73</v>
      </c>
      <c r="F222">
        <v>0.92597146040701495</v>
      </c>
      <c r="G222">
        <v>7.6334833626621997E-3</v>
      </c>
      <c r="H222">
        <v>9.5127586675372897E-2</v>
      </c>
      <c r="I222">
        <v>1.9741098851050701E-2</v>
      </c>
      <c r="J222">
        <v>485.13010666827648</v>
      </c>
    </row>
    <row r="223" spans="1:10" x14ac:dyDescent="0.35">
      <c r="A223" t="s">
        <v>828</v>
      </c>
      <c r="B223">
        <v>2014</v>
      </c>
      <c r="C223">
        <v>4</v>
      </c>
      <c r="D223" t="s">
        <v>52</v>
      </c>
      <c r="E223">
        <v>74</v>
      </c>
      <c r="F223">
        <v>0.937494467653462</v>
      </c>
      <c r="G223">
        <v>7.7135656235874E-3</v>
      </c>
      <c r="H223">
        <v>9.5732214456989206E-2</v>
      </c>
      <c r="I223">
        <v>1.99509843053234E-2</v>
      </c>
      <c r="J223">
        <v>490.05875966105282</v>
      </c>
    </row>
    <row r="224" spans="1:10" x14ac:dyDescent="0.35">
      <c r="A224" t="s">
        <v>828</v>
      </c>
      <c r="B224">
        <v>2014</v>
      </c>
      <c r="C224">
        <v>4</v>
      </c>
      <c r="D224" t="s">
        <v>52</v>
      </c>
      <c r="E224">
        <v>75</v>
      </c>
      <c r="F224">
        <v>0.94871019470667084</v>
      </c>
      <c r="G224">
        <v>7.7915123575546001E-3</v>
      </c>
      <c r="H224">
        <v>9.6320718831095706E-2</v>
      </c>
      <c r="I224">
        <v>2.0155272814148601E-2</v>
      </c>
      <c r="J224">
        <v>494.85598190735521</v>
      </c>
    </row>
    <row r="225" spans="1:10" x14ac:dyDescent="0.35">
      <c r="A225" t="s">
        <v>828</v>
      </c>
      <c r="B225">
        <v>2014</v>
      </c>
      <c r="C225">
        <v>5</v>
      </c>
      <c r="D225" t="s">
        <v>49</v>
      </c>
      <c r="E225">
        <v>2.5</v>
      </c>
      <c r="F225">
        <v>2.3414210711543562</v>
      </c>
      <c r="G225">
        <v>4.4652122337432799E-2</v>
      </c>
      <c r="H225">
        <v>1.039688054092021</v>
      </c>
      <c r="I225">
        <v>0.129002432612533</v>
      </c>
      <c r="J225">
        <v>2556.6389390193772</v>
      </c>
    </row>
    <row r="226" spans="1:10" x14ac:dyDescent="0.35">
      <c r="A226" t="s">
        <v>828</v>
      </c>
      <c r="B226">
        <v>2014</v>
      </c>
      <c r="C226">
        <v>5</v>
      </c>
      <c r="D226" t="s">
        <v>49</v>
      </c>
      <c r="E226">
        <v>3</v>
      </c>
      <c r="F226">
        <v>2.016810288938276</v>
      </c>
      <c r="G226">
        <v>3.8145945163150598E-2</v>
      </c>
      <c r="H226">
        <v>0.8846502865116197</v>
      </c>
      <c r="I226">
        <v>0.1113525904899639</v>
      </c>
      <c r="J226">
        <v>2181.3288681020881</v>
      </c>
    </row>
    <row r="227" spans="1:10" x14ac:dyDescent="0.35">
      <c r="A227" t="s">
        <v>828</v>
      </c>
      <c r="B227">
        <v>2014</v>
      </c>
      <c r="C227">
        <v>5</v>
      </c>
      <c r="D227" t="s">
        <v>49</v>
      </c>
      <c r="E227">
        <v>4</v>
      </c>
      <c r="F227">
        <v>1.615883410791251</v>
      </c>
      <c r="G227">
        <v>3.0013223695297801E-2</v>
      </c>
      <c r="H227">
        <v>0.69085307703611865</v>
      </c>
      <c r="I227">
        <v>8.9290287836752691E-2</v>
      </c>
      <c r="J227">
        <v>1712.191279455478</v>
      </c>
    </row>
    <row r="228" spans="1:10" x14ac:dyDescent="0.35">
      <c r="A228" t="s">
        <v>828</v>
      </c>
      <c r="B228">
        <v>2014</v>
      </c>
      <c r="C228">
        <v>5</v>
      </c>
      <c r="D228" t="s">
        <v>49</v>
      </c>
      <c r="E228">
        <v>5</v>
      </c>
      <c r="F228">
        <v>1.3927757633374711</v>
      </c>
      <c r="G228">
        <v>2.5133590814586101E-2</v>
      </c>
      <c r="H228">
        <v>0.57457475135081804</v>
      </c>
      <c r="I228">
        <v>7.6052906244825899E-2</v>
      </c>
      <c r="J228">
        <v>1430.708726267512</v>
      </c>
    </row>
    <row r="229" spans="1:10" x14ac:dyDescent="0.35">
      <c r="A229" t="s">
        <v>828</v>
      </c>
      <c r="B229">
        <v>2014</v>
      </c>
      <c r="C229">
        <v>5</v>
      </c>
      <c r="D229" t="s">
        <v>49</v>
      </c>
      <c r="E229">
        <v>6</v>
      </c>
      <c r="F229">
        <v>1.2532299086521299</v>
      </c>
      <c r="G229">
        <v>2.1884636781369898E-2</v>
      </c>
      <c r="H229">
        <v>0.49564423357585807</v>
      </c>
      <c r="I229">
        <v>6.6316513046507805E-2</v>
      </c>
      <c r="J229">
        <v>1244.5236124327289</v>
      </c>
    </row>
    <row r="230" spans="1:10" x14ac:dyDescent="0.35">
      <c r="A230" t="s">
        <v>828</v>
      </c>
      <c r="B230">
        <v>2014</v>
      </c>
      <c r="C230">
        <v>5</v>
      </c>
      <c r="D230" t="s">
        <v>49</v>
      </c>
      <c r="E230">
        <v>7</v>
      </c>
      <c r="F230">
        <v>1.1535542981625999</v>
      </c>
      <c r="G230">
        <v>1.95639553290726E-2</v>
      </c>
      <c r="H230">
        <v>0.43926529230802958</v>
      </c>
      <c r="I230">
        <v>5.9361946476280597E-2</v>
      </c>
      <c r="J230">
        <v>1111.5342454078841</v>
      </c>
    </row>
    <row r="231" spans="1:10" x14ac:dyDescent="0.35">
      <c r="A231" t="s">
        <v>828</v>
      </c>
      <c r="B231">
        <v>2014</v>
      </c>
      <c r="C231">
        <v>5</v>
      </c>
      <c r="D231" t="s">
        <v>49</v>
      </c>
      <c r="E231">
        <v>8</v>
      </c>
      <c r="F231">
        <v>1.078797590295453</v>
      </c>
      <c r="G231">
        <v>1.78234442398497E-2</v>
      </c>
      <c r="H231">
        <v>0.39698108635715817</v>
      </c>
      <c r="I231">
        <v>5.4146021548610188E-2</v>
      </c>
      <c r="J231">
        <v>1011.792220139251</v>
      </c>
    </row>
    <row r="232" spans="1:10" x14ac:dyDescent="0.35">
      <c r="A232" t="s">
        <v>828</v>
      </c>
      <c r="B232">
        <v>2014</v>
      </c>
      <c r="C232">
        <v>5</v>
      </c>
      <c r="D232" t="s">
        <v>49</v>
      </c>
      <c r="E232">
        <v>9</v>
      </c>
      <c r="F232">
        <v>1.0206534841765611</v>
      </c>
      <c r="G232">
        <v>1.6469713392676302E-2</v>
      </c>
      <c r="H232">
        <v>0.36409337061759151</v>
      </c>
      <c r="I232">
        <v>5.0089191049311102E-2</v>
      </c>
      <c r="J232">
        <v>934.21508937475801</v>
      </c>
    </row>
    <row r="233" spans="1:10" x14ac:dyDescent="0.35">
      <c r="A233" t="s">
        <v>828</v>
      </c>
      <c r="B233">
        <v>2014</v>
      </c>
      <c r="C233">
        <v>5</v>
      </c>
      <c r="D233" t="s">
        <v>49</v>
      </c>
      <c r="E233">
        <v>10</v>
      </c>
      <c r="F233">
        <v>0.97413819928144718</v>
      </c>
      <c r="G233">
        <v>1.53867287149375E-2</v>
      </c>
      <c r="H233">
        <v>0.3377831980259382</v>
      </c>
      <c r="I233">
        <v>4.6843726649871603E-2</v>
      </c>
      <c r="J233">
        <v>872.15338476316401</v>
      </c>
    </row>
    <row r="234" spans="1:10" x14ac:dyDescent="0.35">
      <c r="A234" t="s">
        <v>828</v>
      </c>
      <c r="B234">
        <v>2014</v>
      </c>
      <c r="C234">
        <v>5</v>
      </c>
      <c r="D234" t="s">
        <v>49</v>
      </c>
      <c r="E234">
        <v>11</v>
      </c>
      <c r="F234">
        <v>0.93975045009592639</v>
      </c>
      <c r="G234">
        <v>1.4506883683222499E-2</v>
      </c>
      <c r="H234">
        <v>0.31599502483242858</v>
      </c>
      <c r="I234">
        <v>4.4276839904504497E-2</v>
      </c>
      <c r="J234">
        <v>822.82327648261594</v>
      </c>
    </row>
    <row r="235" spans="1:10" x14ac:dyDescent="0.35">
      <c r="A235" t="s">
        <v>828</v>
      </c>
      <c r="B235">
        <v>2014</v>
      </c>
      <c r="C235">
        <v>5</v>
      </c>
      <c r="D235" t="s">
        <v>49</v>
      </c>
      <c r="E235">
        <v>12</v>
      </c>
      <c r="F235">
        <v>0.91109399244132561</v>
      </c>
      <c r="G235">
        <v>1.37736794901267E-2</v>
      </c>
      <c r="H235">
        <v>0.29783821383783721</v>
      </c>
      <c r="I235">
        <v>4.2137767616698497E-2</v>
      </c>
      <c r="J235">
        <v>781.71485291549266</v>
      </c>
    </row>
    <row r="236" spans="1:10" x14ac:dyDescent="0.35">
      <c r="A236" t="s">
        <v>828</v>
      </c>
      <c r="B236">
        <v>2014</v>
      </c>
      <c r="C236">
        <v>5</v>
      </c>
      <c r="D236" t="s">
        <v>49</v>
      </c>
      <c r="E236">
        <v>13</v>
      </c>
      <c r="F236">
        <v>0.88684622057974039</v>
      </c>
      <c r="G236">
        <v>1.3153275942122501E-2</v>
      </c>
      <c r="H236">
        <v>0.28247475838087521</v>
      </c>
      <c r="I236">
        <v>4.0327783373170299E-2</v>
      </c>
      <c r="J236">
        <v>746.9308022048499</v>
      </c>
    </row>
    <row r="237" spans="1:10" x14ac:dyDescent="0.35">
      <c r="A237" t="s">
        <v>828</v>
      </c>
      <c r="B237">
        <v>2014</v>
      </c>
      <c r="C237">
        <v>5</v>
      </c>
      <c r="D237" t="s">
        <v>49</v>
      </c>
      <c r="E237">
        <v>14</v>
      </c>
      <c r="F237">
        <v>0.86606241612695301</v>
      </c>
      <c r="G237">
        <v>1.2621501472404701E-2</v>
      </c>
      <c r="H237">
        <v>0.26930608227490788</v>
      </c>
      <c r="I237">
        <v>3.8776368307288901E-2</v>
      </c>
      <c r="J237">
        <v>717.11590159572734</v>
      </c>
    </row>
    <row r="238" spans="1:10" x14ac:dyDescent="0.35">
      <c r="A238" t="s">
        <v>828</v>
      </c>
      <c r="B238">
        <v>2014</v>
      </c>
      <c r="C238">
        <v>5</v>
      </c>
      <c r="D238" t="s">
        <v>49</v>
      </c>
      <c r="E238">
        <v>15</v>
      </c>
      <c r="F238">
        <v>0.84804978560120403</v>
      </c>
      <c r="G238">
        <v>1.21606302653159E-2</v>
      </c>
      <c r="H238">
        <v>0.2578932296497361</v>
      </c>
      <c r="I238">
        <v>3.7431808583525197E-2</v>
      </c>
      <c r="J238">
        <v>691.2763210678213</v>
      </c>
    </row>
    <row r="239" spans="1:10" x14ac:dyDescent="0.35">
      <c r="A239" t="s">
        <v>828</v>
      </c>
      <c r="B239">
        <v>2014</v>
      </c>
      <c r="C239">
        <v>5</v>
      </c>
      <c r="D239" t="s">
        <v>49</v>
      </c>
      <c r="E239">
        <v>16</v>
      </c>
      <c r="F239">
        <v>0.82767083289239984</v>
      </c>
      <c r="G239">
        <v>1.17386612261552E-2</v>
      </c>
      <c r="H239">
        <v>0.24721625953817419</v>
      </c>
      <c r="I239">
        <v>3.6008470388312203E-2</v>
      </c>
      <c r="J239">
        <v>667.11526181670706</v>
      </c>
    </row>
    <row r="240" spans="1:10" x14ac:dyDescent="0.35">
      <c r="A240" t="s">
        <v>828</v>
      </c>
      <c r="B240">
        <v>2014</v>
      </c>
      <c r="C240">
        <v>5</v>
      </c>
      <c r="D240" t="s">
        <v>49</v>
      </c>
      <c r="E240">
        <v>17</v>
      </c>
      <c r="F240">
        <v>0.80968940403169032</v>
      </c>
      <c r="G240">
        <v>1.13663356033663E-2</v>
      </c>
      <c r="H240">
        <v>0.23779540355738421</v>
      </c>
      <c r="I240">
        <v>3.4752583745477197E-2</v>
      </c>
      <c r="J240">
        <v>645.79668012454738</v>
      </c>
    </row>
    <row r="241" spans="1:10" x14ac:dyDescent="0.35">
      <c r="A241" t="s">
        <v>828</v>
      </c>
      <c r="B241">
        <v>2014</v>
      </c>
      <c r="C241">
        <v>5</v>
      </c>
      <c r="D241" t="s">
        <v>49</v>
      </c>
      <c r="E241">
        <v>18</v>
      </c>
      <c r="F241">
        <v>0.79370591171105953</v>
      </c>
      <c r="G241">
        <v>1.10353794942207E-2</v>
      </c>
      <c r="H241">
        <v>0.22942130935223751</v>
      </c>
      <c r="I241">
        <v>3.3636240062957297E-2</v>
      </c>
      <c r="J241">
        <v>626.84682973151666</v>
      </c>
    </row>
    <row r="242" spans="1:10" x14ac:dyDescent="0.35">
      <c r="A242" t="s">
        <v>828</v>
      </c>
      <c r="B242">
        <v>2014</v>
      </c>
      <c r="C242">
        <v>5</v>
      </c>
      <c r="D242" t="s">
        <v>49</v>
      </c>
      <c r="E242">
        <v>19</v>
      </c>
      <c r="F242">
        <v>0.77940489226628473</v>
      </c>
      <c r="G242">
        <v>1.0739260870248299E-2</v>
      </c>
      <c r="H242">
        <v>0.2219286987476326</v>
      </c>
      <c r="I242">
        <v>3.2637406241755103E-2</v>
      </c>
      <c r="J242">
        <v>609.89170043248907</v>
      </c>
    </row>
    <row r="243" spans="1:10" x14ac:dyDescent="0.35">
      <c r="A243" t="s">
        <v>828</v>
      </c>
      <c r="B243">
        <v>2014</v>
      </c>
      <c r="C243">
        <v>5</v>
      </c>
      <c r="D243" t="s">
        <v>49</v>
      </c>
      <c r="E243">
        <v>20</v>
      </c>
      <c r="F243">
        <v>0.76653397476598739</v>
      </c>
      <c r="G243">
        <v>1.0472754108673101E-2</v>
      </c>
      <c r="H243">
        <v>0.2151853492034882</v>
      </c>
      <c r="I243">
        <v>3.1738455802673302E-2</v>
      </c>
      <c r="J243">
        <v>594.63208406336435</v>
      </c>
    </row>
    <row r="244" spans="1:10" x14ac:dyDescent="0.35">
      <c r="A244" t="s">
        <v>828</v>
      </c>
      <c r="B244">
        <v>2014</v>
      </c>
      <c r="C244">
        <v>5</v>
      </c>
      <c r="D244" t="s">
        <v>49</v>
      </c>
      <c r="E244">
        <v>21</v>
      </c>
      <c r="F244">
        <v>0.75242243177273216</v>
      </c>
      <c r="G244">
        <v>1.02017636679325E-2</v>
      </c>
      <c r="H244">
        <v>0.20803192410627669</v>
      </c>
      <c r="I244">
        <v>3.0790735248857899E-2</v>
      </c>
      <c r="J244">
        <v>579.21892439167391</v>
      </c>
    </row>
    <row r="245" spans="1:10" x14ac:dyDescent="0.35">
      <c r="A245" t="s">
        <v>828</v>
      </c>
      <c r="B245">
        <v>2014</v>
      </c>
      <c r="C245">
        <v>5</v>
      </c>
      <c r="D245" t="s">
        <v>49</v>
      </c>
      <c r="E245">
        <v>22</v>
      </c>
      <c r="F245">
        <v>0.73959375632431845</v>
      </c>
      <c r="G245">
        <v>9.9554087218047E-3</v>
      </c>
      <c r="H245">
        <v>0.20152881038153889</v>
      </c>
      <c r="I245">
        <v>2.99291711090258E-2</v>
      </c>
      <c r="J245">
        <v>565.20696105377363</v>
      </c>
    </row>
    <row r="246" spans="1:10" x14ac:dyDescent="0.35">
      <c r="A246" t="s">
        <v>828</v>
      </c>
      <c r="B246">
        <v>2014</v>
      </c>
      <c r="C246">
        <v>5</v>
      </c>
      <c r="D246" t="s">
        <v>49</v>
      </c>
      <c r="E246">
        <v>23</v>
      </c>
      <c r="F246">
        <v>0.72788061787141889</v>
      </c>
      <c r="G246">
        <v>9.7304759449053993E-3</v>
      </c>
      <c r="H246">
        <v>0.1955911848067782</v>
      </c>
      <c r="I246">
        <v>2.9142525590048401E-2</v>
      </c>
      <c r="J246">
        <v>552.41342931047325</v>
      </c>
    </row>
    <row r="247" spans="1:10" x14ac:dyDescent="0.35">
      <c r="A247" t="s">
        <v>828</v>
      </c>
      <c r="B247">
        <v>2014</v>
      </c>
      <c r="C247">
        <v>5</v>
      </c>
      <c r="D247" t="s">
        <v>49</v>
      </c>
      <c r="E247">
        <v>24</v>
      </c>
      <c r="F247">
        <v>0.7171435742895943</v>
      </c>
      <c r="G247">
        <v>9.5242875660810997E-3</v>
      </c>
      <c r="H247">
        <v>0.1901483613632477</v>
      </c>
      <c r="I247">
        <v>2.84214338643194E-2</v>
      </c>
      <c r="J247">
        <v>540.68602521244793</v>
      </c>
    </row>
    <row r="248" spans="1:10" x14ac:dyDescent="0.35">
      <c r="A248" t="s">
        <v>828</v>
      </c>
      <c r="B248">
        <v>2014</v>
      </c>
      <c r="C248">
        <v>5</v>
      </c>
      <c r="D248" t="s">
        <v>49</v>
      </c>
      <c r="E248">
        <v>25</v>
      </c>
      <c r="F248">
        <v>0.70726549419431572</v>
      </c>
      <c r="G248">
        <v>9.3345942575625996E-3</v>
      </c>
      <c r="H248">
        <v>0.18514096379519959</v>
      </c>
      <c r="I248">
        <v>2.7758029476648599E-2</v>
      </c>
      <c r="J248">
        <v>529.89681344226472</v>
      </c>
    </row>
    <row r="249" spans="1:10" x14ac:dyDescent="0.35">
      <c r="A249" t="s">
        <v>828</v>
      </c>
      <c r="B249">
        <v>2014</v>
      </c>
      <c r="C249">
        <v>5</v>
      </c>
      <c r="D249" t="s">
        <v>49</v>
      </c>
      <c r="E249">
        <v>26</v>
      </c>
      <c r="F249">
        <v>0.69429974481112811</v>
      </c>
      <c r="G249">
        <v>9.1124023850743998E-3</v>
      </c>
      <c r="H249">
        <v>0.17946880833587731</v>
      </c>
      <c r="I249">
        <v>2.6985652270516899E-2</v>
      </c>
      <c r="J249">
        <v>518.18936689372799</v>
      </c>
    </row>
    <row r="250" spans="1:10" x14ac:dyDescent="0.35">
      <c r="A250" t="s">
        <v>828</v>
      </c>
      <c r="B250">
        <v>2014</v>
      </c>
      <c r="C250">
        <v>5</v>
      </c>
      <c r="D250" t="s">
        <v>49</v>
      </c>
      <c r="E250">
        <v>27</v>
      </c>
      <c r="F250">
        <v>0.68229442130817652</v>
      </c>
      <c r="G250">
        <v>8.9066691698075004E-3</v>
      </c>
      <c r="H250">
        <v>0.17421681254020849</v>
      </c>
      <c r="I250">
        <v>2.62704881907652E-2</v>
      </c>
      <c r="J250">
        <v>507.34913860804579</v>
      </c>
    </row>
    <row r="251" spans="1:10" x14ac:dyDescent="0.35">
      <c r="A251" t="s">
        <v>828</v>
      </c>
      <c r="B251">
        <v>2014</v>
      </c>
      <c r="C251">
        <v>5</v>
      </c>
      <c r="D251" t="s">
        <v>49</v>
      </c>
      <c r="E251">
        <v>28</v>
      </c>
      <c r="F251">
        <v>0.6711466209125786</v>
      </c>
      <c r="G251">
        <v>8.7156311842026008E-3</v>
      </c>
      <c r="H251">
        <v>0.16933995930137319</v>
      </c>
      <c r="I251">
        <v>2.5606407259567199E-2</v>
      </c>
      <c r="J251">
        <v>497.2832123427695</v>
      </c>
    </row>
    <row r="252" spans="1:10" x14ac:dyDescent="0.35">
      <c r="A252" t="s">
        <v>828</v>
      </c>
      <c r="B252">
        <v>2014</v>
      </c>
      <c r="C252">
        <v>5</v>
      </c>
      <c r="D252" t="s">
        <v>49</v>
      </c>
      <c r="E252">
        <v>29</v>
      </c>
      <c r="F252">
        <v>0.66076763433736685</v>
      </c>
      <c r="G252">
        <v>8.5377682320876003E-3</v>
      </c>
      <c r="H252">
        <v>0.1647994407686644</v>
      </c>
      <c r="I252">
        <v>2.4988125013279499E-2</v>
      </c>
      <c r="J252">
        <v>487.9114878888916</v>
      </c>
    </row>
    <row r="253" spans="1:10" x14ac:dyDescent="0.35">
      <c r="A253" t="s">
        <v>828</v>
      </c>
      <c r="B253">
        <v>2014</v>
      </c>
      <c r="C253">
        <v>5</v>
      </c>
      <c r="D253" t="s">
        <v>49</v>
      </c>
      <c r="E253">
        <v>30</v>
      </c>
      <c r="F253">
        <v>0.65108058020050252</v>
      </c>
      <c r="G253">
        <v>8.3717628101136008E-3</v>
      </c>
      <c r="H253">
        <v>0.1605616234714696</v>
      </c>
      <c r="I253">
        <v>2.4411061583411001E-2</v>
      </c>
      <c r="J253">
        <v>479.16454506527219</v>
      </c>
    </row>
    <row r="254" spans="1:10" x14ac:dyDescent="0.35">
      <c r="A254" t="s">
        <v>828</v>
      </c>
      <c r="B254">
        <v>2014</v>
      </c>
      <c r="C254">
        <v>5</v>
      </c>
      <c r="D254" t="s">
        <v>49</v>
      </c>
      <c r="E254">
        <v>31</v>
      </c>
      <c r="F254">
        <v>0.63898433628414564</v>
      </c>
      <c r="G254">
        <v>8.2598907599197996E-3</v>
      </c>
      <c r="H254">
        <v>0.15574798788083979</v>
      </c>
      <c r="I254">
        <v>2.3380843139938899E-2</v>
      </c>
      <c r="J254">
        <v>471.59703265417312</v>
      </c>
    </row>
    <row r="255" spans="1:10" x14ac:dyDescent="0.35">
      <c r="A255" t="s">
        <v>828</v>
      </c>
      <c r="B255">
        <v>2014</v>
      </c>
      <c r="C255">
        <v>5</v>
      </c>
      <c r="D255" t="s">
        <v>49</v>
      </c>
      <c r="E255">
        <v>32</v>
      </c>
      <c r="F255">
        <v>0.62764410761256095</v>
      </c>
      <c r="G255">
        <v>8.1550107128630991E-3</v>
      </c>
      <c r="H255">
        <v>0.1512352045146243</v>
      </c>
      <c r="I255">
        <v>2.2415013349183902E-2</v>
      </c>
      <c r="J255">
        <v>464.5024897687677</v>
      </c>
    </row>
    <row r="256" spans="1:10" x14ac:dyDescent="0.35">
      <c r="A256" t="s">
        <v>828</v>
      </c>
      <c r="B256">
        <v>2014</v>
      </c>
      <c r="C256">
        <v>5</v>
      </c>
      <c r="D256" t="s">
        <v>49</v>
      </c>
      <c r="E256">
        <v>33</v>
      </c>
      <c r="F256">
        <v>0.61699116552713307</v>
      </c>
      <c r="G256">
        <v>8.0564870322946004E-3</v>
      </c>
      <c r="H256">
        <v>0.14699592317060381</v>
      </c>
      <c r="I256">
        <v>2.15077186972625E-2</v>
      </c>
      <c r="J256">
        <v>457.83791917944751</v>
      </c>
    </row>
    <row r="257" spans="1:10" x14ac:dyDescent="0.35">
      <c r="A257" t="s">
        <v>828</v>
      </c>
      <c r="B257">
        <v>2014</v>
      </c>
      <c r="C257">
        <v>5</v>
      </c>
      <c r="D257" t="s">
        <v>49</v>
      </c>
      <c r="E257">
        <v>34</v>
      </c>
      <c r="F257">
        <v>0.60696486709378905</v>
      </c>
      <c r="G257">
        <v>7.9637588623478004E-3</v>
      </c>
      <c r="H257">
        <v>0.14300601131740789</v>
      </c>
      <c r="I257">
        <v>2.0653794318983499E-2</v>
      </c>
      <c r="J257">
        <v>451.56538215420488</v>
      </c>
    </row>
    <row r="258" spans="1:10" x14ac:dyDescent="0.35">
      <c r="A258" t="s">
        <v>828</v>
      </c>
      <c r="B258">
        <v>2014</v>
      </c>
      <c r="C258">
        <v>5</v>
      </c>
      <c r="D258" t="s">
        <v>49</v>
      </c>
      <c r="E258">
        <v>35</v>
      </c>
      <c r="F258">
        <v>0.59751149999949327</v>
      </c>
      <c r="G258">
        <v>7.8763294449695001E-3</v>
      </c>
      <c r="H258">
        <v>0.1392440944272518</v>
      </c>
      <c r="I258">
        <v>1.9848665619463399E-2</v>
      </c>
      <c r="J258">
        <v>445.65127581611898</v>
      </c>
    </row>
    <row r="259" spans="1:10" x14ac:dyDescent="0.35">
      <c r="A259" t="s">
        <v>828</v>
      </c>
      <c r="B259">
        <v>2014</v>
      </c>
      <c r="C259">
        <v>5</v>
      </c>
      <c r="D259" t="s">
        <v>49</v>
      </c>
      <c r="E259">
        <v>36</v>
      </c>
      <c r="F259">
        <v>0.59296178988621728</v>
      </c>
      <c r="G259">
        <v>7.8119993735415996E-3</v>
      </c>
      <c r="H259">
        <v>0.1355488877869436</v>
      </c>
      <c r="I259">
        <v>1.93316785326113E-2</v>
      </c>
      <c r="J259">
        <v>441.90227327890778</v>
      </c>
    </row>
    <row r="260" spans="1:10" x14ac:dyDescent="0.35">
      <c r="A260" t="s">
        <v>828</v>
      </c>
      <c r="B260">
        <v>2014</v>
      </c>
      <c r="C260">
        <v>5</v>
      </c>
      <c r="D260" t="s">
        <v>49</v>
      </c>
      <c r="E260">
        <v>37</v>
      </c>
      <c r="F260">
        <v>0.5886580100493346</v>
      </c>
      <c r="G260">
        <v>7.7511466032719996E-3</v>
      </c>
      <c r="H260">
        <v>0.13205342204611151</v>
      </c>
      <c r="I260">
        <v>1.88426366936972E-2</v>
      </c>
      <c r="J260">
        <v>438.35591952749178</v>
      </c>
    </row>
    <row r="261" spans="1:10" x14ac:dyDescent="0.35">
      <c r="A261" t="s">
        <v>828</v>
      </c>
      <c r="B261">
        <v>2014</v>
      </c>
      <c r="C261">
        <v>5</v>
      </c>
      <c r="D261" t="s">
        <v>49</v>
      </c>
      <c r="E261">
        <v>38</v>
      </c>
      <c r="F261">
        <v>0.58458074494070889</v>
      </c>
      <c r="G261">
        <v>7.6934966103849997E-3</v>
      </c>
      <c r="H261">
        <v>0.12874192818637581</v>
      </c>
      <c r="I261">
        <v>1.8379333898936399E-2</v>
      </c>
      <c r="J261">
        <v>434.99621597351882</v>
      </c>
    </row>
    <row r="262" spans="1:10" x14ac:dyDescent="0.35">
      <c r="A262" t="s">
        <v>828</v>
      </c>
      <c r="B262">
        <v>2014</v>
      </c>
      <c r="C262">
        <v>5</v>
      </c>
      <c r="D262" t="s">
        <v>49</v>
      </c>
      <c r="E262">
        <v>39</v>
      </c>
      <c r="F262">
        <v>0.5807125703504743</v>
      </c>
      <c r="G262">
        <v>7.6388030273895997E-3</v>
      </c>
      <c r="H262">
        <v>0.12560025452457529</v>
      </c>
      <c r="I262">
        <v>1.7939790221855701E-2</v>
      </c>
      <c r="J262">
        <v>431.80880490949301</v>
      </c>
    </row>
    <row r="263" spans="1:10" x14ac:dyDescent="0.35">
      <c r="A263" t="s">
        <v>828</v>
      </c>
      <c r="B263">
        <v>2014</v>
      </c>
      <c r="C263">
        <v>5</v>
      </c>
      <c r="D263" t="s">
        <v>49</v>
      </c>
      <c r="E263">
        <v>40</v>
      </c>
      <c r="F263">
        <v>0.57703780448975139</v>
      </c>
      <c r="G263">
        <v>7.5868441235440003E-3</v>
      </c>
      <c r="H263">
        <v>0.1226156645458648</v>
      </c>
      <c r="I263">
        <v>1.7522223728629101E-2</v>
      </c>
      <c r="J263">
        <v>428.78076439866862</v>
      </c>
    </row>
    <row r="264" spans="1:10" x14ac:dyDescent="0.35">
      <c r="A264" t="s">
        <v>828</v>
      </c>
      <c r="B264">
        <v>2014</v>
      </c>
      <c r="C264">
        <v>5</v>
      </c>
      <c r="D264" t="s">
        <v>49</v>
      </c>
      <c r="E264">
        <v>41</v>
      </c>
      <c r="F264">
        <v>0.57413490616381302</v>
      </c>
      <c r="G264">
        <v>7.5396259891500001E-3</v>
      </c>
      <c r="H264">
        <v>0.1199224383150241</v>
      </c>
      <c r="I264">
        <v>1.7119253626234399E-2</v>
      </c>
      <c r="J264">
        <v>425.9921763492751</v>
      </c>
    </row>
    <row r="265" spans="1:10" x14ac:dyDescent="0.35">
      <c r="A265" t="s">
        <v>828</v>
      </c>
      <c r="B265">
        <v>2014</v>
      </c>
      <c r="C265">
        <v>5</v>
      </c>
      <c r="D265" t="s">
        <v>49</v>
      </c>
      <c r="E265">
        <v>42</v>
      </c>
      <c r="F265">
        <v>0.5713702410914907</v>
      </c>
      <c r="G265">
        <v>7.4946563373462002E-3</v>
      </c>
      <c r="H265">
        <v>0.1173574609523186</v>
      </c>
      <c r="I265">
        <v>1.67354725763347E-2</v>
      </c>
      <c r="J265">
        <v>423.33637820699562</v>
      </c>
    </row>
    <row r="266" spans="1:10" x14ac:dyDescent="0.35">
      <c r="A266" t="s">
        <v>828</v>
      </c>
      <c r="B266">
        <v>2014</v>
      </c>
      <c r="C266">
        <v>5</v>
      </c>
      <c r="D266" t="s">
        <v>49</v>
      </c>
      <c r="E266">
        <v>43</v>
      </c>
      <c r="F266">
        <v>0.56873416509229968</v>
      </c>
      <c r="G266">
        <v>7.4517782972540999E-3</v>
      </c>
      <c r="H266">
        <v>0.11491178486229719</v>
      </c>
      <c r="I266">
        <v>1.63695418078257E-2</v>
      </c>
      <c r="J266">
        <v>420.80410555970587</v>
      </c>
    </row>
    <row r="267" spans="1:10" x14ac:dyDescent="0.35">
      <c r="A267" t="s">
        <v>828</v>
      </c>
      <c r="B267">
        <v>2014</v>
      </c>
      <c r="C267">
        <v>5</v>
      </c>
      <c r="D267" t="s">
        <v>49</v>
      </c>
      <c r="E267">
        <v>44</v>
      </c>
      <c r="F267">
        <v>0.56621791072943561</v>
      </c>
      <c r="G267">
        <v>7.4108492589845002E-3</v>
      </c>
      <c r="H267">
        <v>0.1125772758672767</v>
      </c>
      <c r="I267">
        <v>1.6020244256067101E-2</v>
      </c>
      <c r="J267">
        <v>418.38693621456571</v>
      </c>
    </row>
    <row r="268" spans="1:10" x14ac:dyDescent="0.35">
      <c r="A268" t="s">
        <v>828</v>
      </c>
      <c r="B268">
        <v>2014</v>
      </c>
      <c r="C268">
        <v>5</v>
      </c>
      <c r="D268" t="s">
        <v>49</v>
      </c>
      <c r="E268">
        <v>45</v>
      </c>
      <c r="F268">
        <v>0.56381348989380986</v>
      </c>
      <c r="G268">
        <v>7.3717392890823999E-3</v>
      </c>
      <c r="H268">
        <v>0.1103465228275905</v>
      </c>
      <c r="I268">
        <v>1.56864710399423E-2</v>
      </c>
      <c r="J268">
        <v>416.07719661809841</v>
      </c>
    </row>
    <row r="269" spans="1:10" x14ac:dyDescent="0.35">
      <c r="A269" t="s">
        <v>828</v>
      </c>
      <c r="B269">
        <v>2014</v>
      </c>
      <c r="C269">
        <v>5</v>
      </c>
      <c r="D269" t="s">
        <v>49</v>
      </c>
      <c r="E269">
        <v>46</v>
      </c>
      <c r="F269">
        <v>0.56215342604567153</v>
      </c>
      <c r="G269">
        <v>7.3379210747011999E-3</v>
      </c>
      <c r="H269">
        <v>0.1084449498833019</v>
      </c>
      <c r="I269">
        <v>1.52858185848159E-2</v>
      </c>
      <c r="J269">
        <v>413.90638287703138</v>
      </c>
    </row>
    <row r="270" spans="1:10" x14ac:dyDescent="0.35">
      <c r="A270" t="s">
        <v>828</v>
      </c>
      <c r="B270">
        <v>2014</v>
      </c>
      <c r="C270">
        <v>5</v>
      </c>
      <c r="D270" t="s">
        <v>49</v>
      </c>
      <c r="E270">
        <v>47</v>
      </c>
      <c r="F270">
        <v>0.56056400321234767</v>
      </c>
      <c r="G270">
        <v>7.3055419332724997E-3</v>
      </c>
      <c r="H270">
        <v>0.1066242949366427</v>
      </c>
      <c r="I270">
        <v>1.4902215170333299E-2</v>
      </c>
      <c r="J270">
        <v>411.82794418877592</v>
      </c>
    </row>
    <row r="271" spans="1:10" x14ac:dyDescent="0.35">
      <c r="A271" t="s">
        <v>828</v>
      </c>
      <c r="B271">
        <v>2014</v>
      </c>
      <c r="C271">
        <v>5</v>
      </c>
      <c r="D271" t="s">
        <v>49</v>
      </c>
      <c r="E271">
        <v>48</v>
      </c>
      <c r="F271">
        <v>0.55904080633041231</v>
      </c>
      <c r="G271">
        <v>7.2745119227365998E-3</v>
      </c>
      <c r="H271">
        <v>0.1048795006127609</v>
      </c>
      <c r="I271">
        <v>1.45345952314541E-2</v>
      </c>
      <c r="J271">
        <v>409.83610711253101</v>
      </c>
    </row>
    <row r="272" spans="1:10" x14ac:dyDescent="0.35">
      <c r="A272" t="s">
        <v>828</v>
      </c>
      <c r="B272">
        <v>2014</v>
      </c>
      <c r="C272">
        <v>5</v>
      </c>
      <c r="D272" t="s">
        <v>49</v>
      </c>
      <c r="E272">
        <v>49</v>
      </c>
      <c r="F272">
        <v>0.55757978074978032</v>
      </c>
      <c r="G272">
        <v>7.2447484432430001E-3</v>
      </c>
      <c r="H272">
        <v>0.1032059223837315</v>
      </c>
      <c r="I272">
        <v>1.4181980188039499E-2</v>
      </c>
      <c r="J272">
        <v>407.92556950878588</v>
      </c>
    </row>
    <row r="273" spans="1:10" x14ac:dyDescent="0.35">
      <c r="A273" t="s">
        <v>828</v>
      </c>
      <c r="B273">
        <v>2014</v>
      </c>
      <c r="C273">
        <v>5</v>
      </c>
      <c r="D273" t="s">
        <v>49</v>
      </c>
      <c r="E273">
        <v>50</v>
      </c>
      <c r="F273">
        <v>0.55617719619237371</v>
      </c>
      <c r="G273">
        <v>7.2161755029291003E-3</v>
      </c>
      <c r="H273">
        <v>0.10159928728386319</v>
      </c>
      <c r="I273">
        <v>1.38434697463613E-2</v>
      </c>
      <c r="J273">
        <v>406.09145340919059</v>
      </c>
    </row>
    <row r="274" spans="1:10" x14ac:dyDescent="0.35">
      <c r="A274" t="s">
        <v>828</v>
      </c>
      <c r="B274">
        <v>2014</v>
      </c>
      <c r="C274">
        <v>5</v>
      </c>
      <c r="D274" t="s">
        <v>49</v>
      </c>
      <c r="E274">
        <v>51</v>
      </c>
      <c r="F274">
        <v>0.55534960648845899</v>
      </c>
      <c r="G274">
        <v>7.1974587945667998E-3</v>
      </c>
      <c r="H274">
        <v>0.10013297329057599</v>
      </c>
      <c r="I274">
        <v>1.35056383559298E-2</v>
      </c>
      <c r="J274">
        <v>404.70955276164631</v>
      </c>
    </row>
    <row r="275" spans="1:10" x14ac:dyDescent="0.35">
      <c r="A275" t="s">
        <v>828</v>
      </c>
      <c r="B275">
        <v>2014</v>
      </c>
      <c r="C275">
        <v>5</v>
      </c>
      <c r="D275" t="s">
        <v>49</v>
      </c>
      <c r="E275">
        <v>52</v>
      </c>
      <c r="F275">
        <v>0.55455384715777178</v>
      </c>
      <c r="G275">
        <v>7.1794619596030002E-3</v>
      </c>
      <c r="H275">
        <v>9.8723055989338199E-2</v>
      </c>
      <c r="I275">
        <v>1.31808004805149E-2</v>
      </c>
      <c r="J275">
        <v>403.38080213900741</v>
      </c>
    </row>
    <row r="276" spans="1:10" x14ac:dyDescent="0.35">
      <c r="A276" t="s">
        <v>828</v>
      </c>
      <c r="B276">
        <v>2014</v>
      </c>
      <c r="C276">
        <v>5</v>
      </c>
      <c r="D276" t="s">
        <v>49</v>
      </c>
      <c r="E276">
        <v>53</v>
      </c>
      <c r="F276">
        <v>0.55378811648107273</v>
      </c>
      <c r="G276">
        <v>7.1621442504868002E-3</v>
      </c>
      <c r="H276">
        <v>9.7366343114562298E-2</v>
      </c>
      <c r="I276">
        <v>1.28682206381345E-2</v>
      </c>
      <c r="J276">
        <v>402.10219304929842</v>
      </c>
    </row>
    <row r="277" spans="1:10" x14ac:dyDescent="0.35">
      <c r="A277" t="s">
        <v>828</v>
      </c>
      <c r="B277">
        <v>2014</v>
      </c>
      <c r="C277">
        <v>5</v>
      </c>
      <c r="D277" t="s">
        <v>49</v>
      </c>
      <c r="E277">
        <v>54</v>
      </c>
      <c r="F277">
        <v>0.55305074619980699</v>
      </c>
      <c r="G277">
        <v>7.1454679380046002E-3</v>
      </c>
      <c r="H277">
        <v>9.6059878864778001E-2</v>
      </c>
      <c r="I277">
        <v>1.25672178269534E-2</v>
      </c>
      <c r="J277">
        <v>400.87093985180081</v>
      </c>
    </row>
    <row r="278" spans="1:10" x14ac:dyDescent="0.35">
      <c r="A278" t="s">
        <v>828</v>
      </c>
      <c r="B278">
        <v>2014</v>
      </c>
      <c r="C278">
        <v>5</v>
      </c>
      <c r="D278" t="s">
        <v>49</v>
      </c>
      <c r="E278">
        <v>55</v>
      </c>
      <c r="F278">
        <v>0.55234018938331453</v>
      </c>
      <c r="G278">
        <v>7.1293980368853996E-3</v>
      </c>
      <c r="H278">
        <v>9.4800922405894994E-2</v>
      </c>
      <c r="I278">
        <v>1.22771605725425E-2</v>
      </c>
      <c r="J278">
        <v>399.68445949784859</v>
      </c>
    </row>
    <row r="279" spans="1:10" x14ac:dyDescent="0.35">
      <c r="A279" t="s">
        <v>828</v>
      </c>
      <c r="B279">
        <v>2014</v>
      </c>
      <c r="C279">
        <v>5</v>
      </c>
      <c r="D279" t="s">
        <v>49</v>
      </c>
      <c r="E279">
        <v>56</v>
      </c>
      <c r="F279">
        <v>0.55315220671579313</v>
      </c>
      <c r="G279">
        <v>7.1244038265687003E-3</v>
      </c>
      <c r="H279">
        <v>9.3675881994533597E-2</v>
      </c>
      <c r="I279">
        <v>1.20865975912913E-2</v>
      </c>
      <c r="J279">
        <v>399.18907732038127</v>
      </c>
    </row>
    <row r="280" spans="1:10" x14ac:dyDescent="0.35">
      <c r="A280" t="s">
        <v>828</v>
      </c>
      <c r="B280">
        <v>2014</v>
      </c>
      <c r="C280">
        <v>5</v>
      </c>
      <c r="D280" t="s">
        <v>49</v>
      </c>
      <c r="E280">
        <v>57</v>
      </c>
      <c r="F280">
        <v>0.5539357322120444</v>
      </c>
      <c r="G280">
        <v>7.1195848517015999E-3</v>
      </c>
      <c r="H280">
        <v>9.2590316685325205E-2</v>
      </c>
      <c r="I280">
        <v>1.19027210304347E-2</v>
      </c>
      <c r="J280">
        <v>398.7110769737024</v>
      </c>
    </row>
    <row r="281" spans="1:10" x14ac:dyDescent="0.35">
      <c r="A281" t="s">
        <v>828</v>
      </c>
      <c r="B281">
        <v>2014</v>
      </c>
      <c r="C281">
        <v>5</v>
      </c>
      <c r="D281" t="s">
        <v>49</v>
      </c>
      <c r="E281">
        <v>58</v>
      </c>
      <c r="F281">
        <v>0.55469223958773517</v>
      </c>
      <c r="G281">
        <v>7.1149320483816997E-3</v>
      </c>
      <c r="H281">
        <v>9.1542184662641302E-2</v>
      </c>
      <c r="I281">
        <v>1.1725185040642299E-2</v>
      </c>
      <c r="J281">
        <v>398.24955939759849</v>
      </c>
    </row>
    <row r="282" spans="1:10" x14ac:dyDescent="0.35">
      <c r="A282" t="s">
        <v>828</v>
      </c>
      <c r="B282">
        <v>2014</v>
      </c>
      <c r="C282">
        <v>5</v>
      </c>
      <c r="D282" t="s">
        <v>49</v>
      </c>
      <c r="E282">
        <v>59</v>
      </c>
      <c r="F282">
        <v>0.55542310264560601</v>
      </c>
      <c r="G282">
        <v>7.1104369672082999E-3</v>
      </c>
      <c r="H282">
        <v>9.05295825390314E-2</v>
      </c>
      <c r="I282">
        <v>1.15536672199953E-2</v>
      </c>
      <c r="J282">
        <v>397.80368648509142</v>
      </c>
    </row>
    <row r="283" spans="1:10" x14ac:dyDescent="0.35">
      <c r="A283" t="s">
        <v>828</v>
      </c>
      <c r="B283">
        <v>2014</v>
      </c>
      <c r="C283">
        <v>5</v>
      </c>
      <c r="D283" t="s">
        <v>49</v>
      </c>
      <c r="E283">
        <v>60</v>
      </c>
      <c r="F283">
        <v>0.55612960360154784</v>
      </c>
      <c r="G283">
        <v>7.1060917220738999E-3</v>
      </c>
      <c r="H283">
        <v>8.9550733819541803E-2</v>
      </c>
      <c r="I283">
        <v>1.13878666600366E-2</v>
      </c>
      <c r="J283">
        <v>397.37267600300117</v>
      </c>
    </row>
    <row r="284" spans="1:10" x14ac:dyDescent="0.35">
      <c r="A284" t="s">
        <v>828</v>
      </c>
      <c r="B284">
        <v>2014</v>
      </c>
      <c r="C284">
        <v>5</v>
      </c>
      <c r="D284" t="s">
        <v>49</v>
      </c>
      <c r="E284">
        <v>61</v>
      </c>
      <c r="F284">
        <v>0.56128452460287326</v>
      </c>
      <c r="G284">
        <v>7.1208662966146998E-3</v>
      </c>
      <c r="H284">
        <v>8.8871515801846601E-2</v>
      </c>
      <c r="I284">
        <v>1.13651739372156E-2</v>
      </c>
      <c r="J284">
        <v>398.49941905673722</v>
      </c>
    </row>
    <row r="285" spans="1:10" x14ac:dyDescent="0.35">
      <c r="A285" t="s">
        <v>828</v>
      </c>
      <c r="B285">
        <v>2014</v>
      </c>
      <c r="C285">
        <v>5</v>
      </c>
      <c r="D285" t="s">
        <v>49</v>
      </c>
      <c r="E285">
        <v>62</v>
      </c>
      <c r="F285">
        <v>0.56627315782996246</v>
      </c>
      <c r="G285">
        <v>7.1351642719767999E-3</v>
      </c>
      <c r="H285">
        <v>8.8214208042786596E-2</v>
      </c>
      <c r="I285">
        <v>1.13432132377116E-2</v>
      </c>
      <c r="J285">
        <v>399.58981556035269</v>
      </c>
    </row>
    <row r="286" spans="1:10" x14ac:dyDescent="0.35">
      <c r="A286" t="s">
        <v>828</v>
      </c>
      <c r="B286">
        <v>2014</v>
      </c>
      <c r="C286">
        <v>5</v>
      </c>
      <c r="D286" t="s">
        <v>49</v>
      </c>
      <c r="E286">
        <v>63</v>
      </c>
      <c r="F286">
        <v>0.57110342174825512</v>
      </c>
      <c r="G286">
        <v>7.1490083433591997E-3</v>
      </c>
      <c r="H286">
        <v>8.7577767196712702E-2</v>
      </c>
      <c r="I286">
        <v>1.13219497032712E-2</v>
      </c>
      <c r="J286">
        <v>400.64559630194861</v>
      </c>
    </row>
    <row r="287" spans="1:10" x14ac:dyDescent="0.35">
      <c r="A287" t="s">
        <v>828</v>
      </c>
      <c r="B287">
        <v>2014</v>
      </c>
      <c r="C287">
        <v>5</v>
      </c>
      <c r="D287" t="s">
        <v>49</v>
      </c>
      <c r="E287">
        <v>64</v>
      </c>
      <c r="F287">
        <v>0.57578273991910112</v>
      </c>
      <c r="G287">
        <v>7.1624197875108002E-3</v>
      </c>
      <c r="H287">
        <v>8.6961215127078606E-2</v>
      </c>
      <c r="I287">
        <v>1.1301350654281899E-2</v>
      </c>
      <c r="J287">
        <v>401.66838389536957</v>
      </c>
    </row>
    <row r="288" spans="1:10" x14ac:dyDescent="0.35">
      <c r="A288" t="s">
        <v>828</v>
      </c>
      <c r="B288">
        <v>2014</v>
      </c>
      <c r="C288">
        <v>5</v>
      </c>
      <c r="D288" t="s">
        <v>49</v>
      </c>
      <c r="E288">
        <v>65</v>
      </c>
      <c r="F288">
        <v>0.58031807906930566</v>
      </c>
      <c r="G288">
        <v>7.1754185718424001E-3</v>
      </c>
      <c r="H288">
        <v>8.6363633890356298E-2</v>
      </c>
      <c r="I288">
        <v>1.12813854221847E-2</v>
      </c>
      <c r="J288">
        <v>402.65970110130081</v>
      </c>
    </row>
    <row r="289" spans="1:10" x14ac:dyDescent="0.35">
      <c r="A289" t="s">
        <v>828</v>
      </c>
      <c r="B289">
        <v>2014</v>
      </c>
      <c r="C289">
        <v>5</v>
      </c>
      <c r="D289" t="s">
        <v>49</v>
      </c>
      <c r="E289">
        <v>66</v>
      </c>
      <c r="F289">
        <v>0.58761241034057587</v>
      </c>
      <c r="G289">
        <v>7.2265505779662998E-3</v>
      </c>
      <c r="H289">
        <v>8.6331645609329405E-2</v>
      </c>
      <c r="I289">
        <v>1.12914577696105E-2</v>
      </c>
      <c r="J289">
        <v>405.52205642682998</v>
      </c>
    </row>
    <row r="290" spans="1:10" x14ac:dyDescent="0.35">
      <c r="A290" t="s">
        <v>828</v>
      </c>
      <c r="B290">
        <v>2014</v>
      </c>
      <c r="C290">
        <v>5</v>
      </c>
      <c r="D290" t="s">
        <v>49</v>
      </c>
      <c r="E290">
        <v>67</v>
      </c>
      <c r="F290">
        <v>0.59468900037986783</v>
      </c>
      <c r="G290">
        <v>7.2761562555491996E-3</v>
      </c>
      <c r="H290">
        <v>8.6300612202363097E-2</v>
      </c>
      <c r="I290">
        <v>1.13012294499491E-2</v>
      </c>
      <c r="J290">
        <v>408.29896830980618</v>
      </c>
    </row>
    <row r="291" spans="1:10" x14ac:dyDescent="0.35">
      <c r="A291" t="s">
        <v>828</v>
      </c>
      <c r="B291">
        <v>2014</v>
      </c>
      <c r="C291">
        <v>5</v>
      </c>
      <c r="D291" t="s">
        <v>49</v>
      </c>
      <c r="E291">
        <v>68</v>
      </c>
      <c r="F291">
        <v>0.60155745541800409</v>
      </c>
      <c r="G291">
        <v>7.3243029426148997E-3</v>
      </c>
      <c r="H291">
        <v>8.6270491542660394E-2</v>
      </c>
      <c r="I291">
        <v>1.13107137279247E-2</v>
      </c>
      <c r="J291">
        <v>410.9942063138713</v>
      </c>
    </row>
    <row r="292" spans="1:10" x14ac:dyDescent="0.35">
      <c r="A292" t="s">
        <v>828</v>
      </c>
      <c r="B292">
        <v>2014</v>
      </c>
      <c r="C292">
        <v>5</v>
      </c>
      <c r="D292" t="s">
        <v>49</v>
      </c>
      <c r="E292">
        <v>69</v>
      </c>
      <c r="F292">
        <v>0.60822682480286105</v>
      </c>
      <c r="G292">
        <v>7.3710540735337999E-3</v>
      </c>
      <c r="H292">
        <v>8.6241243945557794E-2</v>
      </c>
      <c r="I292">
        <v>1.13199230992925E-2</v>
      </c>
      <c r="J292">
        <v>413.61132147723879</v>
      </c>
    </row>
    <row r="293" spans="1:10" x14ac:dyDescent="0.35">
      <c r="A293" t="s">
        <v>828</v>
      </c>
      <c r="B293">
        <v>2014</v>
      </c>
      <c r="C293">
        <v>5</v>
      </c>
      <c r="D293" t="s">
        <v>49</v>
      </c>
      <c r="E293">
        <v>70</v>
      </c>
      <c r="F293">
        <v>0.61470564077672218</v>
      </c>
      <c r="G293">
        <v>7.4164694578549998E-3</v>
      </c>
      <c r="H293">
        <v>8.6212831994086803E-2</v>
      </c>
      <c r="I293">
        <v>1.13288693457638E-2</v>
      </c>
      <c r="J293">
        <v>416.15366192165288</v>
      </c>
    </row>
    <row r="294" spans="1:10" x14ac:dyDescent="0.35">
      <c r="A294" t="s">
        <v>828</v>
      </c>
      <c r="B294">
        <v>2014</v>
      </c>
      <c r="C294">
        <v>5</v>
      </c>
      <c r="D294" t="s">
        <v>49</v>
      </c>
      <c r="E294">
        <v>71</v>
      </c>
      <c r="F294">
        <v>0.62386340600011736</v>
      </c>
      <c r="G294">
        <v>7.5019249236120003E-3</v>
      </c>
      <c r="H294">
        <v>8.6817141950038201E-2</v>
      </c>
      <c r="I294">
        <v>1.14324012586976E-2</v>
      </c>
      <c r="J294">
        <v>420.78985952014261</v>
      </c>
    </row>
    <row r="295" spans="1:10" x14ac:dyDescent="0.35">
      <c r="A295" t="s">
        <v>828</v>
      </c>
      <c r="B295">
        <v>2014</v>
      </c>
      <c r="C295">
        <v>5</v>
      </c>
      <c r="D295" t="s">
        <v>49</v>
      </c>
      <c r="E295">
        <v>72</v>
      </c>
      <c r="F295">
        <v>0.63276678885619619</v>
      </c>
      <c r="G295">
        <v>7.5850066264313001E-3</v>
      </c>
      <c r="H295">
        <v>8.7404665518324307E-2</v>
      </c>
      <c r="I295">
        <v>1.1533057285161E-2</v>
      </c>
      <c r="J295">
        <v>425.29727385200761</v>
      </c>
    </row>
    <row r="296" spans="1:10" x14ac:dyDescent="0.35">
      <c r="A296" t="s">
        <v>828</v>
      </c>
      <c r="B296">
        <v>2014</v>
      </c>
      <c r="C296">
        <v>5</v>
      </c>
      <c r="D296" t="s">
        <v>49</v>
      </c>
      <c r="E296">
        <v>73</v>
      </c>
      <c r="F296">
        <v>0.64142624341484811</v>
      </c>
      <c r="G296">
        <v>7.6658121182145E-3</v>
      </c>
      <c r="H296">
        <v>8.7976092550492893E-2</v>
      </c>
      <c r="I296">
        <v>1.1630955612269201E-2</v>
      </c>
      <c r="J296">
        <v>429.6811973802599</v>
      </c>
    </row>
    <row r="297" spans="1:10" x14ac:dyDescent="0.35">
      <c r="A297" t="s">
        <v>828</v>
      </c>
      <c r="B297">
        <v>2014</v>
      </c>
      <c r="C297">
        <v>5</v>
      </c>
      <c r="D297" t="s">
        <v>49</v>
      </c>
      <c r="E297">
        <v>74</v>
      </c>
      <c r="F297">
        <v>0.64985165866110395</v>
      </c>
      <c r="G297">
        <v>7.7444336777872996E-3</v>
      </c>
      <c r="H297">
        <v>8.8532075608819205E-2</v>
      </c>
      <c r="I297">
        <v>1.17262080386447E-2</v>
      </c>
      <c r="J297">
        <v>433.9466364888296</v>
      </c>
    </row>
    <row r="298" spans="1:10" x14ac:dyDescent="0.35">
      <c r="A298" t="s">
        <v>828</v>
      </c>
      <c r="B298">
        <v>2014</v>
      </c>
      <c r="C298">
        <v>5</v>
      </c>
      <c r="D298" t="s">
        <v>49</v>
      </c>
      <c r="E298">
        <v>75</v>
      </c>
      <c r="F298">
        <v>0.6580523961674597</v>
      </c>
      <c r="G298">
        <v>7.8209586624381003E-3</v>
      </c>
      <c r="H298">
        <v>8.9073232452256706E-2</v>
      </c>
      <c r="I298">
        <v>1.1818920400316801E-2</v>
      </c>
      <c r="J298">
        <v>438.09833055450412</v>
      </c>
    </row>
    <row r="301" spans="1:10" x14ac:dyDescent="0.35">
      <c r="A301" t="s">
        <v>829</v>
      </c>
    </row>
    <row r="302" spans="1:10" x14ac:dyDescent="0.35">
      <c r="A302" s="641" t="s">
        <v>819</v>
      </c>
      <c r="B302" s="641" t="s">
        <v>173</v>
      </c>
      <c r="C302" s="641" t="s">
        <v>820</v>
      </c>
      <c r="D302" s="641" t="s">
        <v>821</v>
      </c>
      <c r="E302" s="641" t="s">
        <v>830</v>
      </c>
      <c r="F302" s="641" t="s">
        <v>831</v>
      </c>
      <c r="G302" s="641" t="s">
        <v>832</v>
      </c>
      <c r="H302" s="641" t="s">
        <v>833</v>
      </c>
      <c r="I302" s="641" t="s">
        <v>834</v>
      </c>
    </row>
    <row r="303" spans="1:10" x14ac:dyDescent="0.35">
      <c r="A303" t="s">
        <v>828</v>
      </c>
      <c r="B303">
        <v>2014</v>
      </c>
      <c r="C303">
        <v>2</v>
      </c>
      <c r="D303" t="s">
        <v>47</v>
      </c>
      <c r="E303">
        <v>18.515287457044721</v>
      </c>
      <c r="F303">
        <v>6.4683241032776298E-2</v>
      </c>
      <c r="G303">
        <v>2.3800527421734379</v>
      </c>
      <c r="H303">
        <v>0.83676327740042888</v>
      </c>
      <c r="I303">
        <v>5390.1708545123311</v>
      </c>
    </row>
    <row r="304" spans="1:10" x14ac:dyDescent="0.35">
      <c r="A304" t="s">
        <v>828</v>
      </c>
      <c r="B304">
        <v>2014</v>
      </c>
      <c r="C304">
        <v>3</v>
      </c>
      <c r="D304" t="s">
        <v>51</v>
      </c>
      <c r="E304">
        <v>7.6978312964594062</v>
      </c>
      <c r="F304">
        <v>7.4349612591283504E-2</v>
      </c>
      <c r="G304">
        <v>1.4121102779163579</v>
      </c>
      <c r="H304">
        <v>0.32734961259194628</v>
      </c>
      <c r="I304">
        <v>4662.390140749897</v>
      </c>
    </row>
    <row r="305" spans="1:10" x14ac:dyDescent="0.35">
      <c r="A305" t="s">
        <v>828</v>
      </c>
      <c r="B305">
        <v>2014</v>
      </c>
      <c r="C305">
        <v>4</v>
      </c>
      <c r="D305" t="s">
        <v>52</v>
      </c>
      <c r="E305">
        <v>6.2397813355251177</v>
      </c>
      <c r="F305">
        <v>7.4585605068153996E-2</v>
      </c>
      <c r="G305">
        <v>1.2009811892487661</v>
      </c>
      <c r="H305">
        <v>0.25200677343208838</v>
      </c>
      <c r="I305">
        <v>4487.4684606909595</v>
      </c>
    </row>
    <row r="306" spans="1:10" x14ac:dyDescent="0.35">
      <c r="A306" t="s">
        <v>828</v>
      </c>
      <c r="B306">
        <v>2014</v>
      </c>
      <c r="C306">
        <v>5</v>
      </c>
      <c r="D306" t="s">
        <v>49</v>
      </c>
      <c r="E306">
        <v>4.4315019385088332</v>
      </c>
      <c r="F306">
        <v>7.6252056928225204E-2</v>
      </c>
      <c r="G306">
        <v>1.0014641058613101</v>
      </c>
      <c r="H306">
        <v>0.1548827115681167</v>
      </c>
      <c r="I306">
        <v>4334.4935933031284</v>
      </c>
    </row>
    <row r="308" spans="1:10" x14ac:dyDescent="0.35">
      <c r="A308" t="s">
        <v>835</v>
      </c>
    </row>
    <row r="309" spans="1:10" x14ac:dyDescent="0.35">
      <c r="A309" s="643" t="s">
        <v>836</v>
      </c>
      <c r="B309" s="643" t="s">
        <v>837</v>
      </c>
      <c r="C309" s="643" t="s">
        <v>838</v>
      </c>
      <c r="D309" s="643" t="s">
        <v>830</v>
      </c>
      <c r="E309" s="643" t="s">
        <v>832</v>
      </c>
      <c r="F309" s="643" t="s">
        <v>834</v>
      </c>
      <c r="G309" s="641" t="s">
        <v>839</v>
      </c>
    </row>
    <row r="310" spans="1:10" x14ac:dyDescent="0.35">
      <c r="A310" s="644" t="s">
        <v>840</v>
      </c>
      <c r="B310" s="644">
        <v>2014</v>
      </c>
      <c r="C310" s="644" t="s">
        <v>841</v>
      </c>
      <c r="D310" s="644">
        <v>88.545500360000005</v>
      </c>
      <c r="E310" s="644">
        <v>12.56844813</v>
      </c>
      <c r="F310" s="644">
        <v>7833.43</v>
      </c>
      <c r="G310" s="644">
        <v>1.1000000000000001</v>
      </c>
      <c r="I310" s="645" t="s">
        <v>842</v>
      </c>
      <c r="J310" s="646">
        <v>0.3</v>
      </c>
    </row>
    <row r="311" spans="1:10" x14ac:dyDescent="0.35">
      <c r="A311" s="644"/>
      <c r="B311" s="644"/>
      <c r="C311" s="644"/>
      <c r="D311" s="644"/>
      <c r="E311" s="644"/>
      <c r="F311" s="644"/>
      <c r="G311" s="644"/>
      <c r="H311" s="644"/>
    </row>
    <row r="312" spans="1:10" x14ac:dyDescent="0.35">
      <c r="A312" t="s">
        <v>843</v>
      </c>
    </row>
    <row r="313" spans="1:10" x14ac:dyDescent="0.35">
      <c r="A313" s="641" t="s">
        <v>819</v>
      </c>
      <c r="B313" s="641" t="s">
        <v>173</v>
      </c>
      <c r="C313" s="641" t="s">
        <v>844</v>
      </c>
      <c r="D313" s="641" t="s">
        <v>845</v>
      </c>
      <c r="E313" s="641" t="s">
        <v>823</v>
      </c>
      <c r="F313" s="641" t="s">
        <v>824</v>
      </c>
      <c r="G313" s="641" t="s">
        <v>328</v>
      </c>
      <c r="H313" s="641" t="s">
        <v>825</v>
      </c>
      <c r="I313" s="641" t="s">
        <v>826</v>
      </c>
    </row>
    <row r="314" spans="1:10" x14ac:dyDescent="0.35">
      <c r="A314" t="s">
        <v>828</v>
      </c>
      <c r="B314">
        <v>2014</v>
      </c>
      <c r="C314" t="s">
        <v>846</v>
      </c>
      <c r="D314" t="s">
        <v>847</v>
      </c>
      <c r="E314">
        <v>0.3821545304032366</v>
      </c>
      <c r="F314">
        <v>2.5276585260597E-3</v>
      </c>
      <c r="G314">
        <v>0.53697341228625795</v>
      </c>
      <c r="H314">
        <v>4.5454917656601998E-3</v>
      </c>
      <c r="I314">
        <v>114.4004312386249</v>
      </c>
    </row>
    <row r="318" spans="1:10" x14ac:dyDescent="0.35">
      <c r="A318" t="s">
        <v>848</v>
      </c>
    </row>
  </sheetData>
  <sheetProtection algorithmName="SHA-512" hashValue="3YAPIji8t3rm4ikS1fKvWT+VsL4USvKwTdfkIFeCqBeIFJCcdqWjO2begt1pFHAboFImFWRc6FAwjKeRm+z8Gg==" saltValue="HTZeatRh/5+dV1NV3wseKw==" spinCount="100000" sheet="1" objects="1" scenarios="1"/>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742043-6335-4884-8161-71AFBB3852D7}">
  <sheetPr codeName="Sheet19">
    <tabColor theme="9" tint="0.39997558519241921"/>
  </sheetPr>
  <dimension ref="A1:AZ91"/>
  <sheetViews>
    <sheetView topLeftCell="A9" zoomScaleNormal="100" workbookViewId="0">
      <selection activeCell="I16" sqref="I16"/>
    </sheetView>
  </sheetViews>
  <sheetFormatPr defaultColWidth="9.1796875" defaultRowHeight="14.5" x14ac:dyDescent="0.35"/>
  <cols>
    <col min="1" max="2" width="40.81640625" style="42" customWidth="1"/>
    <col min="3" max="16384" width="9.1796875" style="42"/>
  </cols>
  <sheetData>
    <row r="1" spans="1:52" ht="20" thickBot="1" x14ac:dyDescent="0.5">
      <c r="A1" s="316" t="s">
        <v>855</v>
      </c>
    </row>
    <row r="2" spans="1:52" ht="15" thickTop="1" x14ac:dyDescent="0.35">
      <c r="A2" s="317" t="s">
        <v>856</v>
      </c>
      <c r="B2" s="317"/>
      <c r="C2" s="317"/>
      <c r="D2" s="317"/>
      <c r="E2" s="317"/>
      <c r="F2" s="317"/>
      <c r="G2" s="317"/>
    </row>
    <row r="3" spans="1:52" x14ac:dyDescent="0.35">
      <c r="A3" s="317" t="s">
        <v>857</v>
      </c>
      <c r="B3" s="317"/>
      <c r="C3" s="317"/>
    </row>
    <row r="4" spans="1:52" x14ac:dyDescent="0.35">
      <c r="A4" s="317" t="s">
        <v>858</v>
      </c>
      <c r="B4" s="317"/>
      <c r="C4" s="317"/>
      <c r="D4" s="317"/>
      <c r="E4" s="317"/>
      <c r="F4" s="317"/>
    </row>
    <row r="5" spans="1:52" x14ac:dyDescent="0.35">
      <c r="A5" s="42" t="s">
        <v>171</v>
      </c>
    </row>
    <row r="6" spans="1:52" x14ac:dyDescent="0.35">
      <c r="A6" s="317" t="s">
        <v>850</v>
      </c>
      <c r="B6" s="317"/>
    </row>
    <row r="7" spans="1:52" x14ac:dyDescent="0.35">
      <c r="A7" s="42" t="s">
        <v>171</v>
      </c>
    </row>
    <row r="8" spans="1:52" x14ac:dyDescent="0.35">
      <c r="A8" s="537" t="s">
        <v>428</v>
      </c>
      <c r="B8" s="317"/>
      <c r="C8" s="317"/>
      <c r="D8" s="317"/>
      <c r="E8" s="317"/>
      <c r="F8" s="317"/>
      <c r="G8" s="317"/>
      <c r="H8" s="317"/>
      <c r="I8" s="317"/>
      <c r="J8" s="317"/>
      <c r="K8" s="317"/>
    </row>
    <row r="9" spans="1:52" x14ac:dyDescent="0.35">
      <c r="A9" s="363" t="s">
        <v>171</v>
      </c>
    </row>
    <row r="10" spans="1:52" ht="15" thickBot="1" x14ac:dyDescent="0.4">
      <c r="A10" s="318" t="s">
        <v>851</v>
      </c>
    </row>
    <row r="11" spans="1:52" x14ac:dyDescent="0.35">
      <c r="A11" s="650" t="s">
        <v>173</v>
      </c>
      <c r="B11" s="647" t="s">
        <v>855</v>
      </c>
      <c r="C11" s="42" t="s">
        <v>852</v>
      </c>
      <c r="E11" s="347" t="s">
        <v>203</v>
      </c>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c r="AH11" s="348"/>
      <c r="AI11" s="348"/>
      <c r="AJ11" s="348"/>
      <c r="AK11" s="348"/>
      <c r="AL11" s="348"/>
      <c r="AM11" s="348"/>
      <c r="AN11" s="348"/>
      <c r="AO11" s="348"/>
      <c r="AP11" s="348"/>
      <c r="AQ11" s="348"/>
      <c r="AR11" s="348"/>
      <c r="AS11" s="348"/>
      <c r="AT11" s="348"/>
      <c r="AU11" s="348"/>
      <c r="AV11" s="348"/>
      <c r="AW11" s="348"/>
      <c r="AX11" s="348"/>
      <c r="AY11" s="348"/>
      <c r="AZ11" s="349"/>
    </row>
    <row r="12" spans="1:52" x14ac:dyDescent="0.35">
      <c r="A12" s="10">
        <f>'Project Information'!$B$9</f>
        <v>2030</v>
      </c>
      <c r="B12" s="648">
        <v>0</v>
      </c>
      <c r="E12" s="35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s="353"/>
    </row>
    <row r="13" spans="1:52" x14ac:dyDescent="0.35">
      <c r="A13" s="326">
        <f>IF(A12&lt;'Project Information'!B$11,A12+1,"")</f>
        <v>2031</v>
      </c>
      <c r="B13" s="648">
        <v>0</v>
      </c>
      <c r="E13" s="352"/>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s="353"/>
    </row>
    <row r="14" spans="1:52" x14ac:dyDescent="0.35">
      <c r="A14" s="326">
        <f>IF(A13&lt;'Project Information'!B$11,A13+1,"")</f>
        <v>2032</v>
      </c>
      <c r="B14" s="648">
        <v>0</v>
      </c>
      <c r="E14" s="352"/>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s="353"/>
    </row>
    <row r="15" spans="1:52" x14ac:dyDescent="0.35">
      <c r="A15" s="326">
        <f>IF(A14&lt;'Project Information'!B$11,A14+1,"")</f>
        <v>2033</v>
      </c>
      <c r="B15" s="648">
        <v>0</v>
      </c>
      <c r="E15" s="352"/>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s="353"/>
    </row>
    <row r="16" spans="1:52" x14ac:dyDescent="0.35">
      <c r="A16" s="326">
        <f>IF(A15&lt;'Project Information'!B$11,A15+1,"")</f>
        <v>2034</v>
      </c>
      <c r="B16" s="648">
        <v>0</v>
      </c>
      <c r="E16" s="352"/>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s="353"/>
    </row>
    <row r="17" spans="1:52" x14ac:dyDescent="0.35">
      <c r="A17" s="326">
        <f>IF(A16&lt;'Project Information'!B$11,A16+1,"")</f>
        <v>2035</v>
      </c>
      <c r="B17" s="648">
        <v>0</v>
      </c>
      <c r="E17" s="352"/>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s="353"/>
    </row>
    <row r="18" spans="1:52" x14ac:dyDescent="0.35">
      <c r="A18" s="326">
        <f>IF(A17&lt;'Project Information'!B$11,A17+1,"")</f>
        <v>2036</v>
      </c>
      <c r="B18" s="648">
        <v>0</v>
      </c>
      <c r="E18" s="352"/>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s="353"/>
    </row>
    <row r="19" spans="1:52" x14ac:dyDescent="0.35">
      <c r="A19" s="326">
        <f>IF(A18&lt;'Project Information'!B$11,A18+1,"")</f>
        <v>2037</v>
      </c>
      <c r="B19" s="648">
        <v>0</v>
      </c>
      <c r="E19" s="352"/>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s="353"/>
    </row>
    <row r="20" spans="1:52" x14ac:dyDescent="0.35">
      <c r="A20" s="326">
        <f>IF(A19&lt;'Project Information'!B$11,A19+1,"")</f>
        <v>2038</v>
      </c>
      <c r="B20" s="648">
        <v>0</v>
      </c>
      <c r="E20" s="352"/>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s="353"/>
    </row>
    <row r="21" spans="1:52" x14ac:dyDescent="0.35">
      <c r="A21" s="326">
        <f>IF(A20&lt;'Project Information'!B$11,A20+1,"")</f>
        <v>2039</v>
      </c>
      <c r="B21" s="648">
        <v>0</v>
      </c>
      <c r="E21" s="352"/>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s="353"/>
    </row>
    <row r="22" spans="1:52" x14ac:dyDescent="0.35">
      <c r="A22" s="326">
        <f>IF(A21&lt;'Project Information'!B$11,A21+1,"")</f>
        <v>2040</v>
      </c>
      <c r="B22" s="648">
        <v>0</v>
      </c>
      <c r="E22" s="35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s="353"/>
    </row>
    <row r="23" spans="1:52" x14ac:dyDescent="0.35">
      <c r="A23" s="326">
        <f>IF(A22&lt;'Project Information'!B$11,A22+1,"")</f>
        <v>2041</v>
      </c>
      <c r="B23" s="648">
        <v>0</v>
      </c>
      <c r="E23" s="352"/>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s="353"/>
    </row>
    <row r="24" spans="1:52" x14ac:dyDescent="0.35">
      <c r="A24" s="326">
        <f>IF(A23&lt;'Project Information'!B$11,A23+1,"")</f>
        <v>2042</v>
      </c>
      <c r="B24" s="648">
        <v>0</v>
      </c>
      <c r="E24" s="352"/>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s="353"/>
    </row>
    <row r="25" spans="1:52" x14ac:dyDescent="0.35">
      <c r="A25" s="326">
        <f>IF(A24&lt;'Project Information'!B$11,A24+1,"")</f>
        <v>2043</v>
      </c>
      <c r="B25" s="648">
        <v>0</v>
      </c>
      <c r="E25" s="352"/>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s="353"/>
    </row>
    <row r="26" spans="1:52" x14ac:dyDescent="0.35">
      <c r="A26" s="326">
        <f>IF(A25&lt;'Project Information'!B$11,A25+1,"")</f>
        <v>2044</v>
      </c>
      <c r="B26" s="648">
        <v>0</v>
      </c>
      <c r="E26" s="352"/>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s="353"/>
    </row>
    <row r="27" spans="1:52" x14ac:dyDescent="0.35">
      <c r="A27" s="326">
        <f>IF(A26&lt;'Project Information'!B$11,A26+1,"")</f>
        <v>2045</v>
      </c>
      <c r="B27" s="648">
        <v>0</v>
      </c>
      <c r="E27" s="352"/>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s="353"/>
    </row>
    <row r="28" spans="1:52" x14ac:dyDescent="0.35">
      <c r="A28" s="326">
        <f>IF(A27&lt;'Project Information'!B$11,A27+1,"")</f>
        <v>2046</v>
      </c>
      <c r="B28" s="648">
        <v>0</v>
      </c>
      <c r="E28" s="352"/>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s="353"/>
    </row>
    <row r="29" spans="1:52" x14ac:dyDescent="0.35">
      <c r="A29" s="326">
        <f>IF(A28&lt;'Project Information'!B$11,A28+1,"")</f>
        <v>2047</v>
      </c>
      <c r="B29" s="648">
        <v>0</v>
      </c>
      <c r="E29" s="352"/>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s="353"/>
    </row>
    <row r="30" spans="1:52" x14ac:dyDescent="0.35">
      <c r="A30" s="326">
        <f>IF(A29&lt;'Project Information'!B$11,A29+1,"")</f>
        <v>2048</v>
      </c>
      <c r="B30" s="648">
        <v>0</v>
      </c>
      <c r="E30" s="352"/>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s="353"/>
    </row>
    <row r="31" spans="1:52" x14ac:dyDescent="0.35">
      <c r="A31" s="326">
        <f>IF(A30&lt;'Project Information'!B$11,A30+1,"")</f>
        <v>2049</v>
      </c>
      <c r="B31" s="648">
        <v>0</v>
      </c>
      <c r="E31" s="352"/>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s="353"/>
    </row>
    <row r="32" spans="1:52" x14ac:dyDescent="0.35">
      <c r="A32" s="326">
        <f>IF(A31&lt;'Project Information'!B$11,A31+1,"")</f>
        <v>2050</v>
      </c>
      <c r="B32" s="648">
        <v>0</v>
      </c>
      <c r="E32" s="35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s="353"/>
    </row>
    <row r="33" spans="1:52" x14ac:dyDescent="0.35">
      <c r="A33" s="326">
        <f>IF(A32&lt;'Project Information'!B$11,A32+1,"")</f>
        <v>2051</v>
      </c>
      <c r="B33" s="648">
        <v>0</v>
      </c>
      <c r="E33" s="352"/>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s="353"/>
    </row>
    <row r="34" spans="1:52" x14ac:dyDescent="0.35">
      <c r="A34" s="326">
        <f>IF(A33&lt;'Project Information'!B$11,A33+1,"")</f>
        <v>2052</v>
      </c>
      <c r="B34" s="648">
        <v>0</v>
      </c>
      <c r="E34" s="352"/>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s="353"/>
    </row>
    <row r="35" spans="1:52" x14ac:dyDescent="0.35">
      <c r="A35" s="326">
        <f>IF(A34&lt;'Project Information'!B$11,A34+1,"")</f>
        <v>2053</v>
      </c>
      <c r="B35" s="648">
        <v>0</v>
      </c>
      <c r="E35" s="352"/>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s="353"/>
    </row>
    <row r="36" spans="1:52" x14ac:dyDescent="0.35">
      <c r="A36" s="326">
        <f>IF(A35&lt;'Project Information'!B$11,A35+1,"")</f>
        <v>2054</v>
      </c>
      <c r="B36" s="648">
        <v>0</v>
      </c>
      <c r="E36" s="352"/>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s="353"/>
    </row>
    <row r="37" spans="1:52" x14ac:dyDescent="0.35">
      <c r="A37" s="326" t="str">
        <f>IF(A36&lt;'Project Information'!B$11,A36+1,"")</f>
        <v/>
      </c>
      <c r="B37" s="648">
        <v>0</v>
      </c>
      <c r="E37" s="352"/>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s="353"/>
    </row>
    <row r="38" spans="1:52" x14ac:dyDescent="0.35">
      <c r="A38" s="326" t="str">
        <f>IF(A37&lt;'Project Information'!B$11,A37+1,"")</f>
        <v/>
      </c>
      <c r="B38" s="648">
        <v>0</v>
      </c>
      <c r="E38" s="352"/>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s="353"/>
    </row>
    <row r="39" spans="1:52" x14ac:dyDescent="0.35">
      <c r="A39" s="326" t="str">
        <f>IF(A38&lt;'Project Information'!B$11,A38+1,"")</f>
        <v/>
      </c>
      <c r="B39" s="648">
        <v>0</v>
      </c>
      <c r="E39" s="352"/>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s="353"/>
    </row>
    <row r="40" spans="1:52" x14ac:dyDescent="0.35">
      <c r="A40" s="326" t="str">
        <f>IF(A39&lt;'Project Information'!B$11,A39+1,"")</f>
        <v/>
      </c>
      <c r="B40" s="648">
        <v>0</v>
      </c>
      <c r="E40" s="352"/>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s="353"/>
    </row>
    <row r="41" spans="1:52" x14ac:dyDescent="0.35">
      <c r="A41" s="12" t="str">
        <f>IF(A40&lt;'Project Information'!B$11,A40+1,"")</f>
        <v/>
      </c>
      <c r="B41" s="649">
        <v>0</v>
      </c>
      <c r="E41" s="352"/>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s="353"/>
    </row>
    <row r="42" spans="1:52" x14ac:dyDescent="0.35">
      <c r="E42" s="35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s="353"/>
    </row>
    <row r="43" spans="1:52" x14ac:dyDescent="0.35">
      <c r="E43" s="352"/>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s="353"/>
    </row>
    <row r="44" spans="1:52" x14ac:dyDescent="0.35">
      <c r="E44" s="352"/>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s="353"/>
    </row>
    <row r="45" spans="1:52" x14ac:dyDescent="0.35">
      <c r="E45" s="352"/>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s="353"/>
    </row>
    <row r="46" spans="1:52" x14ac:dyDescent="0.35">
      <c r="E46" s="352"/>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s="353"/>
    </row>
    <row r="47" spans="1:52" x14ac:dyDescent="0.35">
      <c r="E47" s="352"/>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s="353"/>
    </row>
    <row r="48" spans="1:52" x14ac:dyDescent="0.35">
      <c r="E48" s="352"/>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s="353"/>
    </row>
    <row r="49" spans="5:52" x14ac:dyDescent="0.35">
      <c r="E49" s="352"/>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s="353"/>
    </row>
    <row r="50" spans="5:52" x14ac:dyDescent="0.35">
      <c r="E50" s="352"/>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s="353"/>
    </row>
    <row r="51" spans="5:52" x14ac:dyDescent="0.35">
      <c r="E51" s="352"/>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s="353"/>
    </row>
    <row r="52" spans="5:52" x14ac:dyDescent="0.35">
      <c r="E52" s="3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s="353"/>
    </row>
    <row r="53" spans="5:52" x14ac:dyDescent="0.35">
      <c r="E53" s="352"/>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s="353"/>
    </row>
    <row r="54" spans="5:52" x14ac:dyDescent="0.35">
      <c r="E54" s="352"/>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s="353"/>
    </row>
    <row r="55" spans="5:52" x14ac:dyDescent="0.35">
      <c r="E55" s="352"/>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s="353"/>
    </row>
    <row r="56" spans="5:52" x14ac:dyDescent="0.35">
      <c r="E56" s="352"/>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s="353"/>
    </row>
    <row r="57" spans="5:52" x14ac:dyDescent="0.35">
      <c r="E57" s="352"/>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s="353"/>
    </row>
    <row r="58" spans="5:52" x14ac:dyDescent="0.35">
      <c r="E58" s="352"/>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s="353"/>
    </row>
    <row r="59" spans="5:52" x14ac:dyDescent="0.35">
      <c r="E59" s="352"/>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s="353"/>
    </row>
    <row r="60" spans="5:52" x14ac:dyDescent="0.35">
      <c r="E60" s="352"/>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s="353"/>
    </row>
    <row r="61" spans="5:52" x14ac:dyDescent="0.35">
      <c r="E61" s="352"/>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s="353"/>
    </row>
    <row r="62" spans="5:52" x14ac:dyDescent="0.35">
      <c r="E62" s="35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s="353"/>
    </row>
    <row r="63" spans="5:52" x14ac:dyDescent="0.35">
      <c r="E63" s="352"/>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s="353"/>
    </row>
    <row r="64" spans="5:52" x14ac:dyDescent="0.35">
      <c r="E64" s="352"/>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s="353"/>
    </row>
    <row r="65" spans="5:52" x14ac:dyDescent="0.35">
      <c r="E65" s="352"/>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s="353"/>
    </row>
    <row r="66" spans="5:52" x14ac:dyDescent="0.35">
      <c r="E66" s="352"/>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s="353"/>
    </row>
    <row r="67" spans="5:52" x14ac:dyDescent="0.35">
      <c r="E67" s="352"/>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s="353"/>
    </row>
    <row r="68" spans="5:52" x14ac:dyDescent="0.35">
      <c r="E68" s="352"/>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s="353"/>
    </row>
    <row r="69" spans="5:52" x14ac:dyDescent="0.35">
      <c r="E69" s="352"/>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s="353"/>
    </row>
    <row r="70" spans="5:52" x14ac:dyDescent="0.35">
      <c r="E70" s="352"/>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s="353"/>
    </row>
    <row r="71" spans="5:52" x14ac:dyDescent="0.35">
      <c r="E71" s="352"/>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s="353"/>
    </row>
    <row r="72" spans="5:52" x14ac:dyDescent="0.35">
      <c r="E72" s="35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s="353"/>
    </row>
    <row r="73" spans="5:52" x14ac:dyDescent="0.35">
      <c r="E73" s="352"/>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s="353"/>
    </row>
    <row r="74" spans="5:52" x14ac:dyDescent="0.35">
      <c r="E74" s="352"/>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s="353"/>
    </row>
    <row r="75" spans="5:52" x14ac:dyDescent="0.35">
      <c r="E75" s="352"/>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s="353"/>
    </row>
    <row r="76" spans="5:52" x14ac:dyDescent="0.35">
      <c r="E76" s="352"/>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s="353"/>
    </row>
    <row r="77" spans="5:52" x14ac:dyDescent="0.35">
      <c r="E77" s="352"/>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s="353"/>
    </row>
    <row r="78" spans="5:52" x14ac:dyDescent="0.35">
      <c r="E78" s="352"/>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s="353"/>
    </row>
    <row r="79" spans="5:52" x14ac:dyDescent="0.35">
      <c r="E79" s="352"/>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s="353"/>
    </row>
    <row r="80" spans="5:52" x14ac:dyDescent="0.35">
      <c r="E80" s="352"/>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s="353"/>
    </row>
    <row r="81" spans="5:52" x14ac:dyDescent="0.35">
      <c r="E81" s="352"/>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s="353"/>
    </row>
    <row r="82" spans="5:52" x14ac:dyDescent="0.35">
      <c r="E82" s="35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s="353"/>
    </row>
    <row r="83" spans="5:52" x14ac:dyDescent="0.35">
      <c r="E83" s="352"/>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s="353"/>
    </row>
    <row r="84" spans="5:52" x14ac:dyDescent="0.35">
      <c r="E84" s="352"/>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s="353"/>
    </row>
    <row r="85" spans="5:52" x14ac:dyDescent="0.35">
      <c r="E85" s="352"/>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s="353"/>
    </row>
    <row r="86" spans="5:52" x14ac:dyDescent="0.35">
      <c r="E86" s="352"/>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s="353"/>
    </row>
    <row r="87" spans="5:52" x14ac:dyDescent="0.35">
      <c r="E87" s="352"/>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s="353"/>
    </row>
    <row r="88" spans="5:52" x14ac:dyDescent="0.35">
      <c r="E88" s="352"/>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s="353"/>
    </row>
    <row r="89" spans="5:52" x14ac:dyDescent="0.35">
      <c r="E89" s="352"/>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s="353"/>
    </row>
    <row r="90" spans="5:52" x14ac:dyDescent="0.35">
      <c r="E90" s="352"/>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s="353"/>
    </row>
    <row r="91" spans="5:52" ht="15" thickBot="1" x14ac:dyDescent="0.4">
      <c r="E91" s="446"/>
      <c r="F91" s="382"/>
      <c r="G91" s="382"/>
      <c r="H91" s="382"/>
      <c r="I91" s="382"/>
      <c r="J91" s="382"/>
      <c r="K91" s="382"/>
      <c r="L91" s="382"/>
      <c r="M91" s="382"/>
      <c r="N91" s="382"/>
      <c r="O91" s="382"/>
      <c r="P91" s="382"/>
      <c r="Q91" s="382"/>
      <c r="R91" s="382"/>
      <c r="S91" s="382"/>
      <c r="T91" s="382"/>
      <c r="U91" s="382"/>
      <c r="V91" s="382"/>
      <c r="W91" s="382"/>
      <c r="X91" s="382"/>
      <c r="Y91" s="382"/>
      <c r="Z91" s="382"/>
      <c r="AA91" s="382"/>
      <c r="AB91" s="382"/>
      <c r="AC91" s="382"/>
      <c r="AD91" s="382"/>
      <c r="AE91" s="382"/>
      <c r="AF91" s="382"/>
      <c r="AG91" s="382"/>
      <c r="AH91" s="382"/>
      <c r="AI91" s="382"/>
      <c r="AJ91" s="382"/>
      <c r="AK91" s="382"/>
      <c r="AL91" s="382"/>
      <c r="AM91" s="382"/>
      <c r="AN91" s="382"/>
      <c r="AO91" s="382"/>
      <c r="AP91" s="382"/>
      <c r="AQ91" s="382"/>
      <c r="AR91" s="382"/>
      <c r="AS91" s="382"/>
      <c r="AT91" s="382"/>
      <c r="AU91" s="382"/>
      <c r="AV91" s="382"/>
      <c r="AW91" s="382"/>
      <c r="AX91" s="382"/>
      <c r="AY91" s="382"/>
      <c r="AZ91" s="383"/>
    </row>
  </sheetData>
  <sheetProtection algorithmName="SHA-512" hashValue="nLa1ncO+cTZe1HJ3a7IrlU0tBPnjALe55OqvjfwbpAotQ3MPyoOYd2MXgiBoeqJ/ZscJlNJbvI3ts3rOo1xAGA==" saltValue="Sz9Ou/SYr9o/XImLVLfb5A==" spinCount="100000" sheet="1" objects="1" scenarios="1"/>
  <conditionalFormatting sqref="B12:B41">
    <cfRule type="expression" dxfId="4" priority="1">
      <formula>A12=""</formula>
    </cfRule>
  </conditionalFormatting>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746C1-70F1-46E9-BB6A-00BAC145FDD0}">
  <sheetPr codeName="Sheet18">
    <tabColor theme="9" tint="0.39997558519241921"/>
  </sheetPr>
  <dimension ref="A1:AZ87"/>
  <sheetViews>
    <sheetView workbookViewId="0">
      <selection activeCell="I16" sqref="I16"/>
    </sheetView>
  </sheetViews>
  <sheetFormatPr defaultColWidth="9.1796875" defaultRowHeight="14.5" x14ac:dyDescent="0.35"/>
  <cols>
    <col min="1" max="1" width="28" style="42" customWidth="1"/>
    <col min="2" max="2" width="40.81640625" style="42" customWidth="1"/>
    <col min="3" max="16384" width="9.1796875" style="42"/>
  </cols>
  <sheetData>
    <row r="1" spans="1:52" ht="20" thickBot="1" x14ac:dyDescent="0.5">
      <c r="A1" s="316" t="s">
        <v>854</v>
      </c>
    </row>
    <row r="2" spans="1:52" ht="15" thickTop="1" x14ac:dyDescent="0.35">
      <c r="A2" s="317" t="s">
        <v>850</v>
      </c>
      <c r="B2" s="317"/>
      <c r="C2" s="317"/>
    </row>
    <row r="3" spans="1:52" x14ac:dyDescent="0.35">
      <c r="A3" s="42" t="s">
        <v>171</v>
      </c>
    </row>
    <row r="4" spans="1:52" x14ac:dyDescent="0.35">
      <c r="A4" s="537" t="s">
        <v>428</v>
      </c>
      <c r="B4" s="317"/>
      <c r="C4" s="317"/>
      <c r="D4" s="317"/>
      <c r="E4" s="317"/>
      <c r="F4" s="317"/>
      <c r="G4" s="317"/>
      <c r="H4" s="317"/>
      <c r="I4" s="317"/>
      <c r="J4" s="317"/>
      <c r="K4" s="317"/>
      <c r="L4" s="317"/>
    </row>
    <row r="5" spans="1:52" x14ac:dyDescent="0.35">
      <c r="A5" s="42" t="s">
        <v>171</v>
      </c>
    </row>
    <row r="6" spans="1:52" ht="15" thickBot="1" x14ac:dyDescent="0.4">
      <c r="A6" s="318" t="s">
        <v>851</v>
      </c>
    </row>
    <row r="7" spans="1:52" x14ac:dyDescent="0.35">
      <c r="A7" s="321" t="s">
        <v>173</v>
      </c>
      <c r="B7" s="647" t="s">
        <v>854</v>
      </c>
      <c r="C7" s="42" t="s">
        <v>852</v>
      </c>
      <c r="E7" s="347" t="s">
        <v>203</v>
      </c>
      <c r="F7" s="348"/>
      <c r="G7" s="348"/>
      <c r="H7" s="348"/>
      <c r="I7" s="348"/>
      <c r="J7" s="348"/>
      <c r="K7" s="348"/>
      <c r="L7" s="348"/>
      <c r="M7" s="348"/>
      <c r="N7" s="348"/>
      <c r="O7" s="348"/>
      <c r="P7" s="348"/>
      <c r="Q7" s="348"/>
      <c r="R7" s="348"/>
      <c r="S7" s="348"/>
      <c r="T7" s="348"/>
      <c r="U7" s="348"/>
      <c r="V7" s="348"/>
      <c r="W7" s="348"/>
      <c r="X7" s="348"/>
      <c r="Y7" s="348"/>
      <c r="Z7" s="348"/>
      <c r="AA7" s="348"/>
      <c r="AB7" s="348"/>
      <c r="AC7" s="348"/>
      <c r="AD7" s="348"/>
      <c r="AE7" s="348"/>
      <c r="AF7" s="348"/>
      <c r="AG7" s="348"/>
      <c r="AH7" s="348"/>
      <c r="AI7" s="348"/>
      <c r="AJ7" s="348"/>
      <c r="AK7" s="348"/>
      <c r="AL7" s="348"/>
      <c r="AM7" s="348"/>
      <c r="AN7" s="348"/>
      <c r="AO7" s="348"/>
      <c r="AP7" s="348"/>
      <c r="AQ7" s="348"/>
      <c r="AR7" s="348"/>
      <c r="AS7" s="348"/>
      <c r="AT7" s="348"/>
      <c r="AU7" s="348"/>
      <c r="AV7" s="348"/>
      <c r="AW7" s="348"/>
      <c r="AX7" s="348"/>
      <c r="AY7" s="348"/>
      <c r="AZ7" s="349"/>
    </row>
    <row r="8" spans="1:52" x14ac:dyDescent="0.35">
      <c r="A8" s="10">
        <f>'Project Information'!$B$9</f>
        <v>2030</v>
      </c>
      <c r="B8" s="648">
        <v>0</v>
      </c>
      <c r="E8" s="352"/>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s="353"/>
    </row>
    <row r="9" spans="1:52" x14ac:dyDescent="0.35">
      <c r="A9" s="326">
        <f>IF(A8&lt;'Project Information'!B$11,A8+1,"")</f>
        <v>2031</v>
      </c>
      <c r="B9" s="648">
        <v>0</v>
      </c>
      <c r="E9" s="352"/>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s="353"/>
    </row>
    <row r="10" spans="1:52" x14ac:dyDescent="0.35">
      <c r="A10" s="326">
        <f>IF(A9&lt;'Project Information'!B$11,A9+1,"")</f>
        <v>2032</v>
      </c>
      <c r="B10" s="648">
        <v>0</v>
      </c>
      <c r="E10" s="352"/>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s="353"/>
    </row>
    <row r="11" spans="1:52" x14ac:dyDescent="0.35">
      <c r="A11" s="326">
        <f>IF(A10&lt;'Project Information'!B$11,A10+1,"")</f>
        <v>2033</v>
      </c>
      <c r="B11" s="648">
        <v>0</v>
      </c>
      <c r="E11" s="352"/>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s="353"/>
    </row>
    <row r="12" spans="1:52" x14ac:dyDescent="0.35">
      <c r="A12" s="326">
        <f>IF(A11&lt;'Project Information'!B$11,A11+1,"")</f>
        <v>2034</v>
      </c>
      <c r="B12" s="648">
        <v>0</v>
      </c>
      <c r="E12" s="35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s="353"/>
    </row>
    <row r="13" spans="1:52" x14ac:dyDescent="0.35">
      <c r="A13" s="326">
        <f>IF(A12&lt;'Project Information'!B$11,A12+1,"")</f>
        <v>2035</v>
      </c>
      <c r="B13" s="648">
        <v>0</v>
      </c>
      <c r="E13" s="352"/>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s="353"/>
    </row>
    <row r="14" spans="1:52" x14ac:dyDescent="0.35">
      <c r="A14" s="326">
        <f>IF(A13&lt;'Project Information'!B$11,A13+1,"")</f>
        <v>2036</v>
      </c>
      <c r="B14" s="648">
        <v>0</v>
      </c>
      <c r="E14" s="352"/>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s="353"/>
    </row>
    <row r="15" spans="1:52" x14ac:dyDescent="0.35">
      <c r="A15" s="326">
        <f>IF(A14&lt;'Project Information'!B$11,A14+1,"")</f>
        <v>2037</v>
      </c>
      <c r="B15" s="648">
        <v>0</v>
      </c>
      <c r="E15" s="352"/>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s="353"/>
    </row>
    <row r="16" spans="1:52" x14ac:dyDescent="0.35">
      <c r="A16" s="326">
        <f>IF(A15&lt;'Project Information'!B$11,A15+1,"")</f>
        <v>2038</v>
      </c>
      <c r="B16" s="648">
        <v>0</v>
      </c>
      <c r="E16" s="352"/>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s="353"/>
    </row>
    <row r="17" spans="1:52" x14ac:dyDescent="0.35">
      <c r="A17" s="326">
        <f>IF(A16&lt;'Project Information'!B$11,A16+1,"")</f>
        <v>2039</v>
      </c>
      <c r="B17" s="648">
        <v>0</v>
      </c>
      <c r="E17" s="352"/>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s="353"/>
    </row>
    <row r="18" spans="1:52" x14ac:dyDescent="0.35">
      <c r="A18" s="326">
        <f>IF(A17&lt;'Project Information'!B$11,A17+1,"")</f>
        <v>2040</v>
      </c>
      <c r="B18" s="648">
        <v>0</v>
      </c>
      <c r="E18" s="352"/>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s="353"/>
    </row>
    <row r="19" spans="1:52" x14ac:dyDescent="0.35">
      <c r="A19" s="326">
        <f>IF(A18&lt;'Project Information'!B$11,A18+1,"")</f>
        <v>2041</v>
      </c>
      <c r="B19" s="648">
        <v>0</v>
      </c>
      <c r="E19" s="352"/>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s="353"/>
    </row>
    <row r="20" spans="1:52" x14ac:dyDescent="0.35">
      <c r="A20" s="326">
        <f>IF(A19&lt;'Project Information'!B$11,A19+1,"")</f>
        <v>2042</v>
      </c>
      <c r="B20" s="648">
        <v>0</v>
      </c>
      <c r="E20" s="352"/>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s="353"/>
    </row>
    <row r="21" spans="1:52" x14ac:dyDescent="0.35">
      <c r="A21" s="326">
        <f>IF(A20&lt;'Project Information'!B$11,A20+1,"")</f>
        <v>2043</v>
      </c>
      <c r="B21" s="648">
        <v>0</v>
      </c>
      <c r="E21" s="352"/>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s="353"/>
    </row>
    <row r="22" spans="1:52" x14ac:dyDescent="0.35">
      <c r="A22" s="326">
        <f>IF(A21&lt;'Project Information'!B$11,A21+1,"")</f>
        <v>2044</v>
      </c>
      <c r="B22" s="648">
        <v>0</v>
      </c>
      <c r="E22" s="35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s="353"/>
    </row>
    <row r="23" spans="1:52" x14ac:dyDescent="0.35">
      <c r="A23" s="326">
        <f>IF(A22&lt;'Project Information'!B$11,A22+1,"")</f>
        <v>2045</v>
      </c>
      <c r="B23" s="648">
        <v>0</v>
      </c>
      <c r="E23" s="352"/>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s="353"/>
    </row>
    <row r="24" spans="1:52" x14ac:dyDescent="0.35">
      <c r="A24" s="326">
        <f>IF(A23&lt;'Project Information'!B$11,A23+1,"")</f>
        <v>2046</v>
      </c>
      <c r="B24" s="648">
        <v>0</v>
      </c>
      <c r="E24" s="352"/>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s="353"/>
    </row>
    <row r="25" spans="1:52" x14ac:dyDescent="0.35">
      <c r="A25" s="326">
        <f>IF(A24&lt;'Project Information'!B$11,A24+1,"")</f>
        <v>2047</v>
      </c>
      <c r="B25" s="648">
        <v>0</v>
      </c>
      <c r="E25" s="352"/>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s="353"/>
    </row>
    <row r="26" spans="1:52" x14ac:dyDescent="0.35">
      <c r="A26" s="326">
        <f>IF(A25&lt;'Project Information'!B$11,A25+1,"")</f>
        <v>2048</v>
      </c>
      <c r="B26" s="648">
        <v>0</v>
      </c>
      <c r="E26" s="352"/>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s="353"/>
    </row>
    <row r="27" spans="1:52" x14ac:dyDescent="0.35">
      <c r="A27" s="326">
        <f>IF(A26&lt;'Project Information'!B$11,A26+1,"")</f>
        <v>2049</v>
      </c>
      <c r="B27" s="648">
        <v>0</v>
      </c>
      <c r="E27" s="352"/>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s="353"/>
    </row>
    <row r="28" spans="1:52" x14ac:dyDescent="0.35">
      <c r="A28" s="326">
        <f>IF(A27&lt;'Project Information'!B$11,A27+1,"")</f>
        <v>2050</v>
      </c>
      <c r="B28" s="648">
        <v>0</v>
      </c>
      <c r="E28" s="352"/>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s="353"/>
    </row>
    <row r="29" spans="1:52" x14ac:dyDescent="0.35">
      <c r="A29" s="326">
        <f>IF(A28&lt;'Project Information'!B$11,A28+1,"")</f>
        <v>2051</v>
      </c>
      <c r="B29" s="648">
        <v>0</v>
      </c>
      <c r="E29" s="352"/>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s="353"/>
    </row>
    <row r="30" spans="1:52" x14ac:dyDescent="0.35">
      <c r="A30" s="326">
        <f>IF(A29&lt;'Project Information'!B$11,A29+1,"")</f>
        <v>2052</v>
      </c>
      <c r="B30" s="648">
        <v>0</v>
      </c>
      <c r="E30" s="352"/>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s="353"/>
    </row>
    <row r="31" spans="1:52" x14ac:dyDescent="0.35">
      <c r="A31" s="326">
        <f>IF(A30&lt;'Project Information'!B$11,A30+1,"")</f>
        <v>2053</v>
      </c>
      <c r="B31" s="648">
        <v>0</v>
      </c>
      <c r="E31" s="352"/>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s="353"/>
    </row>
    <row r="32" spans="1:52" x14ac:dyDescent="0.35">
      <c r="A32" s="326">
        <f>IF(A31&lt;'Project Information'!B$11,A31+1,"")</f>
        <v>2054</v>
      </c>
      <c r="B32" s="648">
        <v>0</v>
      </c>
      <c r="E32" s="35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s="353"/>
    </row>
    <row r="33" spans="1:52" x14ac:dyDescent="0.35">
      <c r="A33" s="326" t="str">
        <f>IF(A32&lt;'Project Information'!B$11,A32+1,"")</f>
        <v/>
      </c>
      <c r="B33" s="648">
        <v>0</v>
      </c>
      <c r="E33" s="352"/>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s="353"/>
    </row>
    <row r="34" spans="1:52" x14ac:dyDescent="0.35">
      <c r="A34" s="326" t="str">
        <f>IF(A33&lt;'Project Information'!B$11,A33+1,"")</f>
        <v/>
      </c>
      <c r="B34" s="648">
        <v>0</v>
      </c>
      <c r="E34" s="352"/>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s="353"/>
    </row>
    <row r="35" spans="1:52" x14ac:dyDescent="0.35">
      <c r="A35" s="326" t="str">
        <f>IF(A34&lt;'Project Information'!B$11,A34+1,"")</f>
        <v/>
      </c>
      <c r="B35" s="648">
        <v>0</v>
      </c>
      <c r="E35" s="352"/>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s="353"/>
    </row>
    <row r="36" spans="1:52" x14ac:dyDescent="0.35">
      <c r="A36" s="326" t="str">
        <f>IF(A35&lt;'Project Information'!B$11,A35+1,"")</f>
        <v/>
      </c>
      <c r="B36" s="648">
        <v>0</v>
      </c>
      <c r="E36" s="352"/>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s="353"/>
    </row>
    <row r="37" spans="1:52" x14ac:dyDescent="0.35">
      <c r="A37" s="12" t="str">
        <f>IF(A36&lt;'Project Information'!B$11,A36+1,"")</f>
        <v/>
      </c>
      <c r="B37" s="649">
        <v>0</v>
      </c>
      <c r="E37" s="352"/>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s="353"/>
    </row>
    <row r="38" spans="1:52" x14ac:dyDescent="0.35">
      <c r="E38" s="352"/>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s="353"/>
    </row>
    <row r="39" spans="1:52" x14ac:dyDescent="0.35">
      <c r="E39" s="352"/>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s="353"/>
    </row>
    <row r="40" spans="1:52" x14ac:dyDescent="0.35">
      <c r="E40" s="352"/>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s="353"/>
    </row>
    <row r="41" spans="1:52" x14ac:dyDescent="0.35">
      <c r="E41" s="352"/>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s="353"/>
    </row>
    <row r="42" spans="1:52" x14ac:dyDescent="0.35">
      <c r="E42" s="35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s="353"/>
    </row>
    <row r="43" spans="1:52" x14ac:dyDescent="0.35">
      <c r="E43" s="352"/>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s="353"/>
    </row>
    <row r="44" spans="1:52" x14ac:dyDescent="0.35">
      <c r="E44" s="352"/>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s="353"/>
    </row>
    <row r="45" spans="1:52" x14ac:dyDescent="0.35">
      <c r="E45" s="352"/>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s="353"/>
    </row>
    <row r="46" spans="1:52" x14ac:dyDescent="0.35">
      <c r="E46" s="352"/>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s="353"/>
    </row>
    <row r="47" spans="1:52" x14ac:dyDescent="0.35">
      <c r="E47" s="352"/>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s="353"/>
    </row>
    <row r="48" spans="1:52" x14ac:dyDescent="0.35">
      <c r="E48" s="352"/>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s="353"/>
    </row>
    <row r="49" spans="5:52" x14ac:dyDescent="0.35">
      <c r="E49" s="352"/>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s="353"/>
    </row>
    <row r="50" spans="5:52" x14ac:dyDescent="0.35">
      <c r="E50" s="352"/>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s="353"/>
    </row>
    <row r="51" spans="5:52" x14ac:dyDescent="0.35">
      <c r="E51" s="352"/>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s="353"/>
    </row>
    <row r="52" spans="5:52" x14ac:dyDescent="0.35">
      <c r="E52" s="3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s="353"/>
    </row>
    <row r="53" spans="5:52" x14ac:dyDescent="0.35">
      <c r="E53" s="352"/>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s="353"/>
    </row>
    <row r="54" spans="5:52" x14ac:dyDescent="0.35">
      <c r="E54" s="352"/>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s="353"/>
    </row>
    <row r="55" spans="5:52" x14ac:dyDescent="0.35">
      <c r="E55" s="352"/>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s="353"/>
    </row>
    <row r="56" spans="5:52" x14ac:dyDescent="0.35">
      <c r="E56" s="352"/>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s="353"/>
    </row>
    <row r="57" spans="5:52" x14ac:dyDescent="0.35">
      <c r="E57" s="352"/>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s="353"/>
    </row>
    <row r="58" spans="5:52" x14ac:dyDescent="0.35">
      <c r="E58" s="352"/>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s="353"/>
    </row>
    <row r="59" spans="5:52" x14ac:dyDescent="0.35">
      <c r="E59" s="352"/>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s="353"/>
    </row>
    <row r="60" spans="5:52" x14ac:dyDescent="0.35">
      <c r="E60" s="352"/>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s="353"/>
    </row>
    <row r="61" spans="5:52" x14ac:dyDescent="0.35">
      <c r="E61" s="352"/>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s="353"/>
    </row>
    <row r="62" spans="5:52" x14ac:dyDescent="0.35">
      <c r="E62" s="35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s="353"/>
    </row>
    <row r="63" spans="5:52" x14ac:dyDescent="0.35">
      <c r="E63" s="352"/>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s="353"/>
    </row>
    <row r="64" spans="5:52" x14ac:dyDescent="0.35">
      <c r="E64" s="352"/>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s="353"/>
    </row>
    <row r="65" spans="5:52" x14ac:dyDescent="0.35">
      <c r="E65" s="352"/>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s="353"/>
    </row>
    <row r="66" spans="5:52" x14ac:dyDescent="0.35">
      <c r="E66" s="352"/>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s="353"/>
    </row>
    <row r="67" spans="5:52" x14ac:dyDescent="0.35">
      <c r="E67" s="352"/>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s="353"/>
    </row>
    <row r="68" spans="5:52" x14ac:dyDescent="0.35">
      <c r="E68" s="352"/>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s="353"/>
    </row>
    <row r="69" spans="5:52" x14ac:dyDescent="0.35">
      <c r="E69" s="352"/>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s="353"/>
    </row>
    <row r="70" spans="5:52" x14ac:dyDescent="0.35">
      <c r="E70" s="352"/>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s="353"/>
    </row>
    <row r="71" spans="5:52" x14ac:dyDescent="0.35">
      <c r="E71" s="352"/>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s="353"/>
    </row>
    <row r="72" spans="5:52" x14ac:dyDescent="0.35">
      <c r="E72" s="35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s="353"/>
    </row>
    <row r="73" spans="5:52" x14ac:dyDescent="0.35">
      <c r="E73" s="352"/>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s="353"/>
    </row>
    <row r="74" spans="5:52" x14ac:dyDescent="0.35">
      <c r="E74" s="352"/>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s="353"/>
    </row>
    <row r="75" spans="5:52" x14ac:dyDescent="0.35">
      <c r="E75" s="352"/>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s="353"/>
    </row>
    <row r="76" spans="5:52" x14ac:dyDescent="0.35">
      <c r="E76" s="352"/>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s="353"/>
    </row>
    <row r="77" spans="5:52" x14ac:dyDescent="0.35">
      <c r="E77" s="352"/>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s="353"/>
    </row>
    <row r="78" spans="5:52" x14ac:dyDescent="0.35">
      <c r="E78" s="352"/>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s="353"/>
    </row>
    <row r="79" spans="5:52" x14ac:dyDescent="0.35">
      <c r="E79" s="352"/>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s="353"/>
    </row>
    <row r="80" spans="5:52" x14ac:dyDescent="0.35">
      <c r="E80" s="352"/>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s="353"/>
    </row>
    <row r="81" spans="5:52" x14ac:dyDescent="0.35">
      <c r="E81" s="352"/>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s="353"/>
    </row>
    <row r="82" spans="5:52" x14ac:dyDescent="0.35">
      <c r="E82" s="35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s="353"/>
    </row>
    <row r="83" spans="5:52" x14ac:dyDescent="0.35">
      <c r="E83" s="352"/>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s="353"/>
    </row>
    <row r="84" spans="5:52" x14ac:dyDescent="0.35">
      <c r="E84" s="352"/>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s="353"/>
    </row>
    <row r="85" spans="5:52" x14ac:dyDescent="0.35">
      <c r="E85" s="352"/>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s="353"/>
    </row>
    <row r="86" spans="5:52" x14ac:dyDescent="0.35">
      <c r="E86" s="352"/>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s="353"/>
    </row>
    <row r="87" spans="5:52" ht="15" thickBot="1" x14ac:dyDescent="0.4">
      <c r="E87" s="446"/>
      <c r="F87" s="382"/>
      <c r="G87" s="382"/>
      <c r="H87" s="382"/>
      <c r="I87" s="382"/>
      <c r="J87" s="382"/>
      <c r="K87" s="382"/>
      <c r="L87" s="382"/>
      <c r="M87" s="382"/>
      <c r="N87" s="382"/>
      <c r="O87" s="382"/>
      <c r="P87" s="382"/>
      <c r="Q87" s="382"/>
      <c r="R87" s="382"/>
      <c r="S87" s="382"/>
      <c r="T87" s="382"/>
      <c r="U87" s="382"/>
      <c r="V87" s="382"/>
      <c r="W87" s="382"/>
      <c r="X87" s="382"/>
      <c r="Y87" s="382"/>
      <c r="Z87" s="382"/>
      <c r="AA87" s="382"/>
      <c r="AB87" s="382"/>
      <c r="AC87" s="382"/>
      <c r="AD87" s="382"/>
      <c r="AE87" s="382"/>
      <c r="AF87" s="382"/>
      <c r="AG87" s="382"/>
      <c r="AH87" s="382"/>
      <c r="AI87" s="382"/>
      <c r="AJ87" s="382"/>
      <c r="AK87" s="382"/>
      <c r="AL87" s="382"/>
      <c r="AM87" s="382"/>
      <c r="AN87" s="382"/>
      <c r="AO87" s="382"/>
      <c r="AP87" s="382"/>
      <c r="AQ87" s="382"/>
      <c r="AR87" s="382"/>
      <c r="AS87" s="382"/>
      <c r="AT87" s="382"/>
      <c r="AU87" s="382"/>
      <c r="AV87" s="382"/>
      <c r="AW87" s="382"/>
      <c r="AX87" s="382"/>
      <c r="AY87" s="382"/>
      <c r="AZ87" s="383"/>
    </row>
  </sheetData>
  <sheetProtection algorithmName="SHA-512" hashValue="tSYqUqxEFu+mQanZ9UvLUcD9deDiJtR5VWEFLip5r0aV6PT8Lo+W9LHRIQ3vyzHjZ45FGlCo2yYxMnIIYLHuQw==" saltValue="SYAn7KqvTbmN6s4PyVo3dQ==" spinCount="100000" sheet="1" objects="1" scenarios="1"/>
  <conditionalFormatting sqref="B8:B37">
    <cfRule type="expression" dxfId="3" priority="1">
      <formula>A8=""</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D1A67-2655-414C-99A2-DB244A3F991D}">
  <sheetPr codeName="Sheet17">
    <tabColor theme="9" tint="0.39997558519241921"/>
  </sheetPr>
  <dimension ref="A1:AZ87"/>
  <sheetViews>
    <sheetView workbookViewId="0">
      <selection activeCell="I16" sqref="I16"/>
    </sheetView>
  </sheetViews>
  <sheetFormatPr defaultColWidth="9.1796875" defaultRowHeight="14.5" x14ac:dyDescent="0.35"/>
  <cols>
    <col min="1" max="1" width="32.81640625" style="42" customWidth="1"/>
    <col min="2" max="2" width="40.81640625" style="42" customWidth="1"/>
    <col min="3" max="16384" width="9.1796875" style="42"/>
  </cols>
  <sheetData>
    <row r="1" spans="1:52" ht="20" thickBot="1" x14ac:dyDescent="0.5">
      <c r="A1" s="316" t="s">
        <v>853</v>
      </c>
    </row>
    <row r="2" spans="1:52" ht="15" thickTop="1" x14ac:dyDescent="0.35">
      <c r="A2" s="317" t="s">
        <v>850</v>
      </c>
      <c r="B2" s="317"/>
      <c r="C2" s="317"/>
    </row>
    <row r="3" spans="1:52" x14ac:dyDescent="0.35">
      <c r="A3" s="42" t="s">
        <v>171</v>
      </c>
    </row>
    <row r="4" spans="1:52" x14ac:dyDescent="0.35">
      <c r="A4" s="537" t="s">
        <v>428</v>
      </c>
      <c r="B4" s="317"/>
      <c r="C4" s="317"/>
      <c r="D4" s="317"/>
      <c r="E4" s="317"/>
      <c r="F4" s="317"/>
      <c r="G4" s="317"/>
      <c r="H4" s="317"/>
      <c r="I4" s="317"/>
      <c r="J4" s="317"/>
      <c r="K4" s="317"/>
      <c r="L4" s="317"/>
    </row>
    <row r="5" spans="1:52" x14ac:dyDescent="0.35">
      <c r="A5" s="42" t="s">
        <v>171</v>
      </c>
    </row>
    <row r="6" spans="1:52" ht="15" thickBot="1" x14ac:dyDescent="0.4">
      <c r="A6" s="318" t="s">
        <v>851</v>
      </c>
    </row>
    <row r="7" spans="1:52" x14ac:dyDescent="0.35">
      <c r="A7" s="321" t="s">
        <v>173</v>
      </c>
      <c r="B7" s="647" t="s">
        <v>853</v>
      </c>
      <c r="C7" s="42" t="s">
        <v>852</v>
      </c>
      <c r="E7" s="347" t="s">
        <v>203</v>
      </c>
      <c r="F7" s="348"/>
      <c r="G7" s="348"/>
      <c r="H7" s="348"/>
      <c r="I7" s="348"/>
      <c r="J7" s="348"/>
      <c r="K7" s="348"/>
      <c r="L7" s="348"/>
      <c r="M7" s="348"/>
      <c r="N7" s="348"/>
      <c r="O7" s="348"/>
      <c r="P7" s="348"/>
      <c r="Q7" s="348"/>
      <c r="R7" s="348"/>
      <c r="S7" s="348"/>
      <c r="T7" s="348"/>
      <c r="U7" s="348"/>
      <c r="V7" s="348"/>
      <c r="W7" s="348"/>
      <c r="X7" s="348"/>
      <c r="Y7" s="348"/>
      <c r="Z7" s="348"/>
      <c r="AA7" s="348"/>
      <c r="AB7" s="348"/>
      <c r="AC7" s="348"/>
      <c r="AD7" s="348"/>
      <c r="AE7" s="348"/>
      <c r="AF7" s="348"/>
      <c r="AG7" s="348"/>
      <c r="AH7" s="348"/>
      <c r="AI7" s="348"/>
      <c r="AJ7" s="348"/>
      <c r="AK7" s="348"/>
      <c r="AL7" s="348"/>
      <c r="AM7" s="348"/>
      <c r="AN7" s="348"/>
      <c r="AO7" s="348"/>
      <c r="AP7" s="348"/>
      <c r="AQ7" s="348"/>
      <c r="AR7" s="348"/>
      <c r="AS7" s="348"/>
      <c r="AT7" s="348"/>
      <c r="AU7" s="348"/>
      <c r="AV7" s="348"/>
      <c r="AW7" s="348"/>
      <c r="AX7" s="348"/>
      <c r="AY7" s="348"/>
      <c r="AZ7" s="349"/>
    </row>
    <row r="8" spans="1:52" x14ac:dyDescent="0.35">
      <c r="A8" s="10">
        <f>'Project Information'!$B$9</f>
        <v>2030</v>
      </c>
      <c r="B8" s="648">
        <v>0</v>
      </c>
      <c r="E8" s="352"/>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s="353"/>
    </row>
    <row r="9" spans="1:52" x14ac:dyDescent="0.35">
      <c r="A9" s="326">
        <f>IF(A8&lt;'Project Information'!B$11,A8+1,"")</f>
        <v>2031</v>
      </c>
      <c r="B9" s="648">
        <v>0</v>
      </c>
      <c r="E9" s="352"/>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s="353"/>
    </row>
    <row r="10" spans="1:52" x14ac:dyDescent="0.35">
      <c r="A10" s="326">
        <f>IF(A9&lt;'Project Information'!B$11,A9+1,"")</f>
        <v>2032</v>
      </c>
      <c r="B10" s="648">
        <v>0</v>
      </c>
      <c r="E10" s="352"/>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s="353"/>
    </row>
    <row r="11" spans="1:52" x14ac:dyDescent="0.35">
      <c r="A11" s="326">
        <f>IF(A10&lt;'Project Information'!B$11,A10+1,"")</f>
        <v>2033</v>
      </c>
      <c r="B11" s="648">
        <v>0</v>
      </c>
      <c r="E11" s="352"/>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s="353"/>
    </row>
    <row r="12" spans="1:52" x14ac:dyDescent="0.35">
      <c r="A12" s="326">
        <f>IF(A11&lt;'Project Information'!B$11,A11+1,"")</f>
        <v>2034</v>
      </c>
      <c r="B12" s="648">
        <v>0</v>
      </c>
      <c r="E12" s="35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s="353"/>
    </row>
    <row r="13" spans="1:52" x14ac:dyDescent="0.35">
      <c r="A13" s="326">
        <f>IF(A12&lt;'Project Information'!B$11,A12+1,"")</f>
        <v>2035</v>
      </c>
      <c r="B13" s="648">
        <v>0</v>
      </c>
      <c r="E13" s="352"/>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s="353"/>
    </row>
    <row r="14" spans="1:52" x14ac:dyDescent="0.35">
      <c r="A14" s="326">
        <f>IF(A13&lt;'Project Information'!B$11,A13+1,"")</f>
        <v>2036</v>
      </c>
      <c r="B14" s="648">
        <v>0</v>
      </c>
      <c r="E14" s="352"/>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s="353"/>
    </row>
    <row r="15" spans="1:52" x14ac:dyDescent="0.35">
      <c r="A15" s="326">
        <f>IF(A14&lt;'Project Information'!B$11,A14+1,"")</f>
        <v>2037</v>
      </c>
      <c r="B15" s="648">
        <v>0</v>
      </c>
      <c r="E15" s="352"/>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s="353"/>
    </row>
    <row r="16" spans="1:52" x14ac:dyDescent="0.35">
      <c r="A16" s="326">
        <f>IF(A15&lt;'Project Information'!B$11,A15+1,"")</f>
        <v>2038</v>
      </c>
      <c r="B16" s="648">
        <v>0</v>
      </c>
      <c r="E16" s="352"/>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s="353"/>
    </row>
    <row r="17" spans="1:52" x14ac:dyDescent="0.35">
      <c r="A17" s="326">
        <f>IF(A16&lt;'Project Information'!B$11,A16+1,"")</f>
        <v>2039</v>
      </c>
      <c r="B17" s="648">
        <v>0</v>
      </c>
      <c r="E17" s="352"/>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s="353"/>
    </row>
    <row r="18" spans="1:52" x14ac:dyDescent="0.35">
      <c r="A18" s="326">
        <f>IF(A17&lt;'Project Information'!B$11,A17+1,"")</f>
        <v>2040</v>
      </c>
      <c r="B18" s="648">
        <v>0</v>
      </c>
      <c r="E18" s="352"/>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s="353"/>
    </row>
    <row r="19" spans="1:52" x14ac:dyDescent="0.35">
      <c r="A19" s="326">
        <f>IF(A18&lt;'Project Information'!B$11,A18+1,"")</f>
        <v>2041</v>
      </c>
      <c r="B19" s="648">
        <v>0</v>
      </c>
      <c r="E19" s="352"/>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s="353"/>
    </row>
    <row r="20" spans="1:52" x14ac:dyDescent="0.35">
      <c r="A20" s="326">
        <f>IF(A19&lt;'Project Information'!B$11,A19+1,"")</f>
        <v>2042</v>
      </c>
      <c r="B20" s="648">
        <v>0</v>
      </c>
      <c r="E20" s="352"/>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s="353"/>
    </row>
    <row r="21" spans="1:52" x14ac:dyDescent="0.35">
      <c r="A21" s="326">
        <f>IF(A20&lt;'Project Information'!B$11,A20+1,"")</f>
        <v>2043</v>
      </c>
      <c r="B21" s="648">
        <v>0</v>
      </c>
      <c r="E21" s="352"/>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s="353"/>
    </row>
    <row r="22" spans="1:52" x14ac:dyDescent="0.35">
      <c r="A22" s="326">
        <f>IF(A21&lt;'Project Information'!B$11,A21+1,"")</f>
        <v>2044</v>
      </c>
      <c r="B22" s="648">
        <v>0</v>
      </c>
      <c r="E22" s="35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s="353"/>
    </row>
    <row r="23" spans="1:52" x14ac:dyDescent="0.35">
      <c r="A23" s="326">
        <f>IF(A22&lt;'Project Information'!B$11,A22+1,"")</f>
        <v>2045</v>
      </c>
      <c r="B23" s="648">
        <v>0</v>
      </c>
      <c r="E23" s="352"/>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s="353"/>
    </row>
    <row r="24" spans="1:52" x14ac:dyDescent="0.35">
      <c r="A24" s="326">
        <f>IF(A23&lt;'Project Information'!B$11,A23+1,"")</f>
        <v>2046</v>
      </c>
      <c r="B24" s="648">
        <v>0</v>
      </c>
      <c r="E24" s="352"/>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s="353"/>
    </row>
    <row r="25" spans="1:52" x14ac:dyDescent="0.35">
      <c r="A25" s="326">
        <f>IF(A24&lt;'Project Information'!B$11,A24+1,"")</f>
        <v>2047</v>
      </c>
      <c r="B25" s="648">
        <v>0</v>
      </c>
      <c r="E25" s="352"/>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s="353"/>
    </row>
    <row r="26" spans="1:52" x14ac:dyDescent="0.35">
      <c r="A26" s="326">
        <f>IF(A25&lt;'Project Information'!B$11,A25+1,"")</f>
        <v>2048</v>
      </c>
      <c r="B26" s="648">
        <v>0</v>
      </c>
      <c r="E26" s="352"/>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s="353"/>
    </row>
    <row r="27" spans="1:52" x14ac:dyDescent="0.35">
      <c r="A27" s="326">
        <f>IF(A26&lt;'Project Information'!B$11,A26+1,"")</f>
        <v>2049</v>
      </c>
      <c r="B27" s="648">
        <v>0</v>
      </c>
      <c r="E27" s="352"/>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s="353"/>
    </row>
    <row r="28" spans="1:52" x14ac:dyDescent="0.35">
      <c r="A28" s="326">
        <f>IF(A27&lt;'Project Information'!B$11,A27+1,"")</f>
        <v>2050</v>
      </c>
      <c r="B28" s="648">
        <v>0</v>
      </c>
      <c r="E28" s="352"/>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s="353"/>
    </row>
    <row r="29" spans="1:52" x14ac:dyDescent="0.35">
      <c r="A29" s="326">
        <f>IF(A28&lt;'Project Information'!B$11,A28+1,"")</f>
        <v>2051</v>
      </c>
      <c r="B29" s="648">
        <v>0</v>
      </c>
      <c r="E29" s="352"/>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s="353"/>
    </row>
    <row r="30" spans="1:52" x14ac:dyDescent="0.35">
      <c r="A30" s="326">
        <f>IF(A29&lt;'Project Information'!B$11,A29+1,"")</f>
        <v>2052</v>
      </c>
      <c r="B30" s="648">
        <v>0</v>
      </c>
      <c r="E30" s="352"/>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s="353"/>
    </row>
    <row r="31" spans="1:52" x14ac:dyDescent="0.35">
      <c r="A31" s="326">
        <f>IF(A30&lt;'Project Information'!B$11,A30+1,"")</f>
        <v>2053</v>
      </c>
      <c r="B31" s="648">
        <v>0</v>
      </c>
      <c r="E31" s="352"/>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s="353"/>
    </row>
    <row r="32" spans="1:52" x14ac:dyDescent="0.35">
      <c r="A32" s="326">
        <f>IF(A31&lt;'Project Information'!B$11,A31+1,"")</f>
        <v>2054</v>
      </c>
      <c r="B32" s="648">
        <v>0</v>
      </c>
      <c r="E32" s="35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s="353"/>
    </row>
    <row r="33" spans="1:52" x14ac:dyDescent="0.35">
      <c r="A33" s="326" t="str">
        <f>IF(A32&lt;'Project Information'!B$11,A32+1,"")</f>
        <v/>
      </c>
      <c r="B33" s="648">
        <v>0</v>
      </c>
      <c r="E33" s="352"/>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s="353"/>
    </row>
    <row r="34" spans="1:52" x14ac:dyDescent="0.35">
      <c r="A34" s="326" t="str">
        <f>IF(A33&lt;'Project Information'!B$11,A33+1,"")</f>
        <v/>
      </c>
      <c r="B34" s="648">
        <v>0</v>
      </c>
      <c r="E34" s="352"/>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s="353"/>
    </row>
    <row r="35" spans="1:52" x14ac:dyDescent="0.35">
      <c r="A35" s="326" t="str">
        <f>IF(A34&lt;'Project Information'!B$11,A34+1,"")</f>
        <v/>
      </c>
      <c r="B35" s="648">
        <v>0</v>
      </c>
      <c r="E35" s="352"/>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s="353"/>
    </row>
    <row r="36" spans="1:52" x14ac:dyDescent="0.35">
      <c r="A36" s="326" t="str">
        <f>IF(A35&lt;'Project Information'!B$11,A35+1,"")</f>
        <v/>
      </c>
      <c r="B36" s="648">
        <v>0</v>
      </c>
      <c r="E36" s="352"/>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s="353"/>
    </row>
    <row r="37" spans="1:52" x14ac:dyDescent="0.35">
      <c r="A37" s="12" t="str">
        <f>IF(A36&lt;'Project Information'!B$11,A36+1,"")</f>
        <v/>
      </c>
      <c r="B37" s="649">
        <v>0</v>
      </c>
      <c r="E37" s="352"/>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s="353"/>
    </row>
    <row r="38" spans="1:52" x14ac:dyDescent="0.35">
      <c r="E38" s="352"/>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s="353"/>
    </row>
    <row r="39" spans="1:52" x14ac:dyDescent="0.35">
      <c r="E39" s="352"/>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s="353"/>
    </row>
    <row r="40" spans="1:52" x14ac:dyDescent="0.35">
      <c r="E40" s="352"/>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s="353"/>
    </row>
    <row r="41" spans="1:52" x14ac:dyDescent="0.35">
      <c r="E41" s="352"/>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s="353"/>
    </row>
    <row r="42" spans="1:52" x14ac:dyDescent="0.35">
      <c r="E42" s="35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s="353"/>
    </row>
    <row r="43" spans="1:52" x14ac:dyDescent="0.35">
      <c r="E43" s="352"/>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s="353"/>
    </row>
    <row r="44" spans="1:52" x14ac:dyDescent="0.35">
      <c r="E44" s="352"/>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s="353"/>
    </row>
    <row r="45" spans="1:52" x14ac:dyDescent="0.35">
      <c r="E45" s="352"/>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s="353"/>
    </row>
    <row r="46" spans="1:52" x14ac:dyDescent="0.35">
      <c r="E46" s="352"/>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s="353"/>
    </row>
    <row r="47" spans="1:52" x14ac:dyDescent="0.35">
      <c r="E47" s="352"/>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s="353"/>
    </row>
    <row r="48" spans="1:52" x14ac:dyDescent="0.35">
      <c r="E48" s="352"/>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s="353"/>
    </row>
    <row r="49" spans="5:52" x14ac:dyDescent="0.35">
      <c r="E49" s="352"/>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s="353"/>
    </row>
    <row r="50" spans="5:52" x14ac:dyDescent="0.35">
      <c r="E50" s="352"/>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s="353"/>
    </row>
    <row r="51" spans="5:52" x14ac:dyDescent="0.35">
      <c r="E51" s="352"/>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s="353"/>
    </row>
    <row r="52" spans="5:52" x14ac:dyDescent="0.35">
      <c r="E52" s="3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s="353"/>
    </row>
    <row r="53" spans="5:52" x14ac:dyDescent="0.35">
      <c r="E53" s="352"/>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s="353"/>
    </row>
    <row r="54" spans="5:52" x14ac:dyDescent="0.35">
      <c r="E54" s="352"/>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s="353"/>
    </row>
    <row r="55" spans="5:52" x14ac:dyDescent="0.35">
      <c r="E55" s="352"/>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s="353"/>
    </row>
    <row r="56" spans="5:52" x14ac:dyDescent="0.35">
      <c r="E56" s="352"/>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s="353"/>
    </row>
    <row r="57" spans="5:52" x14ac:dyDescent="0.35">
      <c r="E57" s="352"/>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s="353"/>
    </row>
    <row r="58" spans="5:52" x14ac:dyDescent="0.35">
      <c r="E58" s="352"/>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s="353"/>
    </row>
    <row r="59" spans="5:52" x14ac:dyDescent="0.35">
      <c r="E59" s="352"/>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s="353"/>
    </row>
    <row r="60" spans="5:52" x14ac:dyDescent="0.35">
      <c r="E60" s="352"/>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s="353"/>
    </row>
    <row r="61" spans="5:52" x14ac:dyDescent="0.35">
      <c r="E61" s="352"/>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s="353"/>
    </row>
    <row r="62" spans="5:52" x14ac:dyDescent="0.35">
      <c r="E62" s="35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s="353"/>
    </row>
    <row r="63" spans="5:52" x14ac:dyDescent="0.35">
      <c r="E63" s="352"/>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s="353"/>
    </row>
    <row r="64" spans="5:52" x14ac:dyDescent="0.35">
      <c r="E64" s="352"/>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s="353"/>
    </row>
    <row r="65" spans="5:52" x14ac:dyDescent="0.35">
      <c r="E65" s="352"/>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s="353"/>
    </row>
    <row r="66" spans="5:52" x14ac:dyDescent="0.35">
      <c r="E66" s="352"/>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s="353"/>
    </row>
    <row r="67" spans="5:52" x14ac:dyDescent="0.35">
      <c r="E67" s="352"/>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s="353"/>
    </row>
    <row r="68" spans="5:52" x14ac:dyDescent="0.35">
      <c r="E68" s="352"/>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s="353"/>
    </row>
    <row r="69" spans="5:52" x14ac:dyDescent="0.35">
      <c r="E69" s="352"/>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s="353"/>
    </row>
    <row r="70" spans="5:52" x14ac:dyDescent="0.35">
      <c r="E70" s="352"/>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s="353"/>
    </row>
    <row r="71" spans="5:52" x14ac:dyDescent="0.35">
      <c r="E71" s="352"/>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s="353"/>
    </row>
    <row r="72" spans="5:52" x14ac:dyDescent="0.35">
      <c r="E72" s="35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s="353"/>
    </row>
    <row r="73" spans="5:52" x14ac:dyDescent="0.35">
      <c r="E73" s="352"/>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s="353"/>
    </row>
    <row r="74" spans="5:52" x14ac:dyDescent="0.35">
      <c r="E74" s="352"/>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s="353"/>
    </row>
    <row r="75" spans="5:52" x14ac:dyDescent="0.35">
      <c r="E75" s="352"/>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s="353"/>
    </row>
    <row r="76" spans="5:52" x14ac:dyDescent="0.35">
      <c r="E76" s="352"/>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s="353"/>
    </row>
    <row r="77" spans="5:52" x14ac:dyDescent="0.35">
      <c r="E77" s="352"/>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s="353"/>
    </row>
    <row r="78" spans="5:52" x14ac:dyDescent="0.35">
      <c r="E78" s="352"/>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s="353"/>
    </row>
    <row r="79" spans="5:52" x14ac:dyDescent="0.35">
      <c r="E79" s="352"/>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s="353"/>
    </row>
    <row r="80" spans="5:52" x14ac:dyDescent="0.35">
      <c r="E80" s="352"/>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s="353"/>
    </row>
    <row r="81" spans="5:52" x14ac:dyDescent="0.35">
      <c r="E81" s="352"/>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s="353"/>
    </row>
    <row r="82" spans="5:52" x14ac:dyDescent="0.35">
      <c r="E82" s="35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s="353"/>
    </row>
    <row r="83" spans="5:52" x14ac:dyDescent="0.35">
      <c r="E83" s="352"/>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s="353"/>
    </row>
    <row r="84" spans="5:52" x14ac:dyDescent="0.35">
      <c r="E84" s="352"/>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s="353"/>
    </row>
    <row r="85" spans="5:52" x14ac:dyDescent="0.35">
      <c r="E85" s="352"/>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s="353"/>
    </row>
    <row r="86" spans="5:52" x14ac:dyDescent="0.35">
      <c r="E86" s="352"/>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s="353"/>
    </row>
    <row r="87" spans="5:52" ht="15" thickBot="1" x14ac:dyDescent="0.4">
      <c r="E87" s="446"/>
      <c r="F87" s="382"/>
      <c r="G87" s="382"/>
      <c r="H87" s="382"/>
      <c r="I87" s="382"/>
      <c r="J87" s="382"/>
      <c r="K87" s="382"/>
      <c r="L87" s="382"/>
      <c r="M87" s="382"/>
      <c r="N87" s="382"/>
      <c r="O87" s="382"/>
      <c r="P87" s="382"/>
      <c r="Q87" s="382"/>
      <c r="R87" s="382"/>
      <c r="S87" s="382"/>
      <c r="T87" s="382"/>
      <c r="U87" s="382"/>
      <c r="V87" s="382"/>
      <c r="W87" s="382"/>
      <c r="X87" s="382"/>
      <c r="Y87" s="382"/>
      <c r="Z87" s="382"/>
      <c r="AA87" s="382"/>
      <c r="AB87" s="382"/>
      <c r="AC87" s="382"/>
      <c r="AD87" s="382"/>
      <c r="AE87" s="382"/>
      <c r="AF87" s="382"/>
      <c r="AG87" s="382"/>
      <c r="AH87" s="382"/>
      <c r="AI87" s="382"/>
      <c r="AJ87" s="382"/>
      <c r="AK87" s="382"/>
      <c r="AL87" s="382"/>
      <c r="AM87" s="382"/>
      <c r="AN87" s="382"/>
      <c r="AO87" s="382"/>
      <c r="AP87" s="382"/>
      <c r="AQ87" s="382"/>
      <c r="AR87" s="382"/>
      <c r="AS87" s="382"/>
      <c r="AT87" s="382"/>
      <c r="AU87" s="382"/>
      <c r="AV87" s="382"/>
      <c r="AW87" s="382"/>
      <c r="AX87" s="382"/>
      <c r="AY87" s="382"/>
      <c r="AZ87" s="383"/>
    </row>
  </sheetData>
  <sheetProtection algorithmName="SHA-512" hashValue="K1UzMgAQSSjvi1s6Q8LVu3/X444wBFvGzyf5tj+gFOsANpjU4ZaM0lHFSwI11ys40IAjH18TiVmP77ZWVEvOFQ==" saltValue="fsgGK6KlfTybXBTgGKDF0w==" spinCount="100000" sheet="1" objects="1" scenarios="1"/>
  <conditionalFormatting sqref="B8:B37">
    <cfRule type="expression" dxfId="2" priority="1">
      <formula>A8=""</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72007-0750-48FD-973E-4980DF545403}">
  <sheetPr codeName="Sheet16">
    <tabColor theme="9" tint="0.39997558519241921"/>
  </sheetPr>
  <dimension ref="A1:AZ87"/>
  <sheetViews>
    <sheetView workbookViewId="0">
      <selection activeCell="I16" sqref="I16"/>
    </sheetView>
  </sheetViews>
  <sheetFormatPr defaultColWidth="9.1796875" defaultRowHeight="14.5" x14ac:dyDescent="0.35"/>
  <cols>
    <col min="1" max="1" width="26.1796875" style="42" customWidth="1"/>
    <col min="2" max="2" width="40.81640625" style="42" customWidth="1"/>
    <col min="3" max="16384" width="9.1796875" style="42"/>
  </cols>
  <sheetData>
    <row r="1" spans="1:52" ht="20" thickBot="1" x14ac:dyDescent="0.5">
      <c r="A1" s="316" t="s">
        <v>849</v>
      </c>
    </row>
    <row r="2" spans="1:52" ht="15" thickTop="1" x14ac:dyDescent="0.35">
      <c r="A2" s="317" t="s">
        <v>850</v>
      </c>
      <c r="B2" s="317"/>
      <c r="C2" s="317"/>
      <c r="D2" s="317"/>
    </row>
    <row r="3" spans="1:52" x14ac:dyDescent="0.35">
      <c r="A3" s="42" t="s">
        <v>171</v>
      </c>
    </row>
    <row r="4" spans="1:52" x14ac:dyDescent="0.35">
      <c r="A4" s="537" t="s">
        <v>428</v>
      </c>
      <c r="B4" s="317"/>
      <c r="C4" s="317"/>
      <c r="D4" s="317"/>
      <c r="E4" s="317"/>
      <c r="F4" s="317"/>
      <c r="G4" s="317"/>
      <c r="H4" s="317"/>
      <c r="I4" s="317"/>
      <c r="J4" s="317"/>
      <c r="K4" s="317"/>
      <c r="L4" s="317"/>
      <c r="M4" s="317"/>
    </row>
    <row r="5" spans="1:52" x14ac:dyDescent="0.35">
      <c r="A5" s="42" t="s">
        <v>171</v>
      </c>
    </row>
    <row r="6" spans="1:52" ht="15" thickBot="1" x14ac:dyDescent="0.4">
      <c r="A6" s="318" t="s">
        <v>851</v>
      </c>
    </row>
    <row r="7" spans="1:52" x14ac:dyDescent="0.35">
      <c r="A7" s="321" t="s">
        <v>173</v>
      </c>
      <c r="B7" s="647" t="s">
        <v>849</v>
      </c>
      <c r="C7" s="42" t="s">
        <v>852</v>
      </c>
      <c r="E7" s="347" t="s">
        <v>203</v>
      </c>
      <c r="F7" s="348"/>
      <c r="G7" s="348"/>
      <c r="H7" s="348"/>
      <c r="I7" s="348"/>
      <c r="J7" s="348"/>
      <c r="K7" s="348"/>
      <c r="L7" s="348"/>
      <c r="M7" s="348"/>
      <c r="N7" s="348"/>
      <c r="O7" s="348"/>
      <c r="P7" s="348"/>
      <c r="Q7" s="348"/>
      <c r="R7" s="348"/>
      <c r="S7" s="348"/>
      <c r="T7" s="348"/>
      <c r="U7" s="348"/>
      <c r="V7" s="348"/>
      <c r="W7" s="348"/>
      <c r="X7" s="348"/>
      <c r="Y7" s="348"/>
      <c r="Z7" s="348"/>
      <c r="AA7" s="348"/>
      <c r="AB7" s="348"/>
      <c r="AC7" s="348"/>
      <c r="AD7" s="348"/>
      <c r="AE7" s="348"/>
      <c r="AF7" s="348"/>
      <c r="AG7" s="348"/>
      <c r="AH7" s="348"/>
      <c r="AI7" s="348"/>
      <c r="AJ7" s="348"/>
      <c r="AK7" s="348"/>
      <c r="AL7" s="348"/>
      <c r="AM7" s="348"/>
      <c r="AN7" s="348"/>
      <c r="AO7" s="348"/>
      <c r="AP7" s="348"/>
      <c r="AQ7" s="348"/>
      <c r="AR7" s="348"/>
      <c r="AS7" s="348"/>
      <c r="AT7" s="348"/>
      <c r="AU7" s="348"/>
      <c r="AV7" s="348"/>
      <c r="AW7" s="348"/>
      <c r="AX7" s="348"/>
      <c r="AY7" s="348"/>
      <c r="AZ7" s="349"/>
    </row>
    <row r="8" spans="1:52" x14ac:dyDescent="0.35">
      <c r="A8" s="10">
        <f>'Project Information'!$B$9</f>
        <v>2030</v>
      </c>
      <c r="B8" s="648">
        <v>0</v>
      </c>
      <c r="E8" s="352"/>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s="353"/>
    </row>
    <row r="9" spans="1:52" x14ac:dyDescent="0.35">
      <c r="A9" s="326">
        <f>IF(A8&lt;'Project Information'!B$11,A8+1,"")</f>
        <v>2031</v>
      </c>
      <c r="B9" s="648">
        <v>0</v>
      </c>
      <c r="E9" s="352"/>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s="353"/>
    </row>
    <row r="10" spans="1:52" x14ac:dyDescent="0.35">
      <c r="A10" s="326">
        <f>IF(A9&lt;'Project Information'!B$11,A9+1,"")</f>
        <v>2032</v>
      </c>
      <c r="B10" s="648">
        <v>0</v>
      </c>
      <c r="E10" s="352"/>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s="353"/>
    </row>
    <row r="11" spans="1:52" x14ac:dyDescent="0.35">
      <c r="A11" s="326">
        <f>IF(A10&lt;'Project Information'!B$11,A10+1,"")</f>
        <v>2033</v>
      </c>
      <c r="B11" s="648">
        <v>0</v>
      </c>
      <c r="E11" s="352"/>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s="353"/>
    </row>
    <row r="12" spans="1:52" x14ac:dyDescent="0.35">
      <c r="A12" s="326">
        <f>IF(A11&lt;'Project Information'!B$11,A11+1,"")</f>
        <v>2034</v>
      </c>
      <c r="B12" s="648">
        <v>0</v>
      </c>
      <c r="E12" s="35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s="353"/>
    </row>
    <row r="13" spans="1:52" x14ac:dyDescent="0.35">
      <c r="A13" s="326">
        <f>IF(A12&lt;'Project Information'!B$11,A12+1,"")</f>
        <v>2035</v>
      </c>
      <c r="B13" s="648">
        <v>0</v>
      </c>
      <c r="E13" s="352"/>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s="353"/>
    </row>
    <row r="14" spans="1:52" x14ac:dyDescent="0.35">
      <c r="A14" s="326">
        <f>IF(A13&lt;'Project Information'!B$11,A13+1,"")</f>
        <v>2036</v>
      </c>
      <c r="B14" s="648">
        <v>0</v>
      </c>
      <c r="E14" s="352"/>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s="353"/>
    </row>
    <row r="15" spans="1:52" x14ac:dyDescent="0.35">
      <c r="A15" s="326">
        <f>IF(A14&lt;'Project Information'!B$11,A14+1,"")</f>
        <v>2037</v>
      </c>
      <c r="B15" s="648">
        <v>0</v>
      </c>
      <c r="E15" s="352"/>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s="353"/>
    </row>
    <row r="16" spans="1:52" x14ac:dyDescent="0.35">
      <c r="A16" s="326">
        <f>IF(A15&lt;'Project Information'!B$11,A15+1,"")</f>
        <v>2038</v>
      </c>
      <c r="B16" s="648">
        <v>0</v>
      </c>
      <c r="E16" s="352"/>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s="353"/>
    </row>
    <row r="17" spans="1:52" x14ac:dyDescent="0.35">
      <c r="A17" s="326">
        <f>IF(A16&lt;'Project Information'!B$11,A16+1,"")</f>
        <v>2039</v>
      </c>
      <c r="B17" s="648">
        <v>0</v>
      </c>
      <c r="E17" s="352"/>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s="353"/>
    </row>
    <row r="18" spans="1:52" x14ac:dyDescent="0.35">
      <c r="A18" s="326">
        <f>IF(A17&lt;'Project Information'!B$11,A17+1,"")</f>
        <v>2040</v>
      </c>
      <c r="B18" s="648">
        <v>0</v>
      </c>
      <c r="E18" s="352"/>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s="353"/>
    </row>
    <row r="19" spans="1:52" x14ac:dyDescent="0.35">
      <c r="A19" s="326">
        <f>IF(A18&lt;'Project Information'!B$11,A18+1,"")</f>
        <v>2041</v>
      </c>
      <c r="B19" s="648">
        <v>0</v>
      </c>
      <c r="E19" s="352"/>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s="353"/>
    </row>
    <row r="20" spans="1:52" x14ac:dyDescent="0.35">
      <c r="A20" s="326">
        <f>IF(A19&lt;'Project Information'!B$11,A19+1,"")</f>
        <v>2042</v>
      </c>
      <c r="B20" s="648">
        <v>0</v>
      </c>
      <c r="E20" s="352"/>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s="353"/>
    </row>
    <row r="21" spans="1:52" x14ac:dyDescent="0.35">
      <c r="A21" s="326">
        <f>IF(A20&lt;'Project Information'!B$11,A20+1,"")</f>
        <v>2043</v>
      </c>
      <c r="B21" s="648">
        <v>0</v>
      </c>
      <c r="E21" s="352"/>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s="353"/>
    </row>
    <row r="22" spans="1:52" x14ac:dyDescent="0.35">
      <c r="A22" s="326">
        <f>IF(A21&lt;'Project Information'!B$11,A21+1,"")</f>
        <v>2044</v>
      </c>
      <c r="B22" s="648">
        <v>0</v>
      </c>
      <c r="E22" s="35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s="353"/>
    </row>
    <row r="23" spans="1:52" x14ac:dyDescent="0.35">
      <c r="A23" s="326">
        <f>IF(A22&lt;'Project Information'!B$11,A22+1,"")</f>
        <v>2045</v>
      </c>
      <c r="B23" s="648">
        <v>0</v>
      </c>
      <c r="E23" s="352"/>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s="353"/>
    </row>
    <row r="24" spans="1:52" x14ac:dyDescent="0.35">
      <c r="A24" s="326">
        <f>IF(A23&lt;'Project Information'!B$11,A23+1,"")</f>
        <v>2046</v>
      </c>
      <c r="B24" s="648">
        <v>0</v>
      </c>
      <c r="E24" s="352"/>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s="353"/>
    </row>
    <row r="25" spans="1:52" x14ac:dyDescent="0.35">
      <c r="A25" s="326">
        <f>IF(A24&lt;'Project Information'!B$11,A24+1,"")</f>
        <v>2047</v>
      </c>
      <c r="B25" s="648">
        <v>0</v>
      </c>
      <c r="E25" s="352"/>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s="353"/>
    </row>
    <row r="26" spans="1:52" x14ac:dyDescent="0.35">
      <c r="A26" s="326">
        <f>IF(A25&lt;'Project Information'!B$11,A25+1,"")</f>
        <v>2048</v>
      </c>
      <c r="B26" s="648">
        <v>0</v>
      </c>
      <c r="E26" s="352"/>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s="353"/>
    </row>
    <row r="27" spans="1:52" x14ac:dyDescent="0.35">
      <c r="A27" s="326">
        <f>IF(A26&lt;'Project Information'!B$11,A26+1,"")</f>
        <v>2049</v>
      </c>
      <c r="B27" s="648">
        <v>0</v>
      </c>
      <c r="E27" s="352"/>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s="353"/>
    </row>
    <row r="28" spans="1:52" x14ac:dyDescent="0.35">
      <c r="A28" s="326">
        <f>IF(A27&lt;'Project Information'!B$11,A27+1,"")</f>
        <v>2050</v>
      </c>
      <c r="B28" s="648">
        <v>0</v>
      </c>
      <c r="E28" s="352"/>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s="353"/>
    </row>
    <row r="29" spans="1:52" x14ac:dyDescent="0.35">
      <c r="A29" s="326">
        <f>IF(A28&lt;'Project Information'!B$11,A28+1,"")</f>
        <v>2051</v>
      </c>
      <c r="B29" s="648">
        <v>0</v>
      </c>
      <c r="E29" s="352"/>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s="353"/>
    </row>
    <row r="30" spans="1:52" x14ac:dyDescent="0.35">
      <c r="A30" s="326">
        <f>IF(A29&lt;'Project Information'!B$11,A29+1,"")</f>
        <v>2052</v>
      </c>
      <c r="B30" s="648">
        <v>0</v>
      </c>
      <c r="E30" s="352"/>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s="353"/>
    </row>
    <row r="31" spans="1:52" x14ac:dyDescent="0.35">
      <c r="A31" s="326">
        <f>IF(A30&lt;'Project Information'!B$11,A30+1,"")</f>
        <v>2053</v>
      </c>
      <c r="B31" s="648">
        <v>0</v>
      </c>
      <c r="E31" s="352"/>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s="353"/>
    </row>
    <row r="32" spans="1:52" x14ac:dyDescent="0.35">
      <c r="A32" s="326">
        <f>IF(A31&lt;'Project Information'!B$11,A31+1,"")</f>
        <v>2054</v>
      </c>
      <c r="B32" s="648">
        <v>0</v>
      </c>
      <c r="E32" s="35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s="353"/>
    </row>
    <row r="33" spans="1:52" x14ac:dyDescent="0.35">
      <c r="A33" s="326" t="str">
        <f>IF(A32&lt;'Project Information'!B$11,A32+1,"")</f>
        <v/>
      </c>
      <c r="B33" s="648">
        <v>0</v>
      </c>
      <c r="E33" s="352"/>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s="353"/>
    </row>
    <row r="34" spans="1:52" x14ac:dyDescent="0.35">
      <c r="A34" s="326" t="str">
        <f>IF(A33&lt;'Project Information'!B$11,A33+1,"")</f>
        <v/>
      </c>
      <c r="B34" s="648">
        <v>0</v>
      </c>
      <c r="E34" s="352"/>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s="353"/>
    </row>
    <row r="35" spans="1:52" x14ac:dyDescent="0.35">
      <c r="A35" s="326" t="str">
        <f>IF(A34&lt;'Project Information'!B$11,A34+1,"")</f>
        <v/>
      </c>
      <c r="B35" s="648">
        <v>0</v>
      </c>
      <c r="E35" s="352"/>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s="353"/>
    </row>
    <row r="36" spans="1:52" x14ac:dyDescent="0.35">
      <c r="A36" s="326" t="str">
        <f>IF(A35&lt;'Project Information'!B$11,A35+1,"")</f>
        <v/>
      </c>
      <c r="B36" s="648">
        <v>0</v>
      </c>
      <c r="E36" s="352"/>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s="353"/>
    </row>
    <row r="37" spans="1:52" x14ac:dyDescent="0.35">
      <c r="A37" s="12" t="str">
        <f>IF(A36&lt;'Project Information'!B$11,A36+1,"")</f>
        <v/>
      </c>
      <c r="B37" s="649">
        <v>0</v>
      </c>
      <c r="E37" s="352"/>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s="353"/>
    </row>
    <row r="38" spans="1:52" x14ac:dyDescent="0.35">
      <c r="E38" s="352"/>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s="353"/>
    </row>
    <row r="39" spans="1:52" x14ac:dyDescent="0.35">
      <c r="E39" s="352"/>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s="353"/>
    </row>
    <row r="40" spans="1:52" x14ac:dyDescent="0.35">
      <c r="E40" s="352"/>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s="353"/>
    </row>
    <row r="41" spans="1:52" x14ac:dyDescent="0.35">
      <c r="E41" s="352"/>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s="353"/>
    </row>
    <row r="42" spans="1:52" x14ac:dyDescent="0.35">
      <c r="E42" s="35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s="353"/>
    </row>
    <row r="43" spans="1:52" x14ac:dyDescent="0.35">
      <c r="E43" s="352"/>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s="353"/>
    </row>
    <row r="44" spans="1:52" x14ac:dyDescent="0.35">
      <c r="E44" s="352"/>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s="353"/>
    </row>
    <row r="45" spans="1:52" x14ac:dyDescent="0.35">
      <c r="E45" s="352"/>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s="353"/>
    </row>
    <row r="46" spans="1:52" x14ac:dyDescent="0.35">
      <c r="E46" s="352"/>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s="353"/>
    </row>
    <row r="47" spans="1:52" x14ac:dyDescent="0.35">
      <c r="E47" s="352"/>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s="353"/>
    </row>
    <row r="48" spans="1:52" x14ac:dyDescent="0.35">
      <c r="E48" s="352"/>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s="353"/>
    </row>
    <row r="49" spans="5:52" x14ac:dyDescent="0.35">
      <c r="E49" s="352"/>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s="353"/>
    </row>
    <row r="50" spans="5:52" x14ac:dyDescent="0.35">
      <c r="E50" s="352"/>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s="353"/>
    </row>
    <row r="51" spans="5:52" x14ac:dyDescent="0.35">
      <c r="E51" s="352"/>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s="353"/>
    </row>
    <row r="52" spans="5:52" x14ac:dyDescent="0.35">
      <c r="E52" s="3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s="353"/>
    </row>
    <row r="53" spans="5:52" x14ac:dyDescent="0.35">
      <c r="E53" s="352"/>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s="353"/>
    </row>
    <row r="54" spans="5:52" x14ac:dyDescent="0.35">
      <c r="E54" s="352"/>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s="353"/>
    </row>
    <row r="55" spans="5:52" x14ac:dyDescent="0.35">
      <c r="E55" s="352"/>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s="353"/>
    </row>
    <row r="56" spans="5:52" x14ac:dyDescent="0.35">
      <c r="E56" s="352"/>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s="353"/>
    </row>
    <row r="57" spans="5:52" x14ac:dyDescent="0.35">
      <c r="E57" s="352"/>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s="353"/>
    </row>
    <row r="58" spans="5:52" x14ac:dyDescent="0.35">
      <c r="E58" s="352"/>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s="353"/>
    </row>
    <row r="59" spans="5:52" x14ac:dyDescent="0.35">
      <c r="E59" s="352"/>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s="353"/>
    </row>
    <row r="60" spans="5:52" x14ac:dyDescent="0.35">
      <c r="E60" s="352"/>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s="353"/>
    </row>
    <row r="61" spans="5:52" x14ac:dyDescent="0.35">
      <c r="E61" s="352"/>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s="353"/>
    </row>
    <row r="62" spans="5:52" x14ac:dyDescent="0.35">
      <c r="E62" s="35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s="353"/>
    </row>
    <row r="63" spans="5:52" x14ac:dyDescent="0.35">
      <c r="E63" s="352"/>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s="353"/>
    </row>
    <row r="64" spans="5:52" x14ac:dyDescent="0.35">
      <c r="E64" s="352"/>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s="353"/>
    </row>
    <row r="65" spans="5:52" x14ac:dyDescent="0.35">
      <c r="E65" s="352"/>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s="353"/>
    </row>
    <row r="66" spans="5:52" x14ac:dyDescent="0.35">
      <c r="E66" s="352"/>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s="353"/>
    </row>
    <row r="67" spans="5:52" x14ac:dyDescent="0.35">
      <c r="E67" s="352"/>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s="353"/>
    </row>
    <row r="68" spans="5:52" x14ac:dyDescent="0.35">
      <c r="E68" s="352"/>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s="353"/>
    </row>
    <row r="69" spans="5:52" x14ac:dyDescent="0.35">
      <c r="E69" s="352"/>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s="353"/>
    </row>
    <row r="70" spans="5:52" x14ac:dyDescent="0.35">
      <c r="E70" s="352"/>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s="353"/>
    </row>
    <row r="71" spans="5:52" x14ac:dyDescent="0.35">
      <c r="E71" s="352"/>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s="353"/>
    </row>
    <row r="72" spans="5:52" x14ac:dyDescent="0.35">
      <c r="E72" s="35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s="353"/>
    </row>
    <row r="73" spans="5:52" x14ac:dyDescent="0.35">
      <c r="E73" s="352"/>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s="353"/>
    </row>
    <row r="74" spans="5:52" x14ac:dyDescent="0.35">
      <c r="E74" s="352"/>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s="353"/>
    </row>
    <row r="75" spans="5:52" x14ac:dyDescent="0.35">
      <c r="E75" s="352"/>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s="353"/>
    </row>
    <row r="76" spans="5:52" x14ac:dyDescent="0.35">
      <c r="E76" s="352"/>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s="353"/>
    </row>
    <row r="77" spans="5:52" x14ac:dyDescent="0.35">
      <c r="E77" s="352"/>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s="353"/>
    </row>
    <row r="78" spans="5:52" x14ac:dyDescent="0.35">
      <c r="E78" s="352"/>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s="353"/>
    </row>
    <row r="79" spans="5:52" x14ac:dyDescent="0.35">
      <c r="E79" s="352"/>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s="353"/>
    </row>
    <row r="80" spans="5:52" x14ac:dyDescent="0.35">
      <c r="E80" s="352"/>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s="353"/>
    </row>
    <row r="81" spans="5:52" x14ac:dyDescent="0.35">
      <c r="E81" s="352"/>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s="353"/>
    </row>
    <row r="82" spans="5:52" x14ac:dyDescent="0.35">
      <c r="E82" s="35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s="353"/>
    </row>
    <row r="83" spans="5:52" x14ac:dyDescent="0.35">
      <c r="E83" s="352"/>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s="353"/>
    </row>
    <row r="84" spans="5:52" x14ac:dyDescent="0.35">
      <c r="E84" s="352"/>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s="353"/>
    </row>
    <row r="85" spans="5:52" x14ac:dyDescent="0.35">
      <c r="E85" s="352"/>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s="353"/>
    </row>
    <row r="86" spans="5:52" x14ac:dyDescent="0.35">
      <c r="E86" s="352"/>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s="353"/>
    </row>
    <row r="87" spans="5:52" ht="15" thickBot="1" x14ac:dyDescent="0.4">
      <c r="E87" s="446"/>
      <c r="F87" s="382"/>
      <c r="G87" s="382"/>
      <c r="H87" s="382"/>
      <c r="I87" s="382"/>
      <c r="J87" s="382"/>
      <c r="K87" s="382"/>
      <c r="L87" s="382"/>
      <c r="M87" s="382"/>
      <c r="N87" s="382"/>
      <c r="O87" s="382"/>
      <c r="P87" s="382"/>
      <c r="Q87" s="382"/>
      <c r="R87" s="382"/>
      <c r="S87" s="382"/>
      <c r="T87" s="382"/>
      <c r="U87" s="382"/>
      <c r="V87" s="382"/>
      <c r="W87" s="382"/>
      <c r="X87" s="382"/>
      <c r="Y87" s="382"/>
      <c r="Z87" s="382"/>
      <c r="AA87" s="382"/>
      <c r="AB87" s="382"/>
      <c r="AC87" s="382"/>
      <c r="AD87" s="382"/>
      <c r="AE87" s="382"/>
      <c r="AF87" s="382"/>
      <c r="AG87" s="382"/>
      <c r="AH87" s="382"/>
      <c r="AI87" s="382"/>
      <c r="AJ87" s="382"/>
      <c r="AK87" s="382"/>
      <c r="AL87" s="382"/>
      <c r="AM87" s="382"/>
      <c r="AN87" s="382"/>
      <c r="AO87" s="382"/>
      <c r="AP87" s="382"/>
      <c r="AQ87" s="382"/>
      <c r="AR87" s="382"/>
      <c r="AS87" s="382"/>
      <c r="AT87" s="382"/>
      <c r="AU87" s="382"/>
      <c r="AV87" s="382"/>
      <c r="AW87" s="382"/>
      <c r="AX87" s="382"/>
      <c r="AY87" s="382"/>
      <c r="AZ87" s="383"/>
    </row>
  </sheetData>
  <sheetProtection algorithmName="SHA-512" hashValue="UU73QJ+nzyvOhP0Q0Il+jynMHTzAtEXFtuaGU+C9h7ovct0N12KXApcS5lacO6T3ykj6aJlCPse0h/Ci3vMu8Q==" saltValue="FPfrTldnxSylpizVdEDvcg==" spinCount="100000" sheet="1" objects="1" scenarios="1"/>
  <conditionalFormatting sqref="B8:B37">
    <cfRule type="expression" dxfId="1" priority="1">
      <formula>A8=""</formula>
    </cfRule>
  </conditionalFormatting>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C0FF0-458D-4A53-8834-6158B7D6D2EB}">
  <sheetPr codeName="Sheet4">
    <tabColor theme="9" tint="0.39997558519241921"/>
  </sheetPr>
  <dimension ref="A1:BX246"/>
  <sheetViews>
    <sheetView topLeftCell="A3" workbookViewId="0">
      <selection activeCell="F5" sqref="F5"/>
    </sheetView>
  </sheetViews>
  <sheetFormatPr defaultRowHeight="14.5" x14ac:dyDescent="0.35"/>
  <cols>
    <col min="1" max="1" width="30.1796875" customWidth="1"/>
    <col min="2" max="5" width="20.81640625" customWidth="1"/>
    <col min="6" max="6" width="16.54296875" customWidth="1"/>
    <col min="7" max="7" width="17.453125" customWidth="1"/>
    <col min="8" max="8" width="21.1796875" customWidth="1"/>
    <col min="9" max="9" width="16.1796875" customWidth="1"/>
    <col min="10" max="10" width="16.81640625" customWidth="1"/>
    <col min="11" max="11" width="17.1796875" customWidth="1"/>
    <col min="12" max="12" width="16.81640625" customWidth="1"/>
    <col min="13" max="13" width="17.1796875" customWidth="1"/>
    <col min="14" max="76" width="8.90625" style="42"/>
  </cols>
  <sheetData>
    <row r="1" spans="1:62" ht="20" thickBot="1" x14ac:dyDescent="0.5">
      <c r="A1" s="316" t="s">
        <v>191</v>
      </c>
      <c r="B1" s="42"/>
      <c r="C1" s="42"/>
      <c r="D1" s="42"/>
      <c r="E1" s="42"/>
      <c r="F1" s="42"/>
      <c r="G1" s="42"/>
      <c r="H1" s="42"/>
      <c r="I1" s="42"/>
      <c r="J1" s="42"/>
      <c r="K1" s="42"/>
      <c r="L1" s="42"/>
      <c r="M1" s="42"/>
    </row>
    <row r="2" spans="1:62" ht="15" thickTop="1" x14ac:dyDescent="0.35">
      <c r="A2" s="317" t="s">
        <v>192</v>
      </c>
      <c r="B2" s="317"/>
      <c r="C2" s="317"/>
      <c r="D2" s="317"/>
      <c r="E2" s="317"/>
      <c r="F2" s="317"/>
      <c r="G2" s="317"/>
      <c r="H2" s="317"/>
      <c r="I2" s="42"/>
      <c r="J2" s="42"/>
      <c r="K2" s="42"/>
      <c r="L2" s="42"/>
      <c r="M2" s="42"/>
    </row>
    <row r="3" spans="1:62" x14ac:dyDescent="0.35">
      <c r="A3" s="317" t="s">
        <v>193</v>
      </c>
      <c r="B3" s="317"/>
      <c r="C3" s="317"/>
      <c r="D3" s="317"/>
      <c r="E3" s="317"/>
      <c r="F3" s="317"/>
      <c r="G3" s="317"/>
      <c r="H3" s="317"/>
      <c r="I3" s="42"/>
      <c r="J3" s="42"/>
      <c r="K3" s="42"/>
      <c r="L3" s="42"/>
      <c r="M3" s="42"/>
    </row>
    <row r="4" spans="1:62" x14ac:dyDescent="0.35">
      <c r="A4" s="317" t="s">
        <v>194</v>
      </c>
      <c r="B4" s="317"/>
      <c r="C4" s="317"/>
      <c r="D4" s="317"/>
      <c r="E4" s="317"/>
      <c r="F4" s="42"/>
      <c r="G4" s="42"/>
      <c r="H4" s="42"/>
      <c r="I4" s="42"/>
      <c r="J4" s="42"/>
      <c r="K4" s="42"/>
      <c r="L4" s="42"/>
      <c r="M4" s="42"/>
    </row>
    <row r="5" spans="1:62" x14ac:dyDescent="0.35">
      <c r="A5" s="317" t="s">
        <v>195</v>
      </c>
      <c r="B5" s="317"/>
      <c r="C5" s="317"/>
      <c r="D5" s="317"/>
      <c r="E5" s="42"/>
      <c r="F5" s="42"/>
      <c r="G5" s="42"/>
      <c r="H5" s="42"/>
      <c r="I5" s="42"/>
      <c r="J5" s="42"/>
      <c r="K5" s="42"/>
      <c r="L5" s="42"/>
      <c r="M5" s="42"/>
    </row>
    <row r="6" spans="1:62" x14ac:dyDescent="0.35">
      <c r="A6" s="42" t="s">
        <v>171</v>
      </c>
      <c r="B6" s="42"/>
      <c r="C6" s="42"/>
      <c r="D6" s="42"/>
      <c r="E6" s="42"/>
      <c r="F6" s="42"/>
      <c r="G6" s="42"/>
      <c r="H6" s="42"/>
      <c r="I6" s="42"/>
      <c r="J6" s="42"/>
      <c r="K6" s="42"/>
      <c r="L6" s="42"/>
      <c r="M6" s="42"/>
    </row>
    <row r="7" spans="1:62" ht="15" thickBot="1" x14ac:dyDescent="0.4">
      <c r="A7" s="346" t="s">
        <v>196</v>
      </c>
      <c r="B7" s="42"/>
      <c r="C7" s="42"/>
      <c r="D7" s="42"/>
      <c r="E7" s="42"/>
      <c r="F7" s="42"/>
      <c r="G7" s="42"/>
      <c r="H7" s="42"/>
      <c r="I7" s="42"/>
      <c r="J7" s="42"/>
      <c r="K7" s="42"/>
      <c r="L7" s="42"/>
      <c r="M7" s="42"/>
    </row>
    <row r="8" spans="1:62" x14ac:dyDescent="0.35">
      <c r="A8" s="42"/>
      <c r="B8" s="685" t="s">
        <v>197</v>
      </c>
      <c r="C8" s="684"/>
      <c r="D8" s="683" t="s">
        <v>198</v>
      </c>
      <c r="E8" s="684"/>
      <c r="F8" s="683" t="s">
        <v>199</v>
      </c>
      <c r="G8" s="684"/>
      <c r="H8" s="683" t="s">
        <v>200</v>
      </c>
      <c r="I8" s="684"/>
      <c r="J8" s="683" t="s">
        <v>201</v>
      </c>
      <c r="K8" s="684"/>
      <c r="L8" s="683" t="s">
        <v>202</v>
      </c>
      <c r="M8" s="684"/>
      <c r="O8" s="347" t="s">
        <v>203</v>
      </c>
      <c r="P8" s="348"/>
      <c r="Q8" s="348"/>
      <c r="R8" s="348"/>
      <c r="S8" s="348"/>
      <c r="T8" s="348"/>
      <c r="U8" s="348"/>
      <c r="V8" s="348"/>
      <c r="W8" s="348"/>
      <c r="X8" s="348"/>
      <c r="Y8" s="348"/>
      <c r="Z8" s="348"/>
      <c r="AA8" s="348"/>
      <c r="AB8" s="348"/>
      <c r="AC8" s="348"/>
      <c r="AD8" s="348"/>
      <c r="AE8" s="348"/>
      <c r="AF8" s="348"/>
      <c r="AG8" s="348"/>
      <c r="AH8" s="348"/>
      <c r="AI8" s="348"/>
      <c r="AJ8" s="348"/>
      <c r="AK8" s="348"/>
      <c r="AL8" s="348"/>
      <c r="AM8" s="348"/>
      <c r="AN8" s="348"/>
      <c r="AO8" s="348"/>
      <c r="AP8" s="348"/>
      <c r="AQ8" s="348"/>
      <c r="AR8" s="348"/>
      <c r="AS8" s="348"/>
      <c r="AT8" s="348"/>
      <c r="AU8" s="348"/>
      <c r="AV8" s="348"/>
      <c r="AW8" s="348"/>
      <c r="AX8" s="348"/>
      <c r="AY8" s="348"/>
      <c r="AZ8" s="348"/>
      <c r="BA8" s="348"/>
      <c r="BB8" s="348"/>
      <c r="BC8" s="348"/>
      <c r="BD8" s="348"/>
      <c r="BE8" s="348"/>
      <c r="BF8" s="348"/>
      <c r="BG8" s="348"/>
      <c r="BH8" s="348"/>
      <c r="BI8" s="348"/>
      <c r="BJ8" s="349"/>
    </row>
    <row r="9" spans="1:62" x14ac:dyDescent="0.35">
      <c r="A9" s="350" t="s">
        <v>173</v>
      </c>
      <c r="B9" s="351" t="s">
        <v>204</v>
      </c>
      <c r="C9" s="351" t="s">
        <v>205</v>
      </c>
      <c r="D9" s="351" t="s">
        <v>204</v>
      </c>
      <c r="E9" s="351" t="s">
        <v>205</v>
      </c>
      <c r="F9" s="351" t="s">
        <v>204</v>
      </c>
      <c r="G9" s="351" t="s">
        <v>205</v>
      </c>
      <c r="H9" s="351" t="s">
        <v>204</v>
      </c>
      <c r="I9" s="351" t="s">
        <v>205</v>
      </c>
      <c r="J9" s="351" t="s">
        <v>204</v>
      </c>
      <c r="K9" s="351" t="s">
        <v>205</v>
      </c>
      <c r="L9" s="351" t="s">
        <v>204</v>
      </c>
      <c r="M9" s="351" t="s">
        <v>205</v>
      </c>
      <c r="O9" s="352"/>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s="353"/>
    </row>
    <row r="10" spans="1:62" x14ac:dyDescent="0.35">
      <c r="A10" s="10">
        <f>'Project Information'!$B$9</f>
        <v>2030</v>
      </c>
      <c r="B10" s="354">
        <v>0</v>
      </c>
      <c r="C10" s="354">
        <v>0</v>
      </c>
      <c r="D10" s="354">
        <v>0</v>
      </c>
      <c r="E10" s="354">
        <v>0</v>
      </c>
      <c r="F10" s="354">
        <v>0</v>
      </c>
      <c r="G10" s="354">
        <v>0</v>
      </c>
      <c r="H10" s="354">
        <v>0</v>
      </c>
      <c r="I10" s="354">
        <v>0</v>
      </c>
      <c r="J10" s="354">
        <v>0</v>
      </c>
      <c r="K10" s="354">
        <v>0</v>
      </c>
      <c r="L10" s="354">
        <v>0</v>
      </c>
      <c r="M10" s="354">
        <v>0</v>
      </c>
      <c r="O10" s="352"/>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s="353"/>
    </row>
    <row r="11" spans="1:62" x14ac:dyDescent="0.35">
      <c r="A11" s="326">
        <f>IF(A10&lt;'Project Information'!B$11,A10+1,"")</f>
        <v>2031</v>
      </c>
      <c r="B11" s="354">
        <v>0</v>
      </c>
      <c r="C11" s="354">
        <v>0</v>
      </c>
      <c r="D11" s="354">
        <v>0</v>
      </c>
      <c r="E11" s="354">
        <v>0</v>
      </c>
      <c r="F11" s="354">
        <v>0</v>
      </c>
      <c r="G11" s="354">
        <v>0</v>
      </c>
      <c r="H11" s="354">
        <v>0</v>
      </c>
      <c r="I11" s="354">
        <v>0</v>
      </c>
      <c r="J11" s="354">
        <v>0</v>
      </c>
      <c r="K11" s="354">
        <v>0</v>
      </c>
      <c r="L11" s="354">
        <v>0</v>
      </c>
      <c r="M11" s="354">
        <v>0</v>
      </c>
      <c r="O11" s="352"/>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s="353"/>
    </row>
    <row r="12" spans="1:62" x14ac:dyDescent="0.35">
      <c r="A12" s="326">
        <f>IF(A11&lt;'Project Information'!B$11,A11+1,"")</f>
        <v>2032</v>
      </c>
      <c r="B12" s="354">
        <v>0</v>
      </c>
      <c r="C12" s="354">
        <v>0</v>
      </c>
      <c r="D12" s="354">
        <v>0</v>
      </c>
      <c r="E12" s="354">
        <v>0</v>
      </c>
      <c r="F12" s="354">
        <v>0</v>
      </c>
      <c r="G12" s="354">
        <v>0</v>
      </c>
      <c r="H12" s="354">
        <v>0</v>
      </c>
      <c r="I12" s="354">
        <v>0</v>
      </c>
      <c r="J12" s="354">
        <v>0</v>
      </c>
      <c r="K12" s="354">
        <v>0</v>
      </c>
      <c r="L12" s="354">
        <v>0</v>
      </c>
      <c r="M12" s="354">
        <v>0</v>
      </c>
      <c r="O12" s="35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s="353"/>
    </row>
    <row r="13" spans="1:62" x14ac:dyDescent="0.35">
      <c r="A13" s="326">
        <f>IF(A12&lt;'Project Information'!B$11,A12+1,"")</f>
        <v>2033</v>
      </c>
      <c r="B13" s="354">
        <v>0</v>
      </c>
      <c r="C13" s="354">
        <v>0</v>
      </c>
      <c r="D13" s="354">
        <v>0</v>
      </c>
      <c r="E13" s="354">
        <v>0</v>
      </c>
      <c r="F13" s="354">
        <v>0</v>
      </c>
      <c r="G13" s="354">
        <v>0</v>
      </c>
      <c r="H13" s="354">
        <v>0</v>
      </c>
      <c r="I13" s="354">
        <v>0</v>
      </c>
      <c r="J13" s="354">
        <v>0</v>
      </c>
      <c r="K13" s="354">
        <v>0</v>
      </c>
      <c r="L13" s="354">
        <v>0</v>
      </c>
      <c r="M13" s="354">
        <v>0</v>
      </c>
      <c r="O13" s="352"/>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s="353"/>
    </row>
    <row r="14" spans="1:62" x14ac:dyDescent="0.35">
      <c r="A14" s="326">
        <f>IF(A13&lt;'Project Information'!B$11,A13+1,"")</f>
        <v>2034</v>
      </c>
      <c r="B14" s="354">
        <v>0</v>
      </c>
      <c r="C14" s="354">
        <v>0</v>
      </c>
      <c r="D14" s="354">
        <v>0</v>
      </c>
      <c r="E14" s="354">
        <v>0</v>
      </c>
      <c r="F14" s="354">
        <v>0</v>
      </c>
      <c r="G14" s="354">
        <v>0</v>
      </c>
      <c r="H14" s="354">
        <v>0</v>
      </c>
      <c r="I14" s="354">
        <v>0</v>
      </c>
      <c r="J14" s="354">
        <v>0</v>
      </c>
      <c r="K14" s="354">
        <v>0</v>
      </c>
      <c r="L14" s="354">
        <v>0</v>
      </c>
      <c r="M14" s="354">
        <v>0</v>
      </c>
      <c r="O14" s="352"/>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s="353"/>
    </row>
    <row r="15" spans="1:62" x14ac:dyDescent="0.35">
      <c r="A15" s="326">
        <f>IF(A14&lt;'Project Information'!B$11,A14+1,"")</f>
        <v>2035</v>
      </c>
      <c r="B15" s="354">
        <v>0</v>
      </c>
      <c r="C15" s="354">
        <v>0</v>
      </c>
      <c r="D15" s="354">
        <v>0</v>
      </c>
      <c r="E15" s="354">
        <v>0</v>
      </c>
      <c r="F15" s="354">
        <v>0</v>
      </c>
      <c r="G15" s="354">
        <v>0</v>
      </c>
      <c r="H15" s="354">
        <v>0</v>
      </c>
      <c r="I15" s="354">
        <v>0</v>
      </c>
      <c r="J15" s="354">
        <v>0</v>
      </c>
      <c r="K15" s="354">
        <v>0</v>
      </c>
      <c r="L15" s="354">
        <v>0</v>
      </c>
      <c r="M15" s="354">
        <v>0</v>
      </c>
      <c r="O15" s="352"/>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s="353"/>
    </row>
    <row r="16" spans="1:62" x14ac:dyDescent="0.35">
      <c r="A16" s="326">
        <f>IF(A15&lt;'Project Information'!B$11,A15+1,"")</f>
        <v>2036</v>
      </c>
      <c r="B16" s="354">
        <v>0</v>
      </c>
      <c r="C16" s="354">
        <v>0</v>
      </c>
      <c r="D16" s="354">
        <v>0</v>
      </c>
      <c r="E16" s="354">
        <v>0</v>
      </c>
      <c r="F16" s="354">
        <v>0</v>
      </c>
      <c r="G16" s="354">
        <v>0</v>
      </c>
      <c r="H16" s="354">
        <v>0</v>
      </c>
      <c r="I16" s="354">
        <v>0</v>
      </c>
      <c r="J16" s="354">
        <v>0</v>
      </c>
      <c r="K16" s="354">
        <v>0</v>
      </c>
      <c r="L16" s="354">
        <v>0</v>
      </c>
      <c r="M16" s="354">
        <v>0</v>
      </c>
      <c r="O16" s="352"/>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s="353"/>
    </row>
    <row r="17" spans="1:62" x14ac:dyDescent="0.35">
      <c r="A17" s="326">
        <f>IF(A16&lt;'Project Information'!B$11,A16+1,"")</f>
        <v>2037</v>
      </c>
      <c r="B17" s="354">
        <v>0</v>
      </c>
      <c r="C17" s="354">
        <v>0</v>
      </c>
      <c r="D17" s="354">
        <v>0</v>
      </c>
      <c r="E17" s="354">
        <v>0</v>
      </c>
      <c r="F17" s="354">
        <v>0</v>
      </c>
      <c r="G17" s="354">
        <v>0</v>
      </c>
      <c r="H17" s="354">
        <v>0</v>
      </c>
      <c r="I17" s="354">
        <v>0</v>
      </c>
      <c r="J17" s="354">
        <v>0</v>
      </c>
      <c r="K17" s="354">
        <v>0</v>
      </c>
      <c r="L17" s="354">
        <v>0</v>
      </c>
      <c r="M17" s="354">
        <v>0</v>
      </c>
      <c r="O17" s="352"/>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s="353"/>
    </row>
    <row r="18" spans="1:62" x14ac:dyDescent="0.35">
      <c r="A18" s="326">
        <f>IF(A17&lt;'Project Information'!B$11,A17+1,"")</f>
        <v>2038</v>
      </c>
      <c r="B18" s="354">
        <v>0</v>
      </c>
      <c r="C18" s="354">
        <v>0</v>
      </c>
      <c r="D18" s="354">
        <v>0</v>
      </c>
      <c r="E18" s="354">
        <v>0</v>
      </c>
      <c r="F18" s="354">
        <v>0</v>
      </c>
      <c r="G18" s="354">
        <v>0</v>
      </c>
      <c r="H18" s="354">
        <v>0</v>
      </c>
      <c r="I18" s="354">
        <v>0</v>
      </c>
      <c r="J18" s="354">
        <v>0</v>
      </c>
      <c r="K18" s="354">
        <v>0</v>
      </c>
      <c r="L18" s="354">
        <v>0</v>
      </c>
      <c r="M18" s="354">
        <v>0</v>
      </c>
      <c r="O18" s="352"/>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s="353"/>
    </row>
    <row r="19" spans="1:62" x14ac:dyDescent="0.35">
      <c r="A19" s="326">
        <f>IF(A18&lt;'Project Information'!B$11,A18+1,"")</f>
        <v>2039</v>
      </c>
      <c r="B19" s="354">
        <v>0</v>
      </c>
      <c r="C19" s="354">
        <v>0</v>
      </c>
      <c r="D19" s="354">
        <v>0</v>
      </c>
      <c r="E19" s="354">
        <v>0</v>
      </c>
      <c r="F19" s="354">
        <v>0</v>
      </c>
      <c r="G19" s="354">
        <v>0</v>
      </c>
      <c r="H19" s="354">
        <v>0</v>
      </c>
      <c r="I19" s="354">
        <v>0</v>
      </c>
      <c r="J19" s="354">
        <v>0</v>
      </c>
      <c r="K19" s="354">
        <v>0</v>
      </c>
      <c r="L19" s="354">
        <v>0</v>
      </c>
      <c r="M19" s="354">
        <v>0</v>
      </c>
      <c r="O19" s="352"/>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s="353"/>
    </row>
    <row r="20" spans="1:62" x14ac:dyDescent="0.35">
      <c r="A20" s="326">
        <f>IF(A19&lt;'Project Information'!B$11,A19+1,"")</f>
        <v>2040</v>
      </c>
      <c r="B20" s="354">
        <v>0</v>
      </c>
      <c r="C20" s="354">
        <v>0</v>
      </c>
      <c r="D20" s="354">
        <v>0</v>
      </c>
      <c r="E20" s="354">
        <v>0</v>
      </c>
      <c r="F20" s="354">
        <v>0</v>
      </c>
      <c r="G20" s="354">
        <v>0</v>
      </c>
      <c r="H20" s="354">
        <v>0</v>
      </c>
      <c r="I20" s="354">
        <v>0</v>
      </c>
      <c r="J20" s="354">
        <v>0</v>
      </c>
      <c r="K20" s="354">
        <v>0</v>
      </c>
      <c r="L20" s="354">
        <v>0</v>
      </c>
      <c r="M20" s="354">
        <v>0</v>
      </c>
      <c r="O20" s="352"/>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s="353"/>
    </row>
    <row r="21" spans="1:62" x14ac:dyDescent="0.35">
      <c r="A21" s="326">
        <f>IF(A20&lt;'Project Information'!B$11,A20+1,"")</f>
        <v>2041</v>
      </c>
      <c r="B21" s="354">
        <v>0</v>
      </c>
      <c r="C21" s="354">
        <v>0</v>
      </c>
      <c r="D21" s="354">
        <v>0</v>
      </c>
      <c r="E21" s="354">
        <v>0</v>
      </c>
      <c r="F21" s="354">
        <v>0</v>
      </c>
      <c r="G21" s="354">
        <v>0</v>
      </c>
      <c r="H21" s="354">
        <v>0</v>
      </c>
      <c r="I21" s="354">
        <v>0</v>
      </c>
      <c r="J21" s="354">
        <v>0</v>
      </c>
      <c r="K21" s="354">
        <v>0</v>
      </c>
      <c r="L21" s="354">
        <v>0</v>
      </c>
      <c r="M21" s="354">
        <v>0</v>
      </c>
      <c r="O21" s="352"/>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s="353"/>
    </row>
    <row r="22" spans="1:62" x14ac:dyDescent="0.35">
      <c r="A22" s="326">
        <f>IF(A21&lt;'Project Information'!B$11,A21+1,"")</f>
        <v>2042</v>
      </c>
      <c r="B22" s="354">
        <v>0</v>
      </c>
      <c r="C22" s="354">
        <v>0</v>
      </c>
      <c r="D22" s="354">
        <v>0</v>
      </c>
      <c r="E22" s="354">
        <v>0</v>
      </c>
      <c r="F22" s="354">
        <v>0</v>
      </c>
      <c r="G22" s="354">
        <v>0</v>
      </c>
      <c r="H22" s="354">
        <v>0</v>
      </c>
      <c r="I22" s="354">
        <v>0</v>
      </c>
      <c r="J22" s="354">
        <v>0</v>
      </c>
      <c r="K22" s="354">
        <v>0</v>
      </c>
      <c r="L22" s="354">
        <v>0</v>
      </c>
      <c r="M22" s="354">
        <v>0</v>
      </c>
      <c r="O22" s="35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s="353"/>
    </row>
    <row r="23" spans="1:62" x14ac:dyDescent="0.35">
      <c r="A23" s="326">
        <f>IF(A22&lt;'Project Information'!B$11,A22+1,"")</f>
        <v>2043</v>
      </c>
      <c r="B23" s="354">
        <v>0</v>
      </c>
      <c r="C23" s="354">
        <v>0</v>
      </c>
      <c r="D23" s="354">
        <v>0</v>
      </c>
      <c r="E23" s="354">
        <v>0</v>
      </c>
      <c r="F23" s="354">
        <v>0</v>
      </c>
      <c r="G23" s="354">
        <v>0</v>
      </c>
      <c r="H23" s="354">
        <v>0</v>
      </c>
      <c r="I23" s="354">
        <v>0</v>
      </c>
      <c r="J23" s="354">
        <v>0</v>
      </c>
      <c r="K23" s="354">
        <v>0</v>
      </c>
      <c r="L23" s="354">
        <v>0</v>
      </c>
      <c r="M23" s="354">
        <v>0</v>
      </c>
      <c r="O23" s="352"/>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s="353"/>
    </row>
    <row r="24" spans="1:62" x14ac:dyDescent="0.35">
      <c r="A24" s="326">
        <f>IF(A23&lt;'Project Information'!B$11,A23+1,"")</f>
        <v>2044</v>
      </c>
      <c r="B24" s="354">
        <v>0</v>
      </c>
      <c r="C24" s="354">
        <v>0</v>
      </c>
      <c r="D24" s="354">
        <v>0</v>
      </c>
      <c r="E24" s="354">
        <v>0</v>
      </c>
      <c r="F24" s="354">
        <v>0</v>
      </c>
      <c r="G24" s="354">
        <v>0</v>
      </c>
      <c r="H24" s="354">
        <v>0</v>
      </c>
      <c r="I24" s="354">
        <v>0</v>
      </c>
      <c r="J24" s="354">
        <v>0</v>
      </c>
      <c r="K24" s="354">
        <v>0</v>
      </c>
      <c r="L24" s="354">
        <v>0</v>
      </c>
      <c r="M24" s="354">
        <v>0</v>
      </c>
      <c r="O24" s="352"/>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s="353"/>
    </row>
    <row r="25" spans="1:62" x14ac:dyDescent="0.35">
      <c r="A25" s="326">
        <f>IF(A24&lt;'Project Information'!B$11,A24+1,"")</f>
        <v>2045</v>
      </c>
      <c r="B25" s="354">
        <v>0</v>
      </c>
      <c r="C25" s="354">
        <v>0</v>
      </c>
      <c r="D25" s="354">
        <v>0</v>
      </c>
      <c r="E25" s="354">
        <v>0</v>
      </c>
      <c r="F25" s="354">
        <v>0</v>
      </c>
      <c r="G25" s="354">
        <v>0</v>
      </c>
      <c r="H25" s="354">
        <v>0</v>
      </c>
      <c r="I25" s="354">
        <v>0</v>
      </c>
      <c r="J25" s="354">
        <v>0</v>
      </c>
      <c r="K25" s="354">
        <v>0</v>
      </c>
      <c r="L25" s="354">
        <v>0</v>
      </c>
      <c r="M25" s="354">
        <v>0</v>
      </c>
      <c r="O25" s="352"/>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s="353"/>
    </row>
    <row r="26" spans="1:62" x14ac:dyDescent="0.35">
      <c r="A26" s="326">
        <f>IF(A25&lt;'Project Information'!B$11,A25+1,"")</f>
        <v>2046</v>
      </c>
      <c r="B26" s="354">
        <v>0</v>
      </c>
      <c r="C26" s="354">
        <v>0</v>
      </c>
      <c r="D26" s="354">
        <v>0</v>
      </c>
      <c r="E26" s="354">
        <v>0</v>
      </c>
      <c r="F26" s="354">
        <v>0</v>
      </c>
      <c r="G26" s="354">
        <v>0</v>
      </c>
      <c r="H26" s="354">
        <v>0</v>
      </c>
      <c r="I26" s="354">
        <v>0</v>
      </c>
      <c r="J26" s="354">
        <v>0</v>
      </c>
      <c r="K26" s="354">
        <v>0</v>
      </c>
      <c r="L26" s="354">
        <v>0</v>
      </c>
      <c r="M26" s="354">
        <v>0</v>
      </c>
      <c r="O26" s="352"/>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s="353"/>
    </row>
    <row r="27" spans="1:62" x14ac:dyDescent="0.35">
      <c r="A27" s="326">
        <f>IF(A26&lt;'Project Information'!B$11,A26+1,"")</f>
        <v>2047</v>
      </c>
      <c r="B27" s="354">
        <v>0</v>
      </c>
      <c r="C27" s="354">
        <v>0</v>
      </c>
      <c r="D27" s="354">
        <v>0</v>
      </c>
      <c r="E27" s="354">
        <v>0</v>
      </c>
      <c r="F27" s="354">
        <v>0</v>
      </c>
      <c r="G27" s="354">
        <v>0</v>
      </c>
      <c r="H27" s="354">
        <v>0</v>
      </c>
      <c r="I27" s="354">
        <v>0</v>
      </c>
      <c r="J27" s="354">
        <v>0</v>
      </c>
      <c r="K27" s="354">
        <v>0</v>
      </c>
      <c r="L27" s="354">
        <v>0</v>
      </c>
      <c r="M27" s="354">
        <v>0</v>
      </c>
      <c r="O27" s="352"/>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s="353"/>
    </row>
    <row r="28" spans="1:62" x14ac:dyDescent="0.35">
      <c r="A28" s="326">
        <f>IF(A27&lt;'Project Information'!B$11,A27+1,"")</f>
        <v>2048</v>
      </c>
      <c r="B28" s="354">
        <v>0</v>
      </c>
      <c r="C28" s="354">
        <v>0</v>
      </c>
      <c r="D28" s="354">
        <v>0</v>
      </c>
      <c r="E28" s="354">
        <v>0</v>
      </c>
      <c r="F28" s="354">
        <v>0</v>
      </c>
      <c r="G28" s="354">
        <v>0</v>
      </c>
      <c r="H28" s="354">
        <v>0</v>
      </c>
      <c r="I28" s="354">
        <v>0</v>
      </c>
      <c r="J28" s="354">
        <v>0</v>
      </c>
      <c r="K28" s="354">
        <v>0</v>
      </c>
      <c r="L28" s="354">
        <v>0</v>
      </c>
      <c r="M28" s="354">
        <v>0</v>
      </c>
      <c r="O28" s="352"/>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s="353"/>
    </row>
    <row r="29" spans="1:62" x14ac:dyDescent="0.35">
      <c r="A29" s="326">
        <f>IF(A28&lt;'Project Information'!B$11,A28+1,"")</f>
        <v>2049</v>
      </c>
      <c r="B29" s="354">
        <v>0</v>
      </c>
      <c r="C29" s="354">
        <v>0</v>
      </c>
      <c r="D29" s="354">
        <v>0</v>
      </c>
      <c r="E29" s="354">
        <v>0</v>
      </c>
      <c r="F29" s="354">
        <v>0</v>
      </c>
      <c r="G29" s="354">
        <v>0</v>
      </c>
      <c r="H29" s="354">
        <v>0</v>
      </c>
      <c r="I29" s="354">
        <v>0</v>
      </c>
      <c r="J29" s="354">
        <v>0</v>
      </c>
      <c r="K29" s="354">
        <v>0</v>
      </c>
      <c r="L29" s="354">
        <v>0</v>
      </c>
      <c r="M29" s="354">
        <v>0</v>
      </c>
      <c r="O29" s="352"/>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s="353"/>
    </row>
    <row r="30" spans="1:62" x14ac:dyDescent="0.35">
      <c r="A30" s="326">
        <f>IF(A29&lt;'Project Information'!B$11,A29+1,"")</f>
        <v>2050</v>
      </c>
      <c r="B30" s="354">
        <v>0</v>
      </c>
      <c r="C30" s="354">
        <v>0</v>
      </c>
      <c r="D30" s="354">
        <v>0</v>
      </c>
      <c r="E30" s="354">
        <v>0</v>
      </c>
      <c r="F30" s="354">
        <v>0</v>
      </c>
      <c r="G30" s="354">
        <v>0</v>
      </c>
      <c r="H30" s="354">
        <v>0</v>
      </c>
      <c r="I30" s="354">
        <v>0</v>
      </c>
      <c r="J30" s="354">
        <v>0</v>
      </c>
      <c r="K30" s="354">
        <v>0</v>
      </c>
      <c r="L30" s="354">
        <v>0</v>
      </c>
      <c r="M30" s="354">
        <v>0</v>
      </c>
      <c r="O30" s="352"/>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s="353"/>
    </row>
    <row r="31" spans="1:62" x14ac:dyDescent="0.35">
      <c r="A31" s="326">
        <f>IF(A30&lt;'Project Information'!B$11,A30+1,"")</f>
        <v>2051</v>
      </c>
      <c r="B31" s="354">
        <v>0</v>
      </c>
      <c r="C31" s="354">
        <v>0</v>
      </c>
      <c r="D31" s="354">
        <v>0</v>
      </c>
      <c r="E31" s="354">
        <v>0</v>
      </c>
      <c r="F31" s="354">
        <v>0</v>
      </c>
      <c r="G31" s="354">
        <v>0</v>
      </c>
      <c r="H31" s="354">
        <v>0</v>
      </c>
      <c r="I31" s="354">
        <v>0</v>
      </c>
      <c r="J31" s="354">
        <v>0</v>
      </c>
      <c r="K31" s="354">
        <v>0</v>
      </c>
      <c r="L31" s="354">
        <v>0</v>
      </c>
      <c r="M31" s="354">
        <v>0</v>
      </c>
      <c r="O31" s="352"/>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s="353"/>
    </row>
    <row r="32" spans="1:62" x14ac:dyDescent="0.35">
      <c r="A32" s="326">
        <f>IF(A31&lt;'Project Information'!B$11,A31+1,"")</f>
        <v>2052</v>
      </c>
      <c r="B32" s="354">
        <v>0</v>
      </c>
      <c r="C32" s="354">
        <v>0</v>
      </c>
      <c r="D32" s="354">
        <v>0</v>
      </c>
      <c r="E32" s="354">
        <v>0</v>
      </c>
      <c r="F32" s="354">
        <v>0</v>
      </c>
      <c r="G32" s="354">
        <v>0</v>
      </c>
      <c r="H32" s="354">
        <v>0</v>
      </c>
      <c r="I32" s="354">
        <v>0</v>
      </c>
      <c r="J32" s="354">
        <v>0</v>
      </c>
      <c r="K32" s="354">
        <v>0</v>
      </c>
      <c r="L32" s="354">
        <v>0</v>
      </c>
      <c r="M32" s="354">
        <v>0</v>
      </c>
      <c r="O32" s="35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s="353"/>
    </row>
    <row r="33" spans="1:62" x14ac:dyDescent="0.35">
      <c r="A33" s="326">
        <f>IF(A32&lt;'Project Information'!B$11,A32+1,"")</f>
        <v>2053</v>
      </c>
      <c r="B33" s="354">
        <v>0</v>
      </c>
      <c r="C33" s="354">
        <v>0</v>
      </c>
      <c r="D33" s="354">
        <v>0</v>
      </c>
      <c r="E33" s="354">
        <v>0</v>
      </c>
      <c r="F33" s="354">
        <v>0</v>
      </c>
      <c r="G33" s="354">
        <v>0</v>
      </c>
      <c r="H33" s="354">
        <v>0</v>
      </c>
      <c r="I33" s="354">
        <v>0</v>
      </c>
      <c r="J33" s="354">
        <v>0</v>
      </c>
      <c r="K33" s="354">
        <v>0</v>
      </c>
      <c r="L33" s="354">
        <v>0</v>
      </c>
      <c r="M33" s="354">
        <v>0</v>
      </c>
      <c r="O33" s="352"/>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s="353"/>
    </row>
    <row r="34" spans="1:62" x14ac:dyDescent="0.35">
      <c r="A34" s="326">
        <f>IF(A33&lt;'Project Information'!B$11,A33+1,"")</f>
        <v>2054</v>
      </c>
      <c r="B34" s="354">
        <v>0</v>
      </c>
      <c r="C34" s="354">
        <v>0</v>
      </c>
      <c r="D34" s="354">
        <v>0</v>
      </c>
      <c r="E34" s="354">
        <v>0</v>
      </c>
      <c r="F34" s="354">
        <v>0</v>
      </c>
      <c r="G34" s="354">
        <v>0</v>
      </c>
      <c r="H34" s="354">
        <v>0</v>
      </c>
      <c r="I34" s="354">
        <v>0</v>
      </c>
      <c r="J34" s="354">
        <v>0</v>
      </c>
      <c r="K34" s="354">
        <v>0</v>
      </c>
      <c r="L34" s="354">
        <v>0</v>
      </c>
      <c r="M34" s="354">
        <v>0</v>
      </c>
      <c r="O34" s="352"/>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s="353"/>
    </row>
    <row r="35" spans="1:62" x14ac:dyDescent="0.35">
      <c r="A35" s="326" t="str">
        <f>IF(A34&lt;'Project Information'!B$11,A34+1,"")</f>
        <v/>
      </c>
      <c r="B35" s="354">
        <v>0</v>
      </c>
      <c r="C35" s="354">
        <v>0</v>
      </c>
      <c r="D35" s="354">
        <v>0</v>
      </c>
      <c r="E35" s="354">
        <v>0</v>
      </c>
      <c r="F35" s="354">
        <v>0</v>
      </c>
      <c r="G35" s="354">
        <v>0</v>
      </c>
      <c r="H35" s="354">
        <v>0</v>
      </c>
      <c r="I35" s="354">
        <v>0</v>
      </c>
      <c r="J35" s="354">
        <v>0</v>
      </c>
      <c r="K35" s="354">
        <v>0</v>
      </c>
      <c r="L35" s="354">
        <v>0</v>
      </c>
      <c r="M35" s="354">
        <v>0</v>
      </c>
      <c r="O35" s="352"/>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s="353"/>
    </row>
    <row r="36" spans="1:62" x14ac:dyDescent="0.35">
      <c r="A36" s="326" t="str">
        <f>IF(A35&lt;'Project Information'!B$11,A35+1,"")</f>
        <v/>
      </c>
      <c r="B36" s="354">
        <v>0</v>
      </c>
      <c r="C36" s="354">
        <v>0</v>
      </c>
      <c r="D36" s="354">
        <v>0</v>
      </c>
      <c r="E36" s="354">
        <v>0</v>
      </c>
      <c r="F36" s="354">
        <v>0</v>
      </c>
      <c r="G36" s="354">
        <v>0</v>
      </c>
      <c r="H36" s="354">
        <v>0</v>
      </c>
      <c r="I36" s="354">
        <v>0</v>
      </c>
      <c r="J36" s="354">
        <v>0</v>
      </c>
      <c r="K36" s="354">
        <v>0</v>
      </c>
      <c r="L36" s="354">
        <v>0</v>
      </c>
      <c r="M36" s="354">
        <v>0</v>
      </c>
      <c r="O36" s="352"/>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s="353"/>
    </row>
    <row r="37" spans="1:62" x14ac:dyDescent="0.35">
      <c r="A37" s="326" t="str">
        <f>IF(A36&lt;'Project Information'!B$11,A36+1,"")</f>
        <v/>
      </c>
      <c r="B37" s="354">
        <v>0</v>
      </c>
      <c r="C37" s="354">
        <v>0</v>
      </c>
      <c r="D37" s="354">
        <v>0</v>
      </c>
      <c r="E37" s="354">
        <v>0</v>
      </c>
      <c r="F37" s="354">
        <v>0</v>
      </c>
      <c r="G37" s="354">
        <v>0</v>
      </c>
      <c r="H37" s="354">
        <v>0</v>
      </c>
      <c r="I37" s="354">
        <v>0</v>
      </c>
      <c r="J37" s="354">
        <v>0</v>
      </c>
      <c r="K37" s="354">
        <v>0</v>
      </c>
      <c r="L37" s="354">
        <v>0</v>
      </c>
      <c r="M37" s="354">
        <v>0</v>
      </c>
      <c r="O37" s="352"/>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s="353"/>
    </row>
    <row r="38" spans="1:62" x14ac:dyDescent="0.35">
      <c r="A38" s="326" t="str">
        <f>IF(A37&lt;'Project Information'!B$11,A37+1,"")</f>
        <v/>
      </c>
      <c r="B38" s="354">
        <v>0</v>
      </c>
      <c r="C38" s="354">
        <v>0</v>
      </c>
      <c r="D38" s="354">
        <v>0</v>
      </c>
      <c r="E38" s="354">
        <v>0</v>
      </c>
      <c r="F38" s="354">
        <v>0</v>
      </c>
      <c r="G38" s="354">
        <v>0</v>
      </c>
      <c r="H38" s="354">
        <v>0</v>
      </c>
      <c r="I38" s="354">
        <v>0</v>
      </c>
      <c r="J38" s="354">
        <v>0</v>
      </c>
      <c r="K38" s="354">
        <v>0</v>
      </c>
      <c r="L38" s="354">
        <v>0</v>
      </c>
      <c r="M38" s="354">
        <v>0</v>
      </c>
      <c r="O38" s="352"/>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s="353"/>
    </row>
    <row r="39" spans="1:62" x14ac:dyDescent="0.35">
      <c r="A39" s="326" t="str">
        <f>IF(A38&lt;'Project Information'!B$11,A38+1,"")</f>
        <v/>
      </c>
      <c r="B39" s="354">
        <v>0</v>
      </c>
      <c r="C39" s="354">
        <v>0</v>
      </c>
      <c r="D39" s="354">
        <v>0</v>
      </c>
      <c r="E39" s="354">
        <v>0</v>
      </c>
      <c r="F39" s="354">
        <v>0</v>
      </c>
      <c r="G39" s="354">
        <v>0</v>
      </c>
      <c r="H39" s="354">
        <v>0</v>
      </c>
      <c r="I39" s="354">
        <v>0</v>
      </c>
      <c r="J39" s="354">
        <v>0</v>
      </c>
      <c r="K39" s="354">
        <v>0</v>
      </c>
      <c r="L39" s="354">
        <v>0</v>
      </c>
      <c r="M39" s="354">
        <v>0</v>
      </c>
      <c r="O39" s="352"/>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s="353"/>
    </row>
    <row r="40" spans="1:62" s="42" customFormat="1" x14ac:dyDescent="0.35">
      <c r="O40" s="355"/>
      <c r="BJ40" s="356"/>
    </row>
    <row r="41" spans="1:62" s="42" customFormat="1" x14ac:dyDescent="0.35">
      <c r="O41" s="355"/>
      <c r="BJ41" s="356"/>
    </row>
    <row r="42" spans="1:62" s="42" customFormat="1" x14ac:dyDescent="0.35">
      <c r="O42" s="355"/>
      <c r="BJ42" s="356"/>
    </row>
    <row r="43" spans="1:62" s="42" customFormat="1" x14ac:dyDescent="0.35">
      <c r="O43" s="355"/>
      <c r="BJ43" s="356"/>
    </row>
    <row r="44" spans="1:62" s="42" customFormat="1" x14ac:dyDescent="0.35">
      <c r="O44" s="355"/>
      <c r="BJ44" s="356"/>
    </row>
    <row r="45" spans="1:62" s="42" customFormat="1" x14ac:dyDescent="0.35">
      <c r="O45" s="355"/>
      <c r="BJ45" s="356"/>
    </row>
    <row r="46" spans="1:62" s="42" customFormat="1" x14ac:dyDescent="0.35">
      <c r="O46" s="355"/>
      <c r="BJ46" s="356"/>
    </row>
    <row r="47" spans="1:62" s="42" customFormat="1" x14ac:dyDescent="0.35">
      <c r="O47" s="355"/>
      <c r="BJ47" s="356"/>
    </row>
    <row r="48" spans="1:62" s="42" customFormat="1" ht="15" thickBot="1" x14ac:dyDescent="0.4">
      <c r="O48" s="357"/>
      <c r="P48" s="358"/>
      <c r="Q48" s="358"/>
      <c r="R48" s="358"/>
      <c r="S48" s="358"/>
      <c r="T48" s="358"/>
      <c r="U48" s="358"/>
      <c r="V48" s="358"/>
      <c r="W48" s="358"/>
      <c r="X48" s="358"/>
      <c r="Y48" s="358"/>
      <c r="Z48" s="358"/>
      <c r="AA48" s="358"/>
      <c r="AB48" s="358"/>
      <c r="AC48" s="358"/>
      <c r="AD48" s="358"/>
      <c r="AE48" s="358"/>
      <c r="AF48" s="358"/>
      <c r="AG48" s="358"/>
      <c r="AH48" s="358"/>
      <c r="AI48" s="358"/>
      <c r="AJ48" s="358"/>
      <c r="AK48" s="358"/>
      <c r="AL48" s="358"/>
      <c r="AM48" s="358"/>
      <c r="AN48" s="358"/>
      <c r="AO48" s="358"/>
      <c r="AP48" s="358"/>
      <c r="AQ48" s="358"/>
      <c r="AR48" s="358"/>
      <c r="AS48" s="358"/>
      <c r="AT48" s="358"/>
      <c r="AU48" s="358"/>
      <c r="AV48" s="358"/>
      <c r="AW48" s="358"/>
      <c r="AX48" s="358"/>
      <c r="AY48" s="358"/>
      <c r="AZ48" s="358"/>
      <c r="BA48" s="358"/>
      <c r="BB48" s="358"/>
      <c r="BC48" s="358"/>
      <c r="BD48" s="358"/>
      <c r="BE48" s="358"/>
      <c r="BF48" s="358"/>
      <c r="BG48" s="358"/>
      <c r="BH48" s="358"/>
      <c r="BI48" s="358"/>
      <c r="BJ48" s="359"/>
    </row>
    <row r="49" s="42" customFormat="1" x14ac:dyDescent="0.35"/>
    <row r="50" s="42" customFormat="1" x14ac:dyDescent="0.35"/>
    <row r="51" s="42" customFormat="1" x14ac:dyDescent="0.35"/>
    <row r="52" s="42" customFormat="1" x14ac:dyDescent="0.35"/>
    <row r="53" s="42" customFormat="1" x14ac:dyDescent="0.35"/>
    <row r="54" s="42" customFormat="1" x14ac:dyDescent="0.35"/>
    <row r="55" s="42" customFormat="1" x14ac:dyDescent="0.35"/>
    <row r="56" s="42" customFormat="1" x14ac:dyDescent="0.35"/>
    <row r="57" s="42" customFormat="1" x14ac:dyDescent="0.35"/>
    <row r="58" s="42" customFormat="1" x14ac:dyDescent="0.35"/>
    <row r="59" s="42" customFormat="1" x14ac:dyDescent="0.35"/>
    <row r="60" s="42" customFormat="1" x14ac:dyDescent="0.35"/>
    <row r="61" s="42" customFormat="1" x14ac:dyDescent="0.35"/>
    <row r="62" s="42" customFormat="1" x14ac:dyDescent="0.35"/>
    <row r="63" s="42" customFormat="1" x14ac:dyDescent="0.35"/>
    <row r="64" s="42" customFormat="1" x14ac:dyDescent="0.35"/>
    <row r="65" s="42" customFormat="1" x14ac:dyDescent="0.35"/>
    <row r="66" s="42" customFormat="1" x14ac:dyDescent="0.35"/>
    <row r="67" s="42" customFormat="1" x14ac:dyDescent="0.35"/>
    <row r="68" s="42" customFormat="1" x14ac:dyDescent="0.35"/>
    <row r="69" s="42" customFormat="1" x14ac:dyDescent="0.35"/>
    <row r="70" s="42" customFormat="1" x14ac:dyDescent="0.35"/>
    <row r="71" s="42" customFormat="1" x14ac:dyDescent="0.35"/>
    <row r="72" s="42" customFormat="1" x14ac:dyDescent="0.35"/>
    <row r="73" s="42" customFormat="1" x14ac:dyDescent="0.35"/>
    <row r="74" s="42" customFormat="1" x14ac:dyDescent="0.35"/>
    <row r="75" s="42" customFormat="1" x14ac:dyDescent="0.35"/>
    <row r="76" s="42" customFormat="1" x14ac:dyDescent="0.35"/>
    <row r="77" s="42" customFormat="1" x14ac:dyDescent="0.35"/>
    <row r="78" s="42" customFormat="1" x14ac:dyDescent="0.35"/>
    <row r="79" s="42" customFormat="1" x14ac:dyDescent="0.35"/>
    <row r="80" s="42" customFormat="1" x14ac:dyDescent="0.35"/>
    <row r="81" s="42" customFormat="1" x14ac:dyDescent="0.35"/>
    <row r="82" s="42" customFormat="1" x14ac:dyDescent="0.35"/>
    <row r="83" s="42" customFormat="1" x14ac:dyDescent="0.35"/>
    <row r="84" s="42" customFormat="1" x14ac:dyDescent="0.35"/>
    <row r="85" s="42" customFormat="1" x14ac:dyDescent="0.35"/>
    <row r="86" s="42" customFormat="1" x14ac:dyDescent="0.35"/>
    <row r="87" s="42" customFormat="1" x14ac:dyDescent="0.35"/>
    <row r="88" s="42" customFormat="1" x14ac:dyDescent="0.35"/>
    <row r="89" s="42" customFormat="1" x14ac:dyDescent="0.35"/>
    <row r="90" s="42" customFormat="1" x14ac:dyDescent="0.35"/>
    <row r="91" s="42" customFormat="1" x14ac:dyDescent="0.35"/>
    <row r="92" s="42" customFormat="1" x14ac:dyDescent="0.35"/>
    <row r="93" s="42" customFormat="1" x14ac:dyDescent="0.35"/>
    <row r="94" s="42" customFormat="1" x14ac:dyDescent="0.35"/>
    <row r="95" s="42" customFormat="1" x14ac:dyDescent="0.35"/>
    <row r="96" s="42" customFormat="1" x14ac:dyDescent="0.35"/>
    <row r="97" s="42" customFormat="1" x14ac:dyDescent="0.35"/>
    <row r="98" s="42" customFormat="1" x14ac:dyDescent="0.35"/>
    <row r="99" s="42" customFormat="1" x14ac:dyDescent="0.35"/>
    <row r="100" s="42" customFormat="1" x14ac:dyDescent="0.35"/>
    <row r="101" s="42" customFormat="1" x14ac:dyDescent="0.35"/>
    <row r="102" s="42" customFormat="1" x14ac:dyDescent="0.35"/>
    <row r="103" s="42" customFormat="1" x14ac:dyDescent="0.35"/>
    <row r="104" s="42" customFormat="1" x14ac:dyDescent="0.35"/>
    <row r="105" s="42" customFormat="1" x14ac:dyDescent="0.35"/>
    <row r="106" s="42" customFormat="1" x14ac:dyDescent="0.35"/>
    <row r="107" s="42" customFormat="1" x14ac:dyDescent="0.35"/>
    <row r="108" s="42" customFormat="1" x14ac:dyDescent="0.35"/>
    <row r="109" s="42" customFormat="1" x14ac:dyDescent="0.35"/>
    <row r="110" s="42" customFormat="1" x14ac:dyDescent="0.35"/>
    <row r="111" s="42" customFormat="1" x14ac:dyDescent="0.35"/>
    <row r="112" s="42" customFormat="1" x14ac:dyDescent="0.35"/>
    <row r="113" s="42" customFormat="1" x14ac:dyDescent="0.35"/>
    <row r="114" s="42" customFormat="1" x14ac:dyDescent="0.35"/>
    <row r="115" s="42" customFormat="1" x14ac:dyDescent="0.35"/>
    <row r="116" s="42" customFormat="1" x14ac:dyDescent="0.35"/>
    <row r="117" s="42" customFormat="1" x14ac:dyDescent="0.35"/>
    <row r="118" s="42" customFormat="1" x14ac:dyDescent="0.35"/>
    <row r="119" s="42" customFormat="1" x14ac:dyDescent="0.35"/>
    <row r="120" s="42" customFormat="1" x14ac:dyDescent="0.35"/>
    <row r="121" s="42" customFormat="1" x14ac:dyDescent="0.35"/>
    <row r="122" s="42" customFormat="1" x14ac:dyDescent="0.35"/>
    <row r="123" s="42" customFormat="1" x14ac:dyDescent="0.35"/>
    <row r="124" s="42" customFormat="1" x14ac:dyDescent="0.35"/>
    <row r="125" s="42" customFormat="1" x14ac:dyDescent="0.35"/>
    <row r="126" s="42" customFormat="1" x14ac:dyDescent="0.35"/>
    <row r="127" s="42" customFormat="1" x14ac:dyDescent="0.35"/>
    <row r="128" s="42" customFormat="1" x14ac:dyDescent="0.35"/>
    <row r="129" s="42" customFormat="1" x14ac:dyDescent="0.35"/>
    <row r="130" s="42" customFormat="1" x14ac:dyDescent="0.35"/>
    <row r="131" s="42" customFormat="1" x14ac:dyDescent="0.35"/>
    <row r="132" s="42" customFormat="1" x14ac:dyDescent="0.35"/>
    <row r="133" s="42" customFormat="1" x14ac:dyDescent="0.35"/>
    <row r="134" s="42" customFormat="1" x14ac:dyDescent="0.35"/>
    <row r="135" s="42" customFormat="1" x14ac:dyDescent="0.35"/>
    <row r="136" s="42" customFormat="1" x14ac:dyDescent="0.35"/>
    <row r="137" s="42" customFormat="1" x14ac:dyDescent="0.35"/>
    <row r="138" s="42" customFormat="1" x14ac:dyDescent="0.35"/>
    <row r="139" s="42" customFormat="1" x14ac:dyDescent="0.35"/>
    <row r="140" s="42" customFormat="1" x14ac:dyDescent="0.35"/>
    <row r="141" s="42" customFormat="1" x14ac:dyDescent="0.35"/>
    <row r="142" s="42" customFormat="1" x14ac:dyDescent="0.35"/>
    <row r="143" s="42" customFormat="1" x14ac:dyDescent="0.35"/>
    <row r="144" s="42" customFormat="1" x14ac:dyDescent="0.35"/>
    <row r="145" s="42" customFormat="1" x14ac:dyDescent="0.35"/>
    <row r="146" s="42" customFormat="1" x14ac:dyDescent="0.35"/>
    <row r="147" s="42" customFormat="1" x14ac:dyDescent="0.35"/>
    <row r="148" s="42" customFormat="1" x14ac:dyDescent="0.35"/>
    <row r="149" s="42" customFormat="1" x14ac:dyDescent="0.35"/>
    <row r="150" s="42" customFormat="1" x14ac:dyDescent="0.35"/>
    <row r="151" s="42" customFormat="1" x14ac:dyDescent="0.35"/>
    <row r="152" s="42" customFormat="1" x14ac:dyDescent="0.35"/>
    <row r="153" s="42" customFormat="1" x14ac:dyDescent="0.35"/>
    <row r="154" s="42" customFormat="1" x14ac:dyDescent="0.35"/>
    <row r="155" s="42" customFormat="1" x14ac:dyDescent="0.35"/>
    <row r="156" s="42" customFormat="1" x14ac:dyDescent="0.35"/>
    <row r="157" s="42" customFormat="1" x14ac:dyDescent="0.35"/>
    <row r="158" s="42" customFormat="1" x14ac:dyDescent="0.35"/>
    <row r="159" s="42" customFormat="1" x14ac:dyDescent="0.35"/>
    <row r="160" s="42" customFormat="1" x14ac:dyDescent="0.35"/>
    <row r="161" s="42" customFormat="1" x14ac:dyDescent="0.35"/>
    <row r="162" s="42" customFormat="1" x14ac:dyDescent="0.35"/>
    <row r="163" s="42" customFormat="1" x14ac:dyDescent="0.35"/>
    <row r="164" s="42" customFormat="1" x14ac:dyDescent="0.35"/>
    <row r="165" s="42" customFormat="1" x14ac:dyDescent="0.35"/>
    <row r="166" s="42" customFormat="1" x14ac:dyDescent="0.35"/>
    <row r="167" s="42" customFormat="1" x14ac:dyDescent="0.35"/>
    <row r="168" s="42" customFormat="1" x14ac:dyDescent="0.35"/>
    <row r="169" s="42" customFormat="1" x14ac:dyDescent="0.35"/>
    <row r="170" s="42" customFormat="1" x14ac:dyDescent="0.35"/>
    <row r="171" s="42" customFormat="1" x14ac:dyDescent="0.35"/>
    <row r="172" s="42" customFormat="1" x14ac:dyDescent="0.35"/>
    <row r="173" s="42" customFormat="1" x14ac:dyDescent="0.35"/>
    <row r="174" s="42" customFormat="1" x14ac:dyDescent="0.35"/>
    <row r="175" s="42" customFormat="1" x14ac:dyDescent="0.35"/>
    <row r="176" s="42" customFormat="1" x14ac:dyDescent="0.35"/>
    <row r="177" s="42" customFormat="1" x14ac:dyDescent="0.35"/>
    <row r="178" s="42" customFormat="1" x14ac:dyDescent="0.35"/>
    <row r="179" s="42" customFormat="1" x14ac:dyDescent="0.35"/>
    <row r="180" s="42" customFormat="1" x14ac:dyDescent="0.35"/>
    <row r="181" s="42" customFormat="1" x14ac:dyDescent="0.35"/>
    <row r="182" s="42" customFormat="1" x14ac:dyDescent="0.35"/>
    <row r="183" s="42" customFormat="1" x14ac:dyDescent="0.35"/>
    <row r="184" s="42" customFormat="1" x14ac:dyDescent="0.35"/>
    <row r="185" s="42" customFormat="1" x14ac:dyDescent="0.35"/>
    <row r="186" s="42" customFormat="1" x14ac:dyDescent="0.35"/>
    <row r="187" s="42" customFormat="1" x14ac:dyDescent="0.35"/>
    <row r="188" s="42" customFormat="1" x14ac:dyDescent="0.35"/>
    <row r="189" s="42" customFormat="1" x14ac:dyDescent="0.35"/>
    <row r="190" s="42" customFormat="1" x14ac:dyDescent="0.35"/>
    <row r="191" s="42" customFormat="1" x14ac:dyDescent="0.35"/>
    <row r="192" s="42" customFormat="1" x14ac:dyDescent="0.35"/>
    <row r="193" s="42" customFormat="1" x14ac:dyDescent="0.35"/>
    <row r="194" s="42" customFormat="1" x14ac:dyDescent="0.35"/>
    <row r="195" s="42" customFormat="1" x14ac:dyDescent="0.35"/>
    <row r="196" s="42" customFormat="1" x14ac:dyDescent="0.35"/>
    <row r="197" s="42" customFormat="1" x14ac:dyDescent="0.35"/>
    <row r="198" s="42" customFormat="1" x14ac:dyDescent="0.35"/>
    <row r="199" s="42" customFormat="1" x14ac:dyDescent="0.35"/>
    <row r="200" s="42" customFormat="1" x14ac:dyDescent="0.35"/>
    <row r="201" s="42" customFormat="1" x14ac:dyDescent="0.35"/>
    <row r="202" s="42" customFormat="1" x14ac:dyDescent="0.35"/>
    <row r="203" s="42" customFormat="1" x14ac:dyDescent="0.35"/>
    <row r="204" s="42" customFormat="1" x14ac:dyDescent="0.35"/>
    <row r="205" s="42" customFormat="1" x14ac:dyDescent="0.35"/>
    <row r="206" s="42" customFormat="1" x14ac:dyDescent="0.35"/>
    <row r="207" s="42" customFormat="1" x14ac:dyDescent="0.35"/>
    <row r="208" s="42" customFormat="1" x14ac:dyDescent="0.35"/>
    <row r="209" s="42" customFormat="1" x14ac:dyDescent="0.35"/>
    <row r="210" s="42" customFormat="1" x14ac:dyDescent="0.35"/>
    <row r="211" s="42" customFormat="1" x14ac:dyDescent="0.35"/>
    <row r="212" s="42" customFormat="1" x14ac:dyDescent="0.35"/>
    <row r="213" s="42" customFormat="1" x14ac:dyDescent="0.35"/>
    <row r="214" s="42" customFormat="1" x14ac:dyDescent="0.35"/>
    <row r="215" s="42" customFormat="1" x14ac:dyDescent="0.35"/>
    <row r="216" s="42" customFormat="1" x14ac:dyDescent="0.35"/>
    <row r="217" s="42" customFormat="1" x14ac:dyDescent="0.35"/>
    <row r="218" s="42" customFormat="1" x14ac:dyDescent="0.35"/>
    <row r="219" s="42" customFormat="1" x14ac:dyDescent="0.35"/>
    <row r="220" s="42" customFormat="1" x14ac:dyDescent="0.35"/>
    <row r="221" s="42" customFormat="1" x14ac:dyDescent="0.35"/>
    <row r="222" s="42" customFormat="1" x14ac:dyDescent="0.35"/>
    <row r="223" s="42" customFormat="1" x14ac:dyDescent="0.35"/>
    <row r="224" s="42" customFormat="1" x14ac:dyDescent="0.35"/>
    <row r="225" s="42" customFormat="1" x14ac:dyDescent="0.35"/>
    <row r="226" s="42" customFormat="1" x14ac:dyDescent="0.35"/>
    <row r="227" s="42" customFormat="1" x14ac:dyDescent="0.35"/>
    <row r="228" s="42" customFormat="1" x14ac:dyDescent="0.35"/>
    <row r="229" s="42" customFormat="1" x14ac:dyDescent="0.35"/>
    <row r="230" s="42" customFormat="1" x14ac:dyDescent="0.35"/>
    <row r="231" s="42" customFormat="1" x14ac:dyDescent="0.35"/>
    <row r="232" s="42" customFormat="1" x14ac:dyDescent="0.35"/>
    <row r="233" s="42" customFormat="1" x14ac:dyDescent="0.35"/>
    <row r="234" s="42" customFormat="1" x14ac:dyDescent="0.35"/>
    <row r="235" s="42" customFormat="1" x14ac:dyDescent="0.35"/>
    <row r="236" s="42" customFormat="1" x14ac:dyDescent="0.35"/>
    <row r="237" s="42" customFormat="1" x14ac:dyDescent="0.35"/>
    <row r="238" s="42" customFormat="1" x14ac:dyDescent="0.35"/>
    <row r="239" s="42" customFormat="1" x14ac:dyDescent="0.35"/>
    <row r="240" s="42" customFormat="1" x14ac:dyDescent="0.35"/>
    <row r="241" s="42" customFormat="1" x14ac:dyDescent="0.35"/>
    <row r="242" s="42" customFormat="1" x14ac:dyDescent="0.35"/>
    <row r="243" s="42" customFormat="1" x14ac:dyDescent="0.35"/>
    <row r="244" s="42" customFormat="1" x14ac:dyDescent="0.35"/>
    <row r="245" s="42" customFormat="1" x14ac:dyDescent="0.35"/>
    <row r="246" s="42" customFormat="1" x14ac:dyDescent="0.35"/>
  </sheetData>
  <sheetProtection algorithmName="SHA-512" hashValue="fNMCmUJBH+UWTIsNVwmUqYTYpIVDOrX7qU72l1nWhm3CW9g8GV3Uq7qf9C59se9f4vcWB9+IhS3BXZyA6wYxig==" saltValue="kdDTZK7zVFmJgHCWIY9mYQ==" spinCount="100000" sheet="1" objects="1" scenarios="1"/>
  <mergeCells count="6">
    <mergeCell ref="L8:M8"/>
    <mergeCell ref="B8:C8"/>
    <mergeCell ref="D8:E8"/>
    <mergeCell ref="F8:G8"/>
    <mergeCell ref="H8:I8"/>
    <mergeCell ref="J8:K8"/>
  </mergeCells>
  <conditionalFormatting sqref="B10:M39">
    <cfRule type="expression" dxfId="0" priority="1">
      <formula>$A10=""</formula>
    </cfRule>
  </conditionalFormatting>
  <pageMargins left="0.7" right="0.7" top="0.75" bottom="0.75" header="0.3" footer="0.3"/>
  <pageSetup orientation="portrait" horizontalDpi="90" verticalDpi="9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0A937-C801-44CF-B578-24A2BDBB0EB3}">
  <sheetPr codeName="Sheet1">
    <tabColor theme="0" tint="-0.249977111117893"/>
  </sheetPr>
  <dimension ref="A1:B23"/>
  <sheetViews>
    <sheetView zoomScale="130" zoomScaleNormal="130" workbookViewId="0"/>
  </sheetViews>
  <sheetFormatPr defaultColWidth="9.1796875" defaultRowHeight="14.5" x14ac:dyDescent="0.35"/>
  <cols>
    <col min="1" max="1" width="72.81640625" style="42" customWidth="1"/>
    <col min="2" max="2" width="10.1796875" style="42" bestFit="1" customWidth="1"/>
    <col min="3" max="16384" width="9.1796875" style="42"/>
  </cols>
  <sheetData>
    <row r="1" spans="1:1" ht="20" thickBot="1" x14ac:dyDescent="0.5">
      <c r="A1" s="41" t="s">
        <v>100</v>
      </c>
    </row>
    <row r="2" spans="1:1" ht="15" thickTop="1" x14ac:dyDescent="0.35">
      <c r="A2" s="43" t="s">
        <v>101</v>
      </c>
    </row>
    <row r="3" spans="1:1" ht="17.5" thickBot="1" x14ac:dyDescent="0.45">
      <c r="A3" s="44" t="s">
        <v>102</v>
      </c>
    </row>
    <row r="4" spans="1:1" ht="76" customHeight="1" thickTop="1" x14ac:dyDescent="0.35">
      <c r="A4" s="45" t="s">
        <v>103</v>
      </c>
    </row>
    <row r="5" spans="1:1" x14ac:dyDescent="0.35">
      <c r="A5" s="43" t="s">
        <v>104</v>
      </c>
    </row>
    <row r="6" spans="1:1" ht="17.5" thickBot="1" x14ac:dyDescent="0.45">
      <c r="A6" s="46" t="s">
        <v>105</v>
      </c>
    </row>
    <row r="7" spans="1:1" ht="15" thickTop="1" x14ac:dyDescent="0.35">
      <c r="A7" s="47" t="s">
        <v>106</v>
      </c>
    </row>
    <row r="8" spans="1:1" x14ac:dyDescent="0.35">
      <c r="A8" s="47" t="s">
        <v>107</v>
      </c>
    </row>
    <row r="9" spans="1:1" ht="29" x14ac:dyDescent="0.35">
      <c r="A9" s="48" t="s">
        <v>108</v>
      </c>
    </row>
    <row r="10" spans="1:1" x14ac:dyDescent="0.35">
      <c r="A10" s="49" t="str">
        <f>HYPERLINK("https://www.transportation.gov/mission/office-secretary/office-policy/transportation-policy/benefit-cost-analysis-guidance", "See USDOT BCA Guidance for full details.")</f>
        <v>See USDOT BCA Guidance for full details.</v>
      </c>
    </row>
    <row r="11" spans="1:1" x14ac:dyDescent="0.35">
      <c r="A11" s="43" t="s">
        <v>101</v>
      </c>
    </row>
    <row r="12" spans="1:1" ht="17.5" thickBot="1" x14ac:dyDescent="0.45">
      <c r="A12" s="46" t="s">
        <v>109</v>
      </c>
    </row>
    <row r="13" spans="1:1" ht="15" thickTop="1" x14ac:dyDescent="0.35">
      <c r="A13" s="50" t="s">
        <v>110</v>
      </c>
    </row>
    <row r="14" spans="1:1" ht="29" x14ac:dyDescent="0.35">
      <c r="A14" s="51" t="s">
        <v>111</v>
      </c>
    </row>
    <row r="15" spans="1:1" ht="29" x14ac:dyDescent="0.35">
      <c r="A15" s="4" t="s">
        <v>112</v>
      </c>
    </row>
    <row r="16" spans="1:1" ht="29" x14ac:dyDescent="0.35">
      <c r="A16" s="5" t="s">
        <v>113</v>
      </c>
    </row>
    <row r="17" spans="1:2" ht="43.5" x14ac:dyDescent="0.35">
      <c r="A17" s="52" t="s">
        <v>114</v>
      </c>
    </row>
    <row r="18" spans="1:2" x14ac:dyDescent="0.35">
      <c r="A18" s="52" t="s">
        <v>115</v>
      </c>
    </row>
    <row r="19" spans="1:2" ht="43.5" x14ac:dyDescent="0.35">
      <c r="A19" s="53" t="s">
        <v>13</v>
      </c>
    </row>
    <row r="22" spans="1:2" x14ac:dyDescent="0.35">
      <c r="A22" s="10" t="s">
        <v>14</v>
      </c>
      <c r="B22" s="11">
        <v>2022</v>
      </c>
    </row>
    <row r="23" spans="1:2" x14ac:dyDescent="0.35">
      <c r="A23" s="12" t="s">
        <v>15</v>
      </c>
      <c r="B23" s="13">
        <v>45322</v>
      </c>
    </row>
  </sheetData>
  <sheetProtection algorithmName="SHA-512" hashValue="BIk3L6MIVQKR+Tr4rk/GHgHBRXriyQVcQ9LvIh+zP0NqFukbn0mWFU0vxQwCI8spfAiJvjKCxvdDSHhrkA+0PQ==" saltValue="t6I54mPGr6ZMUBYXtOHHIA==" spinCount="100000" sheet="1" objects="1" scenarios="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CB9B2F-30CD-4B04-8789-3C13CF4D90B6}">
  <sheetPr codeName="Sheet8">
    <tabColor theme="9" tint="0.39997558519241921"/>
  </sheetPr>
  <dimension ref="A1:BE671"/>
  <sheetViews>
    <sheetView topLeftCell="A129677" workbookViewId="0">
      <selection activeCell="A129719" sqref="A129719:H129751"/>
    </sheetView>
  </sheetViews>
  <sheetFormatPr defaultColWidth="8.81640625" defaultRowHeight="14.5" x14ac:dyDescent="0.35"/>
  <cols>
    <col min="1" max="1" width="11.1796875" style="35" customWidth="1"/>
    <col min="2" max="2" width="23.1796875" style="35" customWidth="1"/>
    <col min="3" max="3" width="25.81640625" style="35" customWidth="1"/>
    <col min="4" max="4" width="38.453125" style="35" customWidth="1"/>
    <col min="5" max="5" width="34.1796875" style="35" customWidth="1"/>
    <col min="6" max="6" width="18.54296875" style="35" customWidth="1"/>
    <col min="7" max="7" width="19.81640625" style="35" customWidth="1"/>
    <col min="8" max="8" width="28.453125" style="35" bestFit="1" customWidth="1"/>
    <col min="9" max="9" width="14.81640625" style="36" customWidth="1"/>
    <col min="10" max="10" width="49.1796875" style="36" customWidth="1"/>
    <col min="11" max="11" width="27.453125" style="36" customWidth="1"/>
    <col min="12" max="12" width="10.81640625" style="36" customWidth="1"/>
    <col min="13" max="13" width="29" style="36" customWidth="1"/>
    <col min="14" max="14" width="22.1796875" style="36" customWidth="1"/>
    <col min="15" max="15" width="36.1796875" style="36" customWidth="1"/>
    <col min="16" max="16" width="19.81640625" style="36" customWidth="1"/>
    <col min="17" max="17" width="9" style="36" customWidth="1"/>
    <col min="18" max="18" width="11.81640625" style="36" customWidth="1"/>
    <col min="19" max="19" width="12.1796875" style="36" customWidth="1"/>
    <col min="20" max="20" width="23.1796875" style="36" customWidth="1"/>
    <col min="21" max="21" width="27.1796875" style="36" customWidth="1"/>
    <col min="22" max="22" width="17.453125" style="36" customWidth="1"/>
    <col min="23" max="23" width="16.81640625" style="36" customWidth="1"/>
    <col min="24" max="24" width="9.81640625" style="36" customWidth="1"/>
    <col min="25" max="25" width="11.1796875" style="36" customWidth="1"/>
    <col min="26" max="26" width="19.1796875" style="36" customWidth="1"/>
    <col min="27" max="27" width="13.81640625" style="36" customWidth="1"/>
    <col min="28" max="28" width="17.1796875" style="36" customWidth="1"/>
    <col min="29" max="29" width="43.81640625" style="36" customWidth="1"/>
    <col min="30" max="30" width="46.81640625" style="36" customWidth="1"/>
    <col min="31" max="31" width="14.54296875" style="36" customWidth="1"/>
    <col min="32" max="32" width="15.1796875" style="36" customWidth="1"/>
    <col min="33" max="33" width="15.81640625" style="36" customWidth="1"/>
    <col min="34" max="35" width="18.1796875" style="36" customWidth="1"/>
    <col min="36" max="36" width="13.1796875" style="36" customWidth="1"/>
    <col min="37" max="37" width="15.1796875" style="36" customWidth="1"/>
    <col min="38" max="38" width="13.1796875" style="36" customWidth="1"/>
    <col min="39" max="39" width="12.1796875" style="36" customWidth="1"/>
    <col min="40" max="40" width="9.54296875" style="36" customWidth="1"/>
    <col min="41" max="41" width="12.1796875" style="36" customWidth="1"/>
    <col min="42" max="43" width="13.1796875" style="36" customWidth="1"/>
    <col min="44" max="44" width="13.81640625" style="36" customWidth="1"/>
    <col min="45" max="45" width="10.453125" style="36" customWidth="1"/>
    <col min="46" max="61" width="11.453125" style="36" customWidth="1"/>
    <col min="62" max="16384" width="8.81640625" style="36"/>
  </cols>
  <sheetData>
    <row r="1" spans="1:57" x14ac:dyDescent="0.35">
      <c r="A1" s="38" t="s">
        <v>56</v>
      </c>
      <c r="B1" s="38" t="s">
        <v>57</v>
      </c>
      <c r="C1" s="38" t="s">
        <v>58</v>
      </c>
      <c r="D1" s="38" t="s">
        <v>59</v>
      </c>
      <c r="E1" s="38" t="s">
        <v>60</v>
      </c>
      <c r="F1" s="38" t="s">
        <v>61</v>
      </c>
      <c r="G1" s="38" t="s">
        <v>62</v>
      </c>
      <c r="H1" s="38" t="s">
        <v>63</v>
      </c>
      <c r="R1" s="39"/>
      <c r="BB1" s="39"/>
      <c r="BD1" s="39"/>
    </row>
    <row r="2" spans="1:57" x14ac:dyDescent="0.35">
      <c r="A2" s="36">
        <v>1057</v>
      </c>
      <c r="B2" s="36">
        <v>8</v>
      </c>
      <c r="C2" s="36">
        <v>0</v>
      </c>
      <c r="D2" s="36">
        <v>0</v>
      </c>
      <c r="E2" s="36">
        <v>0</v>
      </c>
      <c r="F2" s="36">
        <v>0</v>
      </c>
      <c r="G2" s="36" t="s">
        <v>66</v>
      </c>
      <c r="H2" s="36" t="s">
        <v>65</v>
      </c>
      <c r="S2" s="39"/>
      <c r="BC2" s="39"/>
      <c r="BE2" s="39"/>
    </row>
    <row r="3" spans="1:57" x14ac:dyDescent="0.35">
      <c r="A3" s="36">
        <v>1057</v>
      </c>
      <c r="B3" s="36">
        <v>1</v>
      </c>
      <c r="C3" s="36">
        <v>0</v>
      </c>
      <c r="D3" s="36">
        <v>0</v>
      </c>
      <c r="E3" s="36">
        <v>0</v>
      </c>
      <c r="F3" s="36">
        <v>0</v>
      </c>
      <c r="G3" s="36" t="s">
        <v>64</v>
      </c>
      <c r="H3" s="36" t="s">
        <v>70</v>
      </c>
      <c r="S3" s="39"/>
      <c r="BC3" s="39"/>
      <c r="BE3" s="39"/>
    </row>
    <row r="4" spans="1:57" x14ac:dyDescent="0.35">
      <c r="A4" s="36">
        <v>1057</v>
      </c>
      <c r="B4" s="36">
        <v>2</v>
      </c>
      <c r="C4" s="36">
        <v>0</v>
      </c>
      <c r="D4" s="36">
        <v>0</v>
      </c>
      <c r="E4" s="36">
        <v>0</v>
      </c>
      <c r="F4" s="36">
        <v>0</v>
      </c>
      <c r="G4" s="36" t="s">
        <v>66</v>
      </c>
      <c r="H4" s="36" t="s">
        <v>65</v>
      </c>
      <c r="S4" s="39"/>
      <c r="BC4" s="39"/>
      <c r="BE4" s="39"/>
    </row>
    <row r="5" spans="1:57" x14ac:dyDescent="0.35">
      <c r="A5" s="36">
        <v>1057</v>
      </c>
      <c r="B5" s="36">
        <v>3</v>
      </c>
      <c r="C5" s="36">
        <v>0</v>
      </c>
      <c r="D5" s="36">
        <v>0</v>
      </c>
      <c r="E5" s="36">
        <v>0</v>
      </c>
      <c r="F5" s="36">
        <v>0</v>
      </c>
      <c r="G5" s="36" t="s">
        <v>64</v>
      </c>
      <c r="H5" s="36" t="s">
        <v>65</v>
      </c>
      <c r="S5" s="39"/>
      <c r="BC5" s="39"/>
      <c r="BE5" s="39"/>
    </row>
    <row r="6" spans="1:57" x14ac:dyDescent="0.35">
      <c r="A6" s="36">
        <v>1057</v>
      </c>
      <c r="B6" s="36">
        <v>3</v>
      </c>
      <c r="C6" s="36">
        <v>0</v>
      </c>
      <c r="D6" s="36">
        <v>0</v>
      </c>
      <c r="E6" s="36">
        <v>0</v>
      </c>
      <c r="F6" s="36">
        <v>0</v>
      </c>
      <c r="G6" s="36" t="s">
        <v>64</v>
      </c>
      <c r="H6" s="36" t="s">
        <v>65</v>
      </c>
      <c r="S6" s="39"/>
      <c r="BC6" s="39"/>
      <c r="BE6" s="39"/>
    </row>
    <row r="7" spans="1:57" x14ac:dyDescent="0.35">
      <c r="A7" s="36">
        <v>1057</v>
      </c>
      <c r="B7" s="36">
        <v>2</v>
      </c>
      <c r="C7" s="36">
        <v>0</v>
      </c>
      <c r="D7" s="36">
        <v>0</v>
      </c>
      <c r="E7" s="36">
        <v>0</v>
      </c>
      <c r="F7" s="36">
        <v>0</v>
      </c>
      <c r="G7" s="36" t="s">
        <v>64</v>
      </c>
      <c r="H7" s="36" t="s">
        <v>65</v>
      </c>
      <c r="S7" s="39"/>
      <c r="BC7" s="39"/>
      <c r="BE7" s="39"/>
    </row>
    <row r="8" spans="1:57" x14ac:dyDescent="0.35">
      <c r="A8" s="36">
        <v>1057</v>
      </c>
      <c r="B8" s="36">
        <v>3</v>
      </c>
      <c r="C8" s="36">
        <v>0</v>
      </c>
      <c r="D8" s="36">
        <v>0</v>
      </c>
      <c r="E8" s="36">
        <v>0</v>
      </c>
      <c r="F8" s="36">
        <v>0</v>
      </c>
      <c r="G8" s="36" t="s">
        <v>64</v>
      </c>
      <c r="H8" s="36" t="s">
        <v>65</v>
      </c>
      <c r="S8" s="39"/>
      <c r="BC8" s="39"/>
      <c r="BE8" s="39"/>
    </row>
    <row r="9" spans="1:57" x14ac:dyDescent="0.35">
      <c r="A9" s="36">
        <v>1057</v>
      </c>
      <c r="B9" s="36">
        <v>0</v>
      </c>
      <c r="C9" s="36">
        <v>0</v>
      </c>
      <c r="D9" s="36">
        <v>1</v>
      </c>
      <c r="E9" s="36">
        <v>0</v>
      </c>
      <c r="F9" s="36">
        <v>0</v>
      </c>
      <c r="G9" s="36" t="s">
        <v>64</v>
      </c>
      <c r="H9" s="36" t="s">
        <v>70</v>
      </c>
      <c r="S9" s="39"/>
      <c r="BC9" s="39"/>
      <c r="BE9" s="39"/>
    </row>
    <row r="10" spans="1:57" x14ac:dyDescent="0.35">
      <c r="A10" s="36">
        <v>1057</v>
      </c>
      <c r="B10" s="36">
        <v>0</v>
      </c>
      <c r="C10" s="36">
        <v>1</v>
      </c>
      <c r="D10" s="36">
        <v>0</v>
      </c>
      <c r="E10" s="36">
        <v>0</v>
      </c>
      <c r="F10" s="36">
        <v>0</v>
      </c>
      <c r="G10" s="36" t="s">
        <v>64</v>
      </c>
      <c r="H10" s="36" t="s">
        <v>65</v>
      </c>
      <c r="S10" s="39"/>
      <c r="BC10" s="39"/>
      <c r="BE10" s="39"/>
    </row>
    <row r="11" spans="1:57" x14ac:dyDescent="0.35">
      <c r="A11" s="36">
        <v>1057</v>
      </c>
      <c r="B11" s="36">
        <v>2</v>
      </c>
      <c r="C11" s="36">
        <v>0</v>
      </c>
      <c r="D11" s="36">
        <v>0</v>
      </c>
      <c r="E11" s="36">
        <v>0</v>
      </c>
      <c r="F11" s="36">
        <v>0</v>
      </c>
      <c r="G11" s="36" t="s">
        <v>64</v>
      </c>
      <c r="H11" s="36" t="s">
        <v>65</v>
      </c>
      <c r="S11" s="39"/>
      <c r="BC11" s="39"/>
      <c r="BE11" s="39"/>
    </row>
    <row r="12" spans="1:57" x14ac:dyDescent="0.35">
      <c r="A12" s="36">
        <v>1057</v>
      </c>
      <c r="B12" s="36">
        <v>2</v>
      </c>
      <c r="C12" s="36">
        <v>0</v>
      </c>
      <c r="D12" s="36">
        <v>0</v>
      </c>
      <c r="E12" s="36">
        <v>0</v>
      </c>
      <c r="F12" s="36">
        <v>0</v>
      </c>
      <c r="G12" s="36" t="s">
        <v>64</v>
      </c>
      <c r="H12" s="36" t="s">
        <v>65</v>
      </c>
      <c r="S12" s="39"/>
      <c r="BC12" s="39"/>
      <c r="BE12" s="39"/>
    </row>
    <row r="13" spans="1:57" x14ac:dyDescent="0.35">
      <c r="A13" s="36">
        <v>1057</v>
      </c>
      <c r="B13" s="36">
        <v>2</v>
      </c>
      <c r="C13" s="36">
        <v>0</v>
      </c>
      <c r="D13" s="36">
        <v>0</v>
      </c>
      <c r="E13" s="36">
        <v>0</v>
      </c>
      <c r="F13" s="36">
        <v>0</v>
      </c>
      <c r="G13" s="36" t="s">
        <v>68</v>
      </c>
      <c r="H13" s="36" t="s">
        <v>65</v>
      </c>
      <c r="S13" s="39"/>
      <c r="BC13" s="39"/>
      <c r="BE13" s="39"/>
    </row>
    <row r="14" spans="1:57" x14ac:dyDescent="0.35">
      <c r="A14" s="36">
        <v>1057</v>
      </c>
      <c r="B14" s="36">
        <v>2</v>
      </c>
      <c r="C14" s="36">
        <v>0</v>
      </c>
      <c r="D14" s="36">
        <v>0</v>
      </c>
      <c r="E14" s="36">
        <v>0</v>
      </c>
      <c r="F14" s="36">
        <v>0</v>
      </c>
      <c r="G14" s="36" t="s">
        <v>64</v>
      </c>
      <c r="H14" s="36" t="s">
        <v>70</v>
      </c>
      <c r="S14" s="39"/>
      <c r="BC14" s="39"/>
      <c r="BE14" s="39"/>
    </row>
    <row r="15" spans="1:57" x14ac:dyDescent="0.35">
      <c r="A15" s="36">
        <v>1057</v>
      </c>
      <c r="B15" s="36">
        <v>3</v>
      </c>
      <c r="C15" s="36">
        <v>0</v>
      </c>
      <c r="D15" s="36">
        <v>0</v>
      </c>
      <c r="E15" s="36">
        <v>0</v>
      </c>
      <c r="F15" s="36">
        <v>0</v>
      </c>
      <c r="G15" s="36" t="s">
        <v>66</v>
      </c>
      <c r="H15" s="36" t="s">
        <v>65</v>
      </c>
      <c r="S15" s="39"/>
      <c r="BC15" s="39"/>
      <c r="BE15" s="39"/>
    </row>
    <row r="16" spans="1:57" x14ac:dyDescent="0.35">
      <c r="A16" s="36">
        <v>1057</v>
      </c>
      <c r="B16" s="36">
        <v>3</v>
      </c>
      <c r="C16" s="36">
        <v>0</v>
      </c>
      <c r="D16" s="36">
        <v>0</v>
      </c>
      <c r="E16" s="36">
        <v>0</v>
      </c>
      <c r="F16" s="36">
        <v>0</v>
      </c>
      <c r="G16" s="36" t="s">
        <v>66</v>
      </c>
      <c r="H16" s="36" t="s">
        <v>65</v>
      </c>
      <c r="S16" s="39"/>
      <c r="BC16" s="39"/>
      <c r="BE16" s="39"/>
    </row>
    <row r="17" spans="1:57" x14ac:dyDescent="0.35">
      <c r="A17" s="36">
        <v>1057</v>
      </c>
      <c r="B17" s="36">
        <v>1</v>
      </c>
      <c r="C17" s="36">
        <v>0</v>
      </c>
      <c r="D17" s="36">
        <v>0</v>
      </c>
      <c r="E17" s="36">
        <v>0</v>
      </c>
      <c r="F17" s="36">
        <v>0</v>
      </c>
      <c r="G17" s="36" t="s">
        <v>68</v>
      </c>
      <c r="H17" s="36" t="s">
        <v>65</v>
      </c>
      <c r="S17" s="39"/>
      <c r="BC17" s="39"/>
      <c r="BE17" s="39"/>
    </row>
    <row r="18" spans="1:57" x14ac:dyDescent="0.35">
      <c r="A18" s="36">
        <v>1057</v>
      </c>
      <c r="B18" s="36">
        <v>1</v>
      </c>
      <c r="C18" s="36">
        <v>0</v>
      </c>
      <c r="D18" s="36">
        <v>0</v>
      </c>
      <c r="E18" s="36">
        <v>0</v>
      </c>
      <c r="F18" s="36">
        <v>0</v>
      </c>
      <c r="G18" s="36" t="s">
        <v>64</v>
      </c>
      <c r="H18" s="36" t="s">
        <v>71</v>
      </c>
      <c r="S18" s="39"/>
      <c r="BC18" s="39"/>
      <c r="BE18" s="39"/>
    </row>
    <row r="19" spans="1:57" x14ac:dyDescent="0.35">
      <c r="A19" s="36">
        <v>1057</v>
      </c>
      <c r="B19" s="36">
        <v>2</v>
      </c>
      <c r="C19" s="36">
        <v>0</v>
      </c>
      <c r="D19" s="36">
        <v>0</v>
      </c>
      <c r="E19" s="36">
        <v>0</v>
      </c>
      <c r="F19" s="36">
        <v>0</v>
      </c>
      <c r="G19" s="36" t="s">
        <v>64</v>
      </c>
      <c r="H19" s="36" t="s">
        <v>65</v>
      </c>
      <c r="S19" s="39"/>
      <c r="BC19" s="39"/>
      <c r="BE19" s="39"/>
    </row>
    <row r="20" spans="1:57" x14ac:dyDescent="0.35">
      <c r="A20" s="36">
        <v>1057</v>
      </c>
      <c r="B20" s="36">
        <v>3</v>
      </c>
      <c r="C20" s="36">
        <v>0</v>
      </c>
      <c r="D20" s="36">
        <v>0</v>
      </c>
      <c r="E20" s="36">
        <v>0</v>
      </c>
      <c r="F20" s="36">
        <v>0</v>
      </c>
      <c r="G20" s="36" t="s">
        <v>64</v>
      </c>
      <c r="H20" s="36" t="s">
        <v>65</v>
      </c>
      <c r="S20" s="39"/>
      <c r="BC20" s="39"/>
      <c r="BE20" s="39"/>
    </row>
    <row r="21" spans="1:57" x14ac:dyDescent="0.35">
      <c r="A21" s="36">
        <v>1057</v>
      </c>
      <c r="B21" s="36">
        <v>3</v>
      </c>
      <c r="C21" s="36">
        <v>0</v>
      </c>
      <c r="D21" s="36">
        <v>0</v>
      </c>
      <c r="E21" s="36">
        <v>0</v>
      </c>
      <c r="F21" s="36">
        <v>0</v>
      </c>
      <c r="G21" s="36" t="s">
        <v>64</v>
      </c>
      <c r="H21" s="36" t="s">
        <v>65</v>
      </c>
      <c r="S21" s="39"/>
      <c r="BC21" s="39"/>
      <c r="BE21" s="39"/>
    </row>
    <row r="22" spans="1:57" x14ac:dyDescent="0.35">
      <c r="A22" s="36">
        <v>1057</v>
      </c>
      <c r="B22" s="36">
        <v>2</v>
      </c>
      <c r="C22" s="36">
        <v>0</v>
      </c>
      <c r="D22" s="36">
        <v>0</v>
      </c>
      <c r="E22" s="36">
        <v>0</v>
      </c>
      <c r="F22" s="36">
        <v>0</v>
      </c>
      <c r="G22" s="36" t="s">
        <v>64</v>
      </c>
      <c r="H22" s="36" t="s">
        <v>65</v>
      </c>
      <c r="S22" s="39"/>
      <c r="BC22" s="39"/>
      <c r="BE22" s="39"/>
    </row>
    <row r="23" spans="1:57" x14ac:dyDescent="0.35">
      <c r="A23" s="36">
        <v>1057</v>
      </c>
      <c r="B23" s="36">
        <v>2</v>
      </c>
      <c r="C23" s="36">
        <v>1</v>
      </c>
      <c r="D23" s="36">
        <v>0</v>
      </c>
      <c r="E23" s="36">
        <v>0</v>
      </c>
      <c r="F23" s="36">
        <v>0</v>
      </c>
      <c r="G23" s="36" t="s">
        <v>64</v>
      </c>
      <c r="H23" s="36" t="s">
        <v>65</v>
      </c>
      <c r="S23" s="39"/>
      <c r="BC23" s="39"/>
      <c r="BE23" s="39"/>
    </row>
    <row r="24" spans="1:57" x14ac:dyDescent="0.35">
      <c r="A24" s="36">
        <v>1057</v>
      </c>
      <c r="B24" s="36">
        <v>2</v>
      </c>
      <c r="C24" s="36">
        <v>0</v>
      </c>
      <c r="D24" s="36">
        <v>0</v>
      </c>
      <c r="E24" s="36">
        <v>0</v>
      </c>
      <c r="F24" s="36">
        <v>0</v>
      </c>
      <c r="G24" s="36" t="s">
        <v>66</v>
      </c>
      <c r="H24" s="36" t="s">
        <v>65</v>
      </c>
      <c r="S24" s="39"/>
      <c r="BC24" s="39"/>
      <c r="BE24" s="39"/>
    </row>
    <row r="25" spans="1:57" x14ac:dyDescent="0.35">
      <c r="A25" s="36">
        <v>1057</v>
      </c>
      <c r="B25" s="36">
        <v>1</v>
      </c>
      <c r="C25" s="36">
        <v>0</v>
      </c>
      <c r="D25" s="36">
        <v>0</v>
      </c>
      <c r="E25" s="36">
        <v>0</v>
      </c>
      <c r="F25" s="36">
        <v>0</v>
      </c>
      <c r="G25" s="36" t="s">
        <v>64</v>
      </c>
      <c r="H25" s="36" t="s">
        <v>65</v>
      </c>
      <c r="S25" s="39"/>
      <c r="BC25" s="39"/>
      <c r="BE25" s="39"/>
    </row>
    <row r="26" spans="1:57" x14ac:dyDescent="0.35">
      <c r="A26" s="36">
        <v>1057</v>
      </c>
      <c r="B26" s="36">
        <v>2</v>
      </c>
      <c r="C26" s="36">
        <v>0</v>
      </c>
      <c r="D26" s="36">
        <v>0</v>
      </c>
      <c r="E26" s="36">
        <v>0</v>
      </c>
      <c r="F26" s="36">
        <v>0</v>
      </c>
      <c r="G26" s="36" t="s">
        <v>66</v>
      </c>
      <c r="H26" s="36" t="s">
        <v>65</v>
      </c>
      <c r="S26" s="39"/>
      <c r="BC26" s="39"/>
      <c r="BE26" s="39"/>
    </row>
    <row r="27" spans="1:57" x14ac:dyDescent="0.35">
      <c r="A27" s="36">
        <v>1057</v>
      </c>
      <c r="B27" s="36">
        <v>4</v>
      </c>
      <c r="C27" s="36">
        <v>0</v>
      </c>
      <c r="D27" s="36">
        <v>0</v>
      </c>
      <c r="E27" s="36">
        <v>0</v>
      </c>
      <c r="F27" s="36">
        <v>0</v>
      </c>
      <c r="G27" s="36" t="s">
        <v>67</v>
      </c>
      <c r="H27" s="36" t="s">
        <v>65</v>
      </c>
      <c r="S27" s="39"/>
      <c r="BC27" s="39"/>
      <c r="BE27" s="39"/>
    </row>
    <row r="28" spans="1:57" x14ac:dyDescent="0.35">
      <c r="A28" s="36">
        <v>1057</v>
      </c>
      <c r="B28" s="36">
        <v>2</v>
      </c>
      <c r="C28" s="36">
        <v>0</v>
      </c>
      <c r="D28" s="36">
        <v>0</v>
      </c>
      <c r="E28" s="36">
        <v>0</v>
      </c>
      <c r="F28" s="36">
        <v>0</v>
      </c>
      <c r="G28" s="36" t="s">
        <v>64</v>
      </c>
      <c r="H28" s="36" t="s">
        <v>65</v>
      </c>
      <c r="S28" s="39"/>
      <c r="BC28" s="39"/>
      <c r="BE28" s="39"/>
    </row>
    <row r="29" spans="1:57" x14ac:dyDescent="0.35">
      <c r="A29" s="36">
        <v>1057</v>
      </c>
      <c r="B29" s="36">
        <v>3</v>
      </c>
      <c r="C29" s="36">
        <v>0</v>
      </c>
      <c r="D29" s="36">
        <v>0</v>
      </c>
      <c r="E29" s="36">
        <v>0</v>
      </c>
      <c r="F29" s="36">
        <v>0</v>
      </c>
      <c r="G29" s="36" t="s">
        <v>64</v>
      </c>
      <c r="H29" s="36" t="s">
        <v>65</v>
      </c>
      <c r="S29" s="39"/>
      <c r="BC29" s="39"/>
      <c r="BE29" s="39"/>
    </row>
    <row r="30" spans="1:57" x14ac:dyDescent="0.35">
      <c r="A30" s="36">
        <v>1057</v>
      </c>
      <c r="B30" s="36">
        <v>5</v>
      </c>
      <c r="C30" s="36">
        <v>1</v>
      </c>
      <c r="D30" s="36">
        <v>0</v>
      </c>
      <c r="E30" s="36">
        <v>0</v>
      </c>
      <c r="F30" s="36">
        <v>0</v>
      </c>
      <c r="G30" s="36" t="s">
        <v>66</v>
      </c>
      <c r="H30" s="36" t="s">
        <v>65</v>
      </c>
      <c r="S30" s="39"/>
      <c r="BC30" s="39"/>
      <c r="BE30" s="39"/>
    </row>
    <row r="31" spans="1:57" x14ac:dyDescent="0.35">
      <c r="A31" s="36">
        <v>1057</v>
      </c>
      <c r="B31" s="36">
        <v>1</v>
      </c>
      <c r="C31" s="36">
        <v>0</v>
      </c>
      <c r="D31" s="36">
        <v>0</v>
      </c>
      <c r="E31" s="36">
        <v>0</v>
      </c>
      <c r="F31" s="36">
        <v>0</v>
      </c>
      <c r="G31" s="36" t="s">
        <v>68</v>
      </c>
      <c r="H31" s="36" t="s">
        <v>65</v>
      </c>
      <c r="S31" s="39"/>
      <c r="BC31" s="39"/>
      <c r="BE31" s="39"/>
    </row>
    <row r="32" spans="1:57" x14ac:dyDescent="0.35">
      <c r="A32" s="36">
        <v>1057</v>
      </c>
      <c r="B32" s="36">
        <v>3</v>
      </c>
      <c r="C32" s="36">
        <v>0</v>
      </c>
      <c r="D32" s="36">
        <v>0</v>
      </c>
      <c r="E32" s="36">
        <v>0</v>
      </c>
      <c r="F32" s="36">
        <v>0</v>
      </c>
      <c r="G32" s="36" t="s">
        <v>68</v>
      </c>
      <c r="H32" s="36" t="s">
        <v>65</v>
      </c>
      <c r="S32" s="39"/>
      <c r="BC32" s="39"/>
      <c r="BE32" s="39"/>
    </row>
    <row r="33" spans="1:57" x14ac:dyDescent="0.35">
      <c r="A33" s="36">
        <v>1057</v>
      </c>
      <c r="B33" s="36">
        <v>6</v>
      </c>
      <c r="C33" s="36">
        <v>0</v>
      </c>
      <c r="D33" s="36">
        <v>0</v>
      </c>
      <c r="E33" s="36">
        <v>0</v>
      </c>
      <c r="F33" s="36">
        <v>0</v>
      </c>
      <c r="G33" s="36" t="s">
        <v>64</v>
      </c>
      <c r="H33" s="36" t="s">
        <v>65</v>
      </c>
      <c r="S33" s="39"/>
      <c r="BC33" s="39"/>
      <c r="BE33" s="39"/>
    </row>
    <row r="34" spans="1:57" x14ac:dyDescent="0.35">
      <c r="A34" s="36">
        <v>1057</v>
      </c>
      <c r="B34" s="36">
        <v>2</v>
      </c>
      <c r="C34" s="36">
        <v>0</v>
      </c>
      <c r="D34" s="36">
        <v>0</v>
      </c>
      <c r="E34" s="36">
        <v>0</v>
      </c>
      <c r="F34" s="36">
        <v>0</v>
      </c>
      <c r="G34" s="36" t="s">
        <v>66</v>
      </c>
      <c r="H34" s="36" t="s">
        <v>65</v>
      </c>
      <c r="S34" s="39"/>
      <c r="BC34" s="39"/>
      <c r="BE34" s="39"/>
    </row>
    <row r="35" spans="1:57" x14ac:dyDescent="0.35">
      <c r="A35" s="36">
        <v>1057</v>
      </c>
      <c r="B35" s="36">
        <v>3</v>
      </c>
      <c r="C35" s="36">
        <v>0</v>
      </c>
      <c r="D35" s="36">
        <v>1</v>
      </c>
      <c r="E35" s="36">
        <v>0</v>
      </c>
      <c r="F35" s="36">
        <v>0</v>
      </c>
      <c r="G35" s="36" t="s">
        <v>64</v>
      </c>
      <c r="H35" s="36" t="s">
        <v>65</v>
      </c>
      <c r="S35" s="39"/>
      <c r="BC35" s="39"/>
      <c r="BE35" s="39"/>
    </row>
    <row r="36" spans="1:57" x14ac:dyDescent="0.35">
      <c r="A36" s="36">
        <v>1057</v>
      </c>
      <c r="B36" s="36">
        <v>2</v>
      </c>
      <c r="C36" s="36">
        <v>0</v>
      </c>
      <c r="D36" s="36">
        <v>0</v>
      </c>
      <c r="E36" s="36">
        <v>0</v>
      </c>
      <c r="F36" s="36">
        <v>0</v>
      </c>
      <c r="G36" s="36" t="s">
        <v>66</v>
      </c>
      <c r="H36" s="36" t="s">
        <v>65</v>
      </c>
      <c r="S36" s="39"/>
      <c r="BC36" s="39"/>
      <c r="BE36" s="39"/>
    </row>
    <row r="37" spans="1:57" x14ac:dyDescent="0.35">
      <c r="A37" s="36">
        <v>1057</v>
      </c>
      <c r="B37" s="36">
        <v>1</v>
      </c>
      <c r="C37" s="36">
        <v>0</v>
      </c>
      <c r="D37" s="36">
        <v>0</v>
      </c>
      <c r="E37" s="36">
        <v>0</v>
      </c>
      <c r="F37" s="36">
        <v>0</v>
      </c>
      <c r="G37" s="36" t="s">
        <v>66</v>
      </c>
      <c r="H37" s="36" t="s">
        <v>65</v>
      </c>
      <c r="S37" s="39"/>
      <c r="BC37" s="39"/>
      <c r="BE37" s="39"/>
    </row>
    <row r="38" spans="1:57" x14ac:dyDescent="0.35">
      <c r="A38" s="36">
        <v>1057</v>
      </c>
      <c r="B38" s="36">
        <v>2</v>
      </c>
      <c r="C38" s="36">
        <v>0</v>
      </c>
      <c r="D38" s="36">
        <v>0</v>
      </c>
      <c r="E38" s="36">
        <v>0</v>
      </c>
      <c r="F38" s="36">
        <v>0</v>
      </c>
      <c r="G38" s="36" t="s">
        <v>66</v>
      </c>
      <c r="H38" s="36" t="s">
        <v>65</v>
      </c>
      <c r="S38" s="39"/>
      <c r="BC38" s="39"/>
      <c r="BE38" s="39"/>
    </row>
    <row r="39" spans="1:57" x14ac:dyDescent="0.35">
      <c r="A39" s="36">
        <v>1057</v>
      </c>
      <c r="B39" s="36">
        <v>2</v>
      </c>
      <c r="C39" s="36">
        <v>0</v>
      </c>
      <c r="D39" s="36">
        <v>0</v>
      </c>
      <c r="E39" s="36">
        <v>0</v>
      </c>
      <c r="F39" s="36">
        <v>0</v>
      </c>
      <c r="G39" s="36" t="s">
        <v>64</v>
      </c>
      <c r="H39" s="36" t="s">
        <v>65</v>
      </c>
      <c r="S39" s="39"/>
      <c r="BC39" s="39"/>
      <c r="BE39" s="39"/>
    </row>
    <row r="40" spans="1:57" x14ac:dyDescent="0.35">
      <c r="A40" s="36">
        <v>1057</v>
      </c>
      <c r="B40" s="36">
        <v>2</v>
      </c>
      <c r="C40" s="36">
        <v>0</v>
      </c>
      <c r="D40" s="36">
        <v>0</v>
      </c>
      <c r="E40" s="36">
        <v>0</v>
      </c>
      <c r="F40" s="36">
        <v>0</v>
      </c>
      <c r="G40" s="36" t="s">
        <v>64</v>
      </c>
      <c r="H40" s="36" t="s">
        <v>65</v>
      </c>
      <c r="S40" s="39"/>
      <c r="BC40" s="39"/>
      <c r="BE40" s="39"/>
    </row>
    <row r="41" spans="1:57" x14ac:dyDescent="0.35">
      <c r="A41" s="36">
        <v>1057</v>
      </c>
      <c r="B41" s="36">
        <v>5</v>
      </c>
      <c r="C41" s="36">
        <v>0</v>
      </c>
      <c r="D41" s="36">
        <v>0</v>
      </c>
      <c r="E41" s="36">
        <v>0</v>
      </c>
      <c r="F41" s="36">
        <v>0</v>
      </c>
      <c r="G41" s="36" t="s">
        <v>64</v>
      </c>
      <c r="H41" s="36" t="s">
        <v>65</v>
      </c>
      <c r="S41" s="39"/>
      <c r="BC41" s="39"/>
      <c r="BE41" s="39"/>
    </row>
    <row r="42" spans="1:57" x14ac:dyDescent="0.35">
      <c r="A42" s="36">
        <v>1057</v>
      </c>
      <c r="B42" s="36">
        <v>4</v>
      </c>
      <c r="C42" s="36">
        <v>0</v>
      </c>
      <c r="D42" s="36">
        <v>0</v>
      </c>
      <c r="E42" s="36">
        <v>0</v>
      </c>
      <c r="F42" s="36">
        <v>0</v>
      </c>
      <c r="G42" s="36" t="s">
        <v>64</v>
      </c>
      <c r="H42" s="36" t="s">
        <v>65</v>
      </c>
      <c r="S42" s="39"/>
      <c r="BC42" s="39"/>
      <c r="BE42" s="39"/>
    </row>
    <row r="43" spans="1:57" x14ac:dyDescent="0.35">
      <c r="A43" s="36">
        <v>1057</v>
      </c>
      <c r="B43" s="36">
        <v>2</v>
      </c>
      <c r="C43" s="36">
        <v>0</v>
      </c>
      <c r="D43" s="36">
        <v>0</v>
      </c>
      <c r="E43" s="36">
        <v>0</v>
      </c>
      <c r="F43" s="36">
        <v>0</v>
      </c>
      <c r="G43" s="36" t="s">
        <v>64</v>
      </c>
      <c r="H43" s="36" t="s">
        <v>65</v>
      </c>
      <c r="S43" s="39"/>
      <c r="BC43" s="39"/>
      <c r="BE43" s="39"/>
    </row>
    <row r="44" spans="1:57" x14ac:dyDescent="0.35">
      <c r="A44" s="36">
        <v>1057</v>
      </c>
      <c r="B44" s="36">
        <v>2</v>
      </c>
      <c r="C44" s="36">
        <v>0</v>
      </c>
      <c r="D44" s="36">
        <v>0</v>
      </c>
      <c r="E44" s="36">
        <v>0</v>
      </c>
      <c r="F44" s="36">
        <v>0</v>
      </c>
      <c r="G44" s="36" t="s">
        <v>64</v>
      </c>
      <c r="H44" s="36" t="s">
        <v>65</v>
      </c>
      <c r="S44" s="39"/>
      <c r="BC44" s="39"/>
      <c r="BE44" s="39"/>
    </row>
    <row r="45" spans="1:57" x14ac:dyDescent="0.35">
      <c r="A45" s="36">
        <v>1057</v>
      </c>
      <c r="B45" s="36">
        <v>2</v>
      </c>
      <c r="C45" s="36">
        <v>0</v>
      </c>
      <c r="D45" s="36">
        <v>0</v>
      </c>
      <c r="E45" s="36">
        <v>0</v>
      </c>
      <c r="F45" s="36">
        <v>0</v>
      </c>
      <c r="G45" s="36" t="s">
        <v>66</v>
      </c>
      <c r="H45" s="36" t="s">
        <v>65</v>
      </c>
      <c r="S45" s="39"/>
      <c r="BC45" s="39"/>
      <c r="BE45" s="39"/>
    </row>
    <row r="46" spans="1:57" x14ac:dyDescent="0.35">
      <c r="A46" s="36">
        <v>1057</v>
      </c>
      <c r="B46" s="36">
        <v>2</v>
      </c>
      <c r="C46" s="36">
        <v>0</v>
      </c>
      <c r="D46" s="36">
        <v>0</v>
      </c>
      <c r="E46" s="36">
        <v>0</v>
      </c>
      <c r="F46" s="36">
        <v>0</v>
      </c>
      <c r="G46" s="36" t="s">
        <v>64</v>
      </c>
      <c r="H46" s="36" t="s">
        <v>65</v>
      </c>
      <c r="S46" s="39"/>
      <c r="BC46" s="39"/>
      <c r="BE46" s="39"/>
    </row>
    <row r="47" spans="1:57" x14ac:dyDescent="0.35">
      <c r="A47" s="36">
        <v>1057</v>
      </c>
      <c r="B47" s="36">
        <v>2</v>
      </c>
      <c r="C47" s="36">
        <v>0</v>
      </c>
      <c r="D47" s="36">
        <v>0</v>
      </c>
      <c r="E47" s="36">
        <v>0</v>
      </c>
      <c r="F47" s="36">
        <v>0</v>
      </c>
      <c r="G47" s="36" t="s">
        <v>66</v>
      </c>
      <c r="H47" s="36" t="s">
        <v>65</v>
      </c>
      <c r="S47" s="39"/>
      <c r="BC47" s="39"/>
      <c r="BE47" s="39"/>
    </row>
    <row r="48" spans="1:57" x14ac:dyDescent="0.35">
      <c r="A48" s="36">
        <v>1057</v>
      </c>
      <c r="B48" s="36">
        <v>2</v>
      </c>
      <c r="C48" s="36">
        <v>0</v>
      </c>
      <c r="D48" s="36">
        <v>0</v>
      </c>
      <c r="E48" s="36">
        <v>0</v>
      </c>
      <c r="F48" s="36">
        <v>0</v>
      </c>
      <c r="G48" s="36" t="s">
        <v>64</v>
      </c>
      <c r="H48" s="36" t="s">
        <v>65</v>
      </c>
      <c r="S48" s="39"/>
      <c r="BC48" s="39"/>
      <c r="BE48" s="39"/>
    </row>
    <row r="49" spans="1:57" x14ac:dyDescent="0.35">
      <c r="A49" s="36">
        <v>1057</v>
      </c>
      <c r="B49" s="36">
        <v>1</v>
      </c>
      <c r="C49" s="36">
        <v>0</v>
      </c>
      <c r="D49" s="36">
        <v>0</v>
      </c>
      <c r="E49" s="36">
        <v>0</v>
      </c>
      <c r="F49" s="36">
        <v>0</v>
      </c>
      <c r="G49" s="36" t="s">
        <v>67</v>
      </c>
      <c r="H49" s="36" t="s">
        <v>65</v>
      </c>
      <c r="S49" s="39"/>
      <c r="BC49" s="39"/>
      <c r="BE49" s="39"/>
    </row>
    <row r="50" spans="1:57" x14ac:dyDescent="0.35">
      <c r="A50" s="36">
        <v>1057</v>
      </c>
      <c r="B50" s="36">
        <v>3</v>
      </c>
      <c r="C50" s="36">
        <v>0</v>
      </c>
      <c r="D50" s="36">
        <v>0</v>
      </c>
      <c r="E50" s="36">
        <v>0</v>
      </c>
      <c r="F50" s="36">
        <v>0</v>
      </c>
      <c r="G50" s="36" t="s">
        <v>66</v>
      </c>
      <c r="H50" s="36" t="s">
        <v>65</v>
      </c>
      <c r="S50" s="39"/>
      <c r="BC50" s="39"/>
      <c r="BE50" s="39"/>
    </row>
    <row r="51" spans="1:57" x14ac:dyDescent="0.35">
      <c r="A51" s="36">
        <v>1057</v>
      </c>
      <c r="B51" s="36">
        <v>28</v>
      </c>
      <c r="C51" s="36">
        <v>0</v>
      </c>
      <c r="D51" s="36">
        <v>0</v>
      </c>
      <c r="E51" s="36">
        <v>0</v>
      </c>
      <c r="F51" s="36">
        <v>0</v>
      </c>
      <c r="G51" s="36" t="s">
        <v>64</v>
      </c>
      <c r="H51" s="36" t="s">
        <v>65</v>
      </c>
      <c r="S51" s="39"/>
      <c r="BC51" s="39"/>
      <c r="BE51" s="39"/>
    </row>
    <row r="52" spans="1:57" x14ac:dyDescent="0.35">
      <c r="A52" s="36">
        <v>1057</v>
      </c>
      <c r="B52" s="36">
        <v>1</v>
      </c>
      <c r="C52" s="36">
        <v>0</v>
      </c>
      <c r="D52" s="36">
        <v>0</v>
      </c>
      <c r="E52" s="36">
        <v>0</v>
      </c>
      <c r="F52" s="36">
        <v>0</v>
      </c>
      <c r="G52" s="36" t="s">
        <v>64</v>
      </c>
      <c r="H52" s="36" t="s">
        <v>70</v>
      </c>
      <c r="S52" s="39"/>
      <c r="BC52" s="39"/>
      <c r="BE52" s="39"/>
    </row>
    <row r="53" spans="1:57" x14ac:dyDescent="0.35">
      <c r="A53" s="36">
        <v>1057</v>
      </c>
      <c r="B53" s="36">
        <v>3</v>
      </c>
      <c r="C53" s="36">
        <v>0</v>
      </c>
      <c r="D53" s="36">
        <v>0</v>
      </c>
      <c r="E53" s="36">
        <v>0</v>
      </c>
      <c r="F53" s="36">
        <v>0</v>
      </c>
      <c r="G53" s="36" t="s">
        <v>68</v>
      </c>
      <c r="H53" s="36" t="s">
        <v>65</v>
      </c>
      <c r="S53" s="39"/>
      <c r="BC53" s="39"/>
      <c r="BE53" s="39"/>
    </row>
    <row r="54" spans="1:57" x14ac:dyDescent="0.35">
      <c r="A54" s="36">
        <v>1057</v>
      </c>
      <c r="B54" s="36">
        <v>3</v>
      </c>
      <c r="C54" s="36">
        <v>0</v>
      </c>
      <c r="D54" s="36">
        <v>0</v>
      </c>
      <c r="E54" s="36">
        <v>0</v>
      </c>
      <c r="F54" s="36">
        <v>0</v>
      </c>
      <c r="G54" s="36" t="s">
        <v>64</v>
      </c>
      <c r="H54" s="36" t="s">
        <v>65</v>
      </c>
      <c r="S54" s="39"/>
      <c r="BC54" s="39"/>
      <c r="BE54" s="39"/>
    </row>
    <row r="55" spans="1:57" x14ac:dyDescent="0.35">
      <c r="A55" s="36">
        <v>1057</v>
      </c>
      <c r="B55" s="36">
        <v>1</v>
      </c>
      <c r="C55" s="36">
        <v>0</v>
      </c>
      <c r="D55" s="36">
        <v>0</v>
      </c>
      <c r="E55" s="36">
        <v>0</v>
      </c>
      <c r="F55" s="36">
        <v>0</v>
      </c>
      <c r="G55" s="36" t="s">
        <v>64</v>
      </c>
      <c r="H55" s="36" t="s">
        <v>65</v>
      </c>
      <c r="S55" s="39"/>
      <c r="BC55" s="39"/>
      <c r="BE55" s="39"/>
    </row>
    <row r="56" spans="1:57" x14ac:dyDescent="0.35">
      <c r="A56" s="36">
        <v>1057</v>
      </c>
      <c r="B56" s="36">
        <v>3</v>
      </c>
      <c r="C56" s="36">
        <v>0</v>
      </c>
      <c r="D56" s="36">
        <v>0</v>
      </c>
      <c r="E56" s="36">
        <v>0</v>
      </c>
      <c r="F56" s="36">
        <v>0</v>
      </c>
      <c r="G56" s="36" t="s">
        <v>66</v>
      </c>
      <c r="H56" s="36" t="s">
        <v>65</v>
      </c>
      <c r="S56" s="39"/>
      <c r="BC56" s="39"/>
      <c r="BE56" s="39"/>
    </row>
    <row r="57" spans="1:57" x14ac:dyDescent="0.35">
      <c r="A57" s="36">
        <v>1057</v>
      </c>
      <c r="B57" s="36">
        <v>2</v>
      </c>
      <c r="C57" s="36">
        <v>0</v>
      </c>
      <c r="D57" s="36">
        <v>0</v>
      </c>
      <c r="E57" s="36">
        <v>0</v>
      </c>
      <c r="F57" s="36">
        <v>0</v>
      </c>
      <c r="G57" s="36" t="s">
        <v>66</v>
      </c>
      <c r="H57" s="36" t="s">
        <v>65</v>
      </c>
      <c r="S57" s="39"/>
      <c r="BC57" s="39"/>
      <c r="BE57" s="39"/>
    </row>
    <row r="58" spans="1:57" x14ac:dyDescent="0.35">
      <c r="A58" s="36">
        <v>1057</v>
      </c>
      <c r="B58" s="36">
        <v>2</v>
      </c>
      <c r="C58" s="36">
        <v>0</v>
      </c>
      <c r="D58" s="36">
        <v>0</v>
      </c>
      <c r="E58" s="36">
        <v>0</v>
      </c>
      <c r="F58" s="36">
        <v>0</v>
      </c>
      <c r="G58" s="36" t="s">
        <v>64</v>
      </c>
      <c r="H58" s="36" t="s">
        <v>65</v>
      </c>
      <c r="S58" s="39"/>
      <c r="BC58" s="39"/>
      <c r="BE58" s="39"/>
    </row>
    <row r="59" spans="1:57" x14ac:dyDescent="0.35">
      <c r="A59" s="36">
        <v>1057</v>
      </c>
      <c r="B59" s="36">
        <v>2</v>
      </c>
      <c r="C59" s="36">
        <v>0</v>
      </c>
      <c r="D59" s="36">
        <v>0</v>
      </c>
      <c r="E59" s="36">
        <v>0</v>
      </c>
      <c r="F59" s="36">
        <v>0</v>
      </c>
      <c r="G59" s="36" t="s">
        <v>67</v>
      </c>
      <c r="H59" s="36" t="s">
        <v>65</v>
      </c>
      <c r="S59" s="39"/>
      <c r="BC59" s="39"/>
      <c r="BE59" s="39"/>
    </row>
    <row r="60" spans="1:57" x14ac:dyDescent="0.35">
      <c r="A60" s="36">
        <v>1057</v>
      </c>
      <c r="B60" s="36">
        <v>4</v>
      </c>
      <c r="C60" s="36">
        <v>0</v>
      </c>
      <c r="D60" s="36">
        <v>0</v>
      </c>
      <c r="E60" s="36">
        <v>0</v>
      </c>
      <c r="F60" s="36">
        <v>0</v>
      </c>
      <c r="G60" s="36" t="s">
        <v>68</v>
      </c>
      <c r="H60" s="36" t="s">
        <v>65</v>
      </c>
      <c r="S60" s="39"/>
      <c r="BC60" s="39"/>
      <c r="BE60" s="39"/>
    </row>
    <row r="61" spans="1:57" x14ac:dyDescent="0.35">
      <c r="A61" s="36">
        <v>1057</v>
      </c>
      <c r="B61" s="36">
        <v>3</v>
      </c>
      <c r="C61" s="36">
        <v>0</v>
      </c>
      <c r="D61" s="36">
        <v>0</v>
      </c>
      <c r="E61" s="36">
        <v>0</v>
      </c>
      <c r="F61" s="36">
        <v>0</v>
      </c>
      <c r="G61" s="36" t="s">
        <v>64</v>
      </c>
      <c r="H61" s="36" t="s">
        <v>65</v>
      </c>
      <c r="S61" s="39"/>
      <c r="BC61" s="39"/>
      <c r="BE61" s="39"/>
    </row>
    <row r="62" spans="1:57" x14ac:dyDescent="0.35">
      <c r="A62" s="36">
        <v>1057</v>
      </c>
      <c r="B62" s="36">
        <v>4</v>
      </c>
      <c r="C62" s="36">
        <v>0</v>
      </c>
      <c r="D62" s="36">
        <v>0</v>
      </c>
      <c r="E62" s="36">
        <v>0</v>
      </c>
      <c r="F62" s="36">
        <v>0</v>
      </c>
      <c r="G62" s="36" t="s">
        <v>64</v>
      </c>
      <c r="H62" s="36" t="s">
        <v>71</v>
      </c>
      <c r="S62" s="39"/>
      <c r="BC62" s="39"/>
      <c r="BE62" s="39"/>
    </row>
    <row r="63" spans="1:57" x14ac:dyDescent="0.35">
      <c r="A63" s="36">
        <v>1057</v>
      </c>
      <c r="B63" s="36">
        <v>2</v>
      </c>
      <c r="C63" s="36">
        <v>0</v>
      </c>
      <c r="D63" s="36">
        <v>0</v>
      </c>
      <c r="E63" s="36">
        <v>0</v>
      </c>
      <c r="F63" s="36">
        <v>0</v>
      </c>
      <c r="G63" s="36" t="s">
        <v>64</v>
      </c>
      <c r="H63" s="36" t="s">
        <v>65</v>
      </c>
      <c r="S63" s="39"/>
      <c r="BC63" s="39"/>
      <c r="BE63" s="39"/>
    </row>
    <row r="64" spans="1:57" x14ac:dyDescent="0.35">
      <c r="A64" s="36">
        <v>1057</v>
      </c>
      <c r="B64" s="36">
        <v>2</v>
      </c>
      <c r="C64" s="36">
        <v>0</v>
      </c>
      <c r="D64" s="36">
        <v>0</v>
      </c>
      <c r="E64" s="36">
        <v>0</v>
      </c>
      <c r="F64" s="36">
        <v>0</v>
      </c>
      <c r="G64" s="36" t="s">
        <v>68</v>
      </c>
      <c r="H64" s="36" t="s">
        <v>65</v>
      </c>
      <c r="S64" s="39"/>
      <c r="BC64" s="39"/>
      <c r="BE64" s="39"/>
    </row>
    <row r="65" spans="1:57" x14ac:dyDescent="0.35">
      <c r="A65" s="36">
        <v>1057</v>
      </c>
      <c r="B65" s="36">
        <v>3</v>
      </c>
      <c r="C65" s="36">
        <v>0</v>
      </c>
      <c r="D65" s="36">
        <v>0</v>
      </c>
      <c r="E65" s="36">
        <v>0</v>
      </c>
      <c r="F65" s="36">
        <v>0</v>
      </c>
      <c r="G65" s="36" t="s">
        <v>64</v>
      </c>
      <c r="H65" s="36" t="s">
        <v>65</v>
      </c>
      <c r="S65" s="39"/>
      <c r="BC65" s="39"/>
      <c r="BE65" s="39"/>
    </row>
    <row r="66" spans="1:57" x14ac:dyDescent="0.35">
      <c r="A66" s="36">
        <v>1057</v>
      </c>
      <c r="B66" s="36">
        <v>1</v>
      </c>
      <c r="C66" s="36">
        <v>0</v>
      </c>
      <c r="D66" s="36">
        <v>0</v>
      </c>
      <c r="E66" s="36">
        <v>0</v>
      </c>
      <c r="F66" s="36">
        <v>0</v>
      </c>
      <c r="G66" s="36" t="s">
        <v>68</v>
      </c>
      <c r="H66" s="36" t="s">
        <v>65</v>
      </c>
      <c r="S66" s="39"/>
      <c r="BC66" s="39"/>
      <c r="BE66" s="39"/>
    </row>
    <row r="67" spans="1:57" x14ac:dyDescent="0.35">
      <c r="A67" s="36">
        <v>1057</v>
      </c>
      <c r="B67" s="36">
        <v>2</v>
      </c>
      <c r="C67" s="36">
        <v>0</v>
      </c>
      <c r="D67" s="36">
        <v>0</v>
      </c>
      <c r="E67" s="36">
        <v>0</v>
      </c>
      <c r="F67" s="36">
        <v>0</v>
      </c>
      <c r="G67" s="36" t="s">
        <v>66</v>
      </c>
      <c r="H67" s="36" t="s">
        <v>65</v>
      </c>
      <c r="S67" s="39"/>
      <c r="BC67" s="39"/>
      <c r="BE67" s="39"/>
    </row>
    <row r="68" spans="1:57" x14ac:dyDescent="0.35">
      <c r="A68" s="36">
        <v>1057</v>
      </c>
      <c r="B68" s="36">
        <v>3</v>
      </c>
      <c r="C68" s="36">
        <v>0</v>
      </c>
      <c r="D68" s="36">
        <v>0</v>
      </c>
      <c r="E68" s="36">
        <v>0</v>
      </c>
      <c r="F68" s="36">
        <v>0</v>
      </c>
      <c r="G68" s="36" t="s">
        <v>64</v>
      </c>
      <c r="H68" s="36" t="s">
        <v>65</v>
      </c>
      <c r="S68" s="39"/>
      <c r="BC68" s="39"/>
      <c r="BE68" s="39"/>
    </row>
    <row r="69" spans="1:57" x14ac:dyDescent="0.35">
      <c r="A69" s="36">
        <v>1057</v>
      </c>
      <c r="B69" s="36">
        <v>10</v>
      </c>
      <c r="C69" s="36">
        <v>0</v>
      </c>
      <c r="D69" s="36">
        <v>0</v>
      </c>
      <c r="E69" s="36">
        <v>0</v>
      </c>
      <c r="F69" s="36">
        <v>0</v>
      </c>
      <c r="G69" s="36" t="s">
        <v>64</v>
      </c>
      <c r="H69" s="36" t="s">
        <v>65</v>
      </c>
      <c r="S69" s="39"/>
      <c r="BC69" s="39"/>
      <c r="BE69" s="39"/>
    </row>
    <row r="70" spans="1:57" x14ac:dyDescent="0.35">
      <c r="A70" s="36">
        <v>1057</v>
      </c>
      <c r="B70" s="36">
        <v>5</v>
      </c>
      <c r="C70" s="36">
        <v>0</v>
      </c>
      <c r="D70" s="36">
        <v>0</v>
      </c>
      <c r="E70" s="36">
        <v>0</v>
      </c>
      <c r="F70" s="36">
        <v>0</v>
      </c>
      <c r="G70" s="36" t="s">
        <v>67</v>
      </c>
      <c r="H70" s="36" t="s">
        <v>65</v>
      </c>
      <c r="S70" s="39"/>
      <c r="BC70" s="39"/>
      <c r="BE70" s="39"/>
    </row>
    <row r="71" spans="1:57" x14ac:dyDescent="0.35">
      <c r="A71" s="36">
        <v>1057</v>
      </c>
      <c r="B71" s="36">
        <v>5</v>
      </c>
      <c r="C71" s="36">
        <v>0</v>
      </c>
      <c r="D71" s="36">
        <v>0</v>
      </c>
      <c r="E71" s="36">
        <v>0</v>
      </c>
      <c r="F71" s="36">
        <v>0</v>
      </c>
      <c r="G71" s="36" t="s">
        <v>68</v>
      </c>
      <c r="H71" s="36" t="s">
        <v>65</v>
      </c>
      <c r="S71" s="39"/>
      <c r="BC71" s="39"/>
      <c r="BE71" s="39"/>
    </row>
    <row r="72" spans="1:57" x14ac:dyDescent="0.35">
      <c r="A72" s="36">
        <v>1057</v>
      </c>
      <c r="B72" s="36">
        <v>1</v>
      </c>
      <c r="C72" s="36">
        <v>1</v>
      </c>
      <c r="D72" s="36">
        <v>0</v>
      </c>
      <c r="E72" s="36">
        <v>0</v>
      </c>
      <c r="F72" s="36">
        <v>0</v>
      </c>
      <c r="G72" s="36" t="s">
        <v>67</v>
      </c>
      <c r="H72" s="36" t="s">
        <v>65</v>
      </c>
      <c r="S72" s="39"/>
      <c r="BC72" s="39"/>
      <c r="BE72" s="39"/>
    </row>
    <row r="73" spans="1:57" x14ac:dyDescent="0.35">
      <c r="A73" s="36">
        <v>1057</v>
      </c>
      <c r="B73" s="36">
        <v>2</v>
      </c>
      <c r="C73" s="36">
        <v>0</v>
      </c>
      <c r="D73" s="36">
        <v>0</v>
      </c>
      <c r="E73" s="36">
        <v>0</v>
      </c>
      <c r="F73" s="36">
        <v>0</v>
      </c>
      <c r="G73" s="36" t="s">
        <v>64</v>
      </c>
      <c r="H73" s="36" t="s">
        <v>65</v>
      </c>
      <c r="S73" s="39"/>
      <c r="BC73" s="39"/>
      <c r="BE73" s="39"/>
    </row>
    <row r="74" spans="1:57" x14ac:dyDescent="0.35">
      <c r="A74" s="36">
        <v>1057</v>
      </c>
      <c r="B74" s="36">
        <v>3</v>
      </c>
      <c r="C74" s="36">
        <v>0</v>
      </c>
      <c r="D74" s="36">
        <v>0</v>
      </c>
      <c r="E74" s="36">
        <v>0</v>
      </c>
      <c r="F74" s="36">
        <v>0</v>
      </c>
      <c r="G74" s="36" t="s">
        <v>64</v>
      </c>
      <c r="H74" s="36" t="s">
        <v>65</v>
      </c>
      <c r="S74" s="39"/>
      <c r="BC74" s="39"/>
      <c r="BE74" s="39"/>
    </row>
    <row r="75" spans="1:57" x14ac:dyDescent="0.35">
      <c r="A75" s="36">
        <v>1057</v>
      </c>
      <c r="B75" s="36">
        <v>2</v>
      </c>
      <c r="C75" s="36">
        <v>0</v>
      </c>
      <c r="D75" s="36">
        <v>0</v>
      </c>
      <c r="E75" s="36">
        <v>0</v>
      </c>
      <c r="F75" s="36">
        <v>0</v>
      </c>
      <c r="G75" s="36" t="s">
        <v>64</v>
      </c>
      <c r="H75" s="36" t="s">
        <v>70</v>
      </c>
      <c r="S75" s="39"/>
      <c r="BC75" s="39"/>
      <c r="BE75" s="39"/>
    </row>
    <row r="76" spans="1:57" x14ac:dyDescent="0.35">
      <c r="A76" s="36">
        <v>1057</v>
      </c>
      <c r="B76" s="36">
        <v>1</v>
      </c>
      <c r="C76" s="36">
        <v>0</v>
      </c>
      <c r="D76" s="36">
        <v>0</v>
      </c>
      <c r="E76" s="36">
        <v>0</v>
      </c>
      <c r="F76" s="36">
        <v>0</v>
      </c>
      <c r="G76" s="36" t="s">
        <v>66</v>
      </c>
      <c r="H76" s="36" t="s">
        <v>70</v>
      </c>
      <c r="S76" s="39"/>
      <c r="BC76" s="39"/>
      <c r="BE76" s="39"/>
    </row>
    <row r="77" spans="1:57" x14ac:dyDescent="0.35">
      <c r="A77" s="36">
        <v>1057</v>
      </c>
      <c r="B77" s="36">
        <v>2</v>
      </c>
      <c r="C77" s="36">
        <v>0</v>
      </c>
      <c r="D77" s="36">
        <v>0</v>
      </c>
      <c r="E77" s="36">
        <v>0</v>
      </c>
      <c r="F77" s="36">
        <v>0</v>
      </c>
      <c r="G77" s="36" t="s">
        <v>66</v>
      </c>
      <c r="H77" s="36" t="s">
        <v>65</v>
      </c>
      <c r="S77" s="39"/>
      <c r="BC77" s="39"/>
      <c r="BE77" s="39"/>
    </row>
    <row r="78" spans="1:57" x14ac:dyDescent="0.35">
      <c r="A78" s="36">
        <v>1057</v>
      </c>
      <c r="B78" s="36">
        <v>2</v>
      </c>
      <c r="C78" s="36">
        <v>0</v>
      </c>
      <c r="D78" s="36">
        <v>0</v>
      </c>
      <c r="E78" s="36">
        <v>0</v>
      </c>
      <c r="F78" s="36">
        <v>0</v>
      </c>
      <c r="G78" s="36" t="s">
        <v>66</v>
      </c>
      <c r="H78" s="36" t="s">
        <v>65</v>
      </c>
      <c r="S78" s="39"/>
      <c r="BC78" s="39"/>
      <c r="BE78" s="39"/>
    </row>
    <row r="79" spans="1:57" x14ac:dyDescent="0.35">
      <c r="A79" s="36">
        <v>1057</v>
      </c>
      <c r="B79" s="36">
        <v>2</v>
      </c>
      <c r="C79" s="36">
        <v>0</v>
      </c>
      <c r="D79" s="36">
        <v>0</v>
      </c>
      <c r="E79" s="36">
        <v>0</v>
      </c>
      <c r="F79" s="36">
        <v>0</v>
      </c>
      <c r="G79" s="36" t="s">
        <v>67</v>
      </c>
      <c r="H79" s="36" t="s">
        <v>65</v>
      </c>
      <c r="S79" s="39"/>
      <c r="BC79" s="39"/>
      <c r="BE79" s="39"/>
    </row>
    <row r="80" spans="1:57" x14ac:dyDescent="0.35">
      <c r="A80" s="36">
        <v>1057</v>
      </c>
      <c r="B80" s="36">
        <v>8</v>
      </c>
      <c r="C80" s="36">
        <v>1</v>
      </c>
      <c r="D80" s="36">
        <v>0</v>
      </c>
      <c r="E80" s="36">
        <v>0</v>
      </c>
      <c r="F80" s="36">
        <v>0</v>
      </c>
      <c r="G80" s="36" t="s">
        <v>64</v>
      </c>
      <c r="H80" s="36" t="s">
        <v>65</v>
      </c>
      <c r="S80" s="39"/>
      <c r="BC80" s="39"/>
      <c r="BE80" s="39"/>
    </row>
    <row r="81" spans="1:57" x14ac:dyDescent="0.35">
      <c r="A81" s="36">
        <v>1057</v>
      </c>
      <c r="B81" s="36">
        <v>0</v>
      </c>
      <c r="C81" s="36">
        <v>0</v>
      </c>
      <c r="D81" s="36">
        <v>0</v>
      </c>
      <c r="E81" s="36">
        <v>0</v>
      </c>
      <c r="F81" s="36">
        <v>0</v>
      </c>
      <c r="G81" s="36" t="s">
        <v>64</v>
      </c>
      <c r="H81" s="36" t="s">
        <v>65</v>
      </c>
      <c r="S81" s="39"/>
      <c r="BC81" s="39"/>
      <c r="BE81" s="39"/>
    </row>
    <row r="82" spans="1:57" x14ac:dyDescent="0.35">
      <c r="A82" s="36">
        <v>1057</v>
      </c>
      <c r="B82" s="36">
        <v>2</v>
      </c>
      <c r="C82" s="36">
        <v>2</v>
      </c>
      <c r="D82" s="36">
        <v>0</v>
      </c>
      <c r="E82" s="36">
        <v>0</v>
      </c>
      <c r="F82" s="36">
        <v>0</v>
      </c>
      <c r="G82" s="36" t="s">
        <v>64</v>
      </c>
      <c r="H82" s="36" t="s">
        <v>65</v>
      </c>
      <c r="S82" s="39"/>
      <c r="BC82" s="39"/>
      <c r="BE82" s="39"/>
    </row>
    <row r="83" spans="1:57" x14ac:dyDescent="0.35">
      <c r="A83" s="36">
        <v>1057</v>
      </c>
      <c r="B83" s="36">
        <v>2</v>
      </c>
      <c r="C83" s="36">
        <v>0</v>
      </c>
      <c r="D83" s="36">
        <v>0</v>
      </c>
      <c r="E83" s="36">
        <v>0</v>
      </c>
      <c r="F83" s="36">
        <v>0</v>
      </c>
      <c r="G83" s="36" t="s">
        <v>66</v>
      </c>
      <c r="H83" s="36" t="s">
        <v>65</v>
      </c>
      <c r="S83" s="39"/>
      <c r="BC83" s="39"/>
      <c r="BE83" s="39"/>
    </row>
    <row r="84" spans="1:57" x14ac:dyDescent="0.35">
      <c r="A84" s="36">
        <v>1057</v>
      </c>
      <c r="B84" s="36">
        <v>3</v>
      </c>
      <c r="C84" s="36">
        <v>0</v>
      </c>
      <c r="D84" s="36">
        <v>0</v>
      </c>
      <c r="E84" s="36">
        <v>0</v>
      </c>
      <c r="F84" s="36">
        <v>0</v>
      </c>
      <c r="G84" s="36" t="s">
        <v>64</v>
      </c>
      <c r="H84" s="36" t="s">
        <v>65</v>
      </c>
      <c r="S84" s="39"/>
      <c r="BC84" s="39"/>
      <c r="BE84" s="39"/>
    </row>
    <row r="85" spans="1:57" x14ac:dyDescent="0.35">
      <c r="A85" s="36">
        <v>1057</v>
      </c>
      <c r="B85" s="36">
        <v>2</v>
      </c>
      <c r="C85" s="36">
        <v>0</v>
      </c>
      <c r="D85" s="36">
        <v>0</v>
      </c>
      <c r="E85" s="36">
        <v>0</v>
      </c>
      <c r="F85" s="36">
        <v>0</v>
      </c>
      <c r="G85" s="36" t="s">
        <v>64</v>
      </c>
      <c r="H85" s="36" t="s">
        <v>71</v>
      </c>
      <c r="S85" s="39"/>
      <c r="BC85" s="39"/>
      <c r="BE85" s="39"/>
    </row>
    <row r="86" spans="1:57" x14ac:dyDescent="0.35">
      <c r="A86" s="36">
        <v>1057</v>
      </c>
      <c r="B86" s="36">
        <v>2</v>
      </c>
      <c r="C86" s="36">
        <v>0</v>
      </c>
      <c r="D86" s="36">
        <v>0</v>
      </c>
      <c r="E86" s="36">
        <v>0</v>
      </c>
      <c r="F86" s="36">
        <v>0</v>
      </c>
      <c r="G86" s="36" t="s">
        <v>64</v>
      </c>
      <c r="H86" s="36" t="s">
        <v>70</v>
      </c>
      <c r="S86" s="39"/>
      <c r="BC86" s="39"/>
      <c r="BE86" s="39"/>
    </row>
    <row r="87" spans="1:57" x14ac:dyDescent="0.35">
      <c r="A87" s="36">
        <v>1057</v>
      </c>
      <c r="B87" s="36">
        <v>2</v>
      </c>
      <c r="C87" s="36">
        <v>0</v>
      </c>
      <c r="D87" s="36">
        <v>0</v>
      </c>
      <c r="E87" s="36">
        <v>0</v>
      </c>
      <c r="F87" s="36">
        <v>0</v>
      </c>
      <c r="G87" s="36" t="s">
        <v>64</v>
      </c>
      <c r="H87" s="36" t="s">
        <v>65</v>
      </c>
      <c r="S87" s="39"/>
      <c r="BC87" s="39"/>
      <c r="BE87" s="39"/>
    </row>
    <row r="88" spans="1:57" x14ac:dyDescent="0.35">
      <c r="A88" s="36">
        <v>1057</v>
      </c>
      <c r="B88" s="36">
        <v>1</v>
      </c>
      <c r="C88" s="36">
        <v>0</v>
      </c>
      <c r="D88" s="36">
        <v>0</v>
      </c>
      <c r="E88" s="36">
        <v>0</v>
      </c>
      <c r="F88" s="36">
        <v>0</v>
      </c>
      <c r="G88" s="36" t="s">
        <v>64</v>
      </c>
      <c r="H88" s="36" t="s">
        <v>70</v>
      </c>
      <c r="S88" s="39"/>
      <c r="BC88" s="39"/>
      <c r="BE88" s="39"/>
    </row>
    <row r="89" spans="1:57" x14ac:dyDescent="0.35">
      <c r="A89" s="36">
        <v>1057</v>
      </c>
      <c r="B89" s="36">
        <v>4</v>
      </c>
      <c r="C89" s="36">
        <v>0</v>
      </c>
      <c r="D89" s="36">
        <v>0</v>
      </c>
      <c r="E89" s="36">
        <v>0</v>
      </c>
      <c r="F89" s="36">
        <v>0</v>
      </c>
      <c r="G89" s="36" t="s">
        <v>64</v>
      </c>
      <c r="H89" s="36" t="s">
        <v>65</v>
      </c>
      <c r="S89" s="39"/>
      <c r="BC89" s="39"/>
      <c r="BE89" s="39"/>
    </row>
    <row r="90" spans="1:57" x14ac:dyDescent="0.35">
      <c r="A90" s="36">
        <v>1057</v>
      </c>
      <c r="B90" s="36">
        <v>3</v>
      </c>
      <c r="C90" s="36">
        <v>0</v>
      </c>
      <c r="D90" s="36">
        <v>1</v>
      </c>
      <c r="E90" s="36">
        <v>0</v>
      </c>
      <c r="F90" s="36">
        <v>0</v>
      </c>
      <c r="G90" s="36" t="s">
        <v>64</v>
      </c>
      <c r="H90" s="36" t="s">
        <v>65</v>
      </c>
      <c r="S90" s="39"/>
      <c r="BC90" s="39"/>
      <c r="BE90" s="39"/>
    </row>
    <row r="91" spans="1:57" x14ac:dyDescent="0.35">
      <c r="A91" s="36">
        <v>1057</v>
      </c>
      <c r="B91" s="36">
        <v>3</v>
      </c>
      <c r="C91" s="36">
        <v>0</v>
      </c>
      <c r="D91" s="36">
        <v>0</v>
      </c>
      <c r="E91" s="36">
        <v>0</v>
      </c>
      <c r="F91" s="36">
        <v>0</v>
      </c>
      <c r="G91" s="36" t="s">
        <v>66</v>
      </c>
      <c r="H91" s="36" t="s">
        <v>65</v>
      </c>
      <c r="S91" s="39"/>
      <c r="BC91" s="39"/>
      <c r="BE91" s="39"/>
    </row>
    <row r="92" spans="1:57" x14ac:dyDescent="0.35">
      <c r="A92" s="36">
        <v>1057</v>
      </c>
      <c r="B92" s="36">
        <v>2</v>
      </c>
      <c r="C92" s="36">
        <v>0</v>
      </c>
      <c r="D92" s="36">
        <v>0</v>
      </c>
      <c r="E92" s="36">
        <v>0</v>
      </c>
      <c r="F92" s="36">
        <v>0</v>
      </c>
      <c r="G92" s="36" t="s">
        <v>67</v>
      </c>
      <c r="H92" s="36" t="s">
        <v>65</v>
      </c>
      <c r="S92" s="39"/>
      <c r="BC92" s="39"/>
      <c r="BE92" s="39"/>
    </row>
    <row r="93" spans="1:57" x14ac:dyDescent="0.35">
      <c r="A93" s="36">
        <v>1057</v>
      </c>
      <c r="B93" s="36">
        <v>1</v>
      </c>
      <c r="C93" s="36">
        <v>1</v>
      </c>
      <c r="D93" s="36">
        <v>0</v>
      </c>
      <c r="E93" s="36">
        <v>0</v>
      </c>
      <c r="F93" s="36">
        <v>0</v>
      </c>
      <c r="G93" s="36" t="s">
        <v>67</v>
      </c>
      <c r="H93" s="36" t="s">
        <v>65</v>
      </c>
      <c r="S93" s="39"/>
      <c r="BC93" s="39"/>
      <c r="BE93" s="39"/>
    </row>
    <row r="94" spans="1:57" x14ac:dyDescent="0.35">
      <c r="A94" s="36">
        <v>1057</v>
      </c>
      <c r="B94" s="36">
        <v>2</v>
      </c>
      <c r="C94" s="36">
        <v>0</v>
      </c>
      <c r="D94" s="36">
        <v>0</v>
      </c>
      <c r="E94" s="36">
        <v>0</v>
      </c>
      <c r="F94" s="36">
        <v>0</v>
      </c>
      <c r="G94" s="36" t="s">
        <v>64</v>
      </c>
      <c r="H94" s="36" t="s">
        <v>65</v>
      </c>
      <c r="S94" s="39"/>
      <c r="BC94" s="39"/>
      <c r="BE94" s="39"/>
    </row>
    <row r="95" spans="1:57" x14ac:dyDescent="0.35">
      <c r="A95" s="36">
        <v>1057</v>
      </c>
      <c r="B95" s="36">
        <v>0</v>
      </c>
      <c r="C95" s="36">
        <v>1</v>
      </c>
      <c r="D95" s="36">
        <v>0</v>
      </c>
      <c r="E95" s="36">
        <v>0</v>
      </c>
      <c r="F95" s="36">
        <v>0</v>
      </c>
      <c r="G95" s="36" t="s">
        <v>66</v>
      </c>
      <c r="H95" s="36" t="s">
        <v>75</v>
      </c>
      <c r="S95" s="39"/>
      <c r="BC95" s="39"/>
      <c r="BE95" s="39"/>
    </row>
    <row r="96" spans="1:57" x14ac:dyDescent="0.35">
      <c r="A96" s="36">
        <v>1057</v>
      </c>
      <c r="B96" s="36">
        <v>2</v>
      </c>
      <c r="C96" s="36">
        <v>0</v>
      </c>
      <c r="D96" s="36">
        <v>0</v>
      </c>
      <c r="E96" s="36">
        <v>0</v>
      </c>
      <c r="F96" s="36">
        <v>0</v>
      </c>
      <c r="G96" s="36" t="s">
        <v>66</v>
      </c>
      <c r="H96" s="36" t="s">
        <v>65</v>
      </c>
      <c r="S96" s="39"/>
      <c r="BC96" s="39"/>
      <c r="BE96" s="39"/>
    </row>
    <row r="97" spans="1:57" x14ac:dyDescent="0.35">
      <c r="A97" s="36">
        <v>1057</v>
      </c>
      <c r="B97" s="36">
        <v>2</v>
      </c>
      <c r="C97" s="36">
        <v>2</v>
      </c>
      <c r="D97" s="36">
        <v>0</v>
      </c>
      <c r="E97" s="36">
        <v>0</v>
      </c>
      <c r="F97" s="36">
        <v>0</v>
      </c>
      <c r="G97" s="36" t="s">
        <v>64</v>
      </c>
      <c r="H97" s="36" t="s">
        <v>65</v>
      </c>
      <c r="S97" s="39"/>
      <c r="BC97" s="39"/>
      <c r="BE97" s="39"/>
    </row>
    <row r="98" spans="1:57" x14ac:dyDescent="0.35">
      <c r="A98" s="36">
        <v>1057</v>
      </c>
      <c r="B98" s="36">
        <v>2</v>
      </c>
      <c r="C98" s="36">
        <v>0</v>
      </c>
      <c r="D98" s="36">
        <v>0</v>
      </c>
      <c r="E98" s="36">
        <v>0</v>
      </c>
      <c r="F98" s="36">
        <v>0</v>
      </c>
      <c r="G98" s="36" t="s">
        <v>66</v>
      </c>
      <c r="H98" s="36" t="s">
        <v>65</v>
      </c>
      <c r="S98" s="39"/>
      <c r="BC98" s="39"/>
      <c r="BE98" s="39"/>
    </row>
    <row r="99" spans="1:57" x14ac:dyDescent="0.35">
      <c r="A99" s="36">
        <v>1057</v>
      </c>
      <c r="B99" s="36">
        <v>1</v>
      </c>
      <c r="C99" s="36">
        <v>1</v>
      </c>
      <c r="D99" s="36">
        <v>1</v>
      </c>
      <c r="E99" s="36">
        <v>0</v>
      </c>
      <c r="F99" s="36">
        <v>0</v>
      </c>
      <c r="G99" s="36" t="s">
        <v>64</v>
      </c>
      <c r="H99" s="36" t="s">
        <v>71</v>
      </c>
      <c r="S99" s="39"/>
      <c r="BC99" s="39"/>
      <c r="BE99" s="39"/>
    </row>
    <row r="100" spans="1:57" x14ac:dyDescent="0.35">
      <c r="A100" s="36">
        <v>1057</v>
      </c>
      <c r="B100" s="36">
        <v>2</v>
      </c>
      <c r="C100" s="36">
        <v>1</v>
      </c>
      <c r="D100" s="36">
        <v>0</v>
      </c>
      <c r="E100" s="36">
        <v>0</v>
      </c>
      <c r="F100" s="36">
        <v>0</v>
      </c>
      <c r="G100" s="36" t="s">
        <v>64</v>
      </c>
      <c r="H100" s="36" t="s">
        <v>65</v>
      </c>
      <c r="S100" s="39"/>
      <c r="BC100" s="39"/>
      <c r="BE100" s="39"/>
    </row>
    <row r="101" spans="1:57" x14ac:dyDescent="0.35">
      <c r="A101" s="36">
        <v>1057</v>
      </c>
      <c r="B101" s="36">
        <v>22</v>
      </c>
      <c r="C101" s="36">
        <v>0</v>
      </c>
      <c r="D101" s="36">
        <v>0</v>
      </c>
      <c r="E101" s="36">
        <v>0</v>
      </c>
      <c r="F101" s="36">
        <v>0</v>
      </c>
      <c r="G101" s="36" t="s">
        <v>68</v>
      </c>
      <c r="H101" s="36" t="s">
        <v>65</v>
      </c>
      <c r="S101" s="39"/>
      <c r="BC101" s="39"/>
      <c r="BE101" s="39"/>
    </row>
    <row r="102" spans="1:57" x14ac:dyDescent="0.35">
      <c r="A102" s="36">
        <v>1057</v>
      </c>
      <c r="B102" s="36">
        <v>2</v>
      </c>
      <c r="C102" s="36">
        <v>0</v>
      </c>
      <c r="D102" s="36">
        <v>0</v>
      </c>
      <c r="E102" s="36">
        <v>0</v>
      </c>
      <c r="F102" s="36">
        <v>0</v>
      </c>
      <c r="G102" s="36" t="s">
        <v>68</v>
      </c>
      <c r="H102" s="36" t="s">
        <v>65</v>
      </c>
      <c r="S102" s="39"/>
      <c r="BC102" s="39"/>
      <c r="BE102" s="39"/>
    </row>
    <row r="103" spans="1:57" x14ac:dyDescent="0.35">
      <c r="A103" s="36">
        <v>1057</v>
      </c>
      <c r="B103" s="36">
        <v>2</v>
      </c>
      <c r="C103" s="36">
        <v>0</v>
      </c>
      <c r="D103" s="36">
        <v>0</v>
      </c>
      <c r="E103" s="36">
        <v>0</v>
      </c>
      <c r="F103" s="36">
        <v>0</v>
      </c>
      <c r="G103" s="36" t="s">
        <v>67</v>
      </c>
      <c r="H103" s="36" t="s">
        <v>65</v>
      </c>
      <c r="S103" s="39"/>
      <c r="BC103" s="39"/>
      <c r="BE103" s="39"/>
    </row>
    <row r="104" spans="1:57" x14ac:dyDescent="0.35">
      <c r="A104" s="36">
        <v>1057</v>
      </c>
      <c r="B104" s="36">
        <v>4</v>
      </c>
      <c r="C104" s="36">
        <v>0</v>
      </c>
      <c r="D104" s="36">
        <v>0</v>
      </c>
      <c r="E104" s="36">
        <v>0</v>
      </c>
      <c r="F104" s="36">
        <v>0</v>
      </c>
      <c r="G104" s="36" t="s">
        <v>64</v>
      </c>
      <c r="H104" s="36" t="s">
        <v>65</v>
      </c>
      <c r="S104" s="39"/>
      <c r="BC104" s="39"/>
      <c r="BE104" s="39"/>
    </row>
    <row r="105" spans="1:57" x14ac:dyDescent="0.35">
      <c r="A105" s="36">
        <v>1057</v>
      </c>
      <c r="B105" s="36">
        <v>5</v>
      </c>
      <c r="C105" s="36">
        <v>1</v>
      </c>
      <c r="D105" s="36">
        <v>0</v>
      </c>
      <c r="E105" s="36">
        <v>0</v>
      </c>
      <c r="F105" s="36">
        <v>0</v>
      </c>
      <c r="G105" s="36" t="s">
        <v>68</v>
      </c>
      <c r="H105" s="36" t="s">
        <v>65</v>
      </c>
      <c r="S105" s="39"/>
      <c r="BC105" s="39"/>
      <c r="BE105" s="39"/>
    </row>
    <row r="106" spans="1:57" x14ac:dyDescent="0.35">
      <c r="A106" s="36">
        <v>1057</v>
      </c>
      <c r="B106" s="36">
        <v>2</v>
      </c>
      <c r="C106" s="36">
        <v>0</v>
      </c>
      <c r="D106" s="36">
        <v>0</v>
      </c>
      <c r="E106" s="36">
        <v>0</v>
      </c>
      <c r="F106" s="36">
        <v>0</v>
      </c>
      <c r="G106" s="36" t="s">
        <v>64</v>
      </c>
      <c r="H106" s="36" t="s">
        <v>65</v>
      </c>
      <c r="S106" s="39"/>
      <c r="BC106" s="39"/>
      <c r="BE106" s="39"/>
    </row>
    <row r="107" spans="1:57" x14ac:dyDescent="0.35">
      <c r="A107" s="36">
        <v>1057</v>
      </c>
      <c r="B107" s="36">
        <v>2</v>
      </c>
      <c r="C107" s="36">
        <v>0</v>
      </c>
      <c r="D107" s="36">
        <v>0</v>
      </c>
      <c r="E107" s="36">
        <v>0</v>
      </c>
      <c r="F107" s="36">
        <v>0</v>
      </c>
      <c r="G107" s="36" t="s">
        <v>67</v>
      </c>
      <c r="H107" s="36" t="s">
        <v>65</v>
      </c>
      <c r="S107" s="39"/>
      <c r="BC107" s="39"/>
      <c r="BE107" s="39"/>
    </row>
    <row r="108" spans="1:57" x14ac:dyDescent="0.35">
      <c r="A108" s="36">
        <v>1057</v>
      </c>
      <c r="B108" s="36">
        <v>3</v>
      </c>
      <c r="C108" s="36">
        <v>0</v>
      </c>
      <c r="D108" s="36">
        <v>0</v>
      </c>
      <c r="E108" s="36">
        <v>0</v>
      </c>
      <c r="F108" s="36">
        <v>0</v>
      </c>
      <c r="G108" s="36" t="s">
        <v>64</v>
      </c>
      <c r="H108" s="36" t="s">
        <v>65</v>
      </c>
      <c r="S108" s="39"/>
      <c r="BC108" s="39"/>
      <c r="BE108" s="39"/>
    </row>
    <row r="109" spans="1:57" x14ac:dyDescent="0.35">
      <c r="A109" s="36">
        <v>1057</v>
      </c>
      <c r="B109" s="36">
        <v>1</v>
      </c>
      <c r="C109" s="36">
        <v>0</v>
      </c>
      <c r="D109" s="36">
        <v>1</v>
      </c>
      <c r="E109" s="36">
        <v>0</v>
      </c>
      <c r="F109" s="36">
        <v>0</v>
      </c>
      <c r="G109" s="36" t="s">
        <v>64</v>
      </c>
      <c r="H109" s="36" t="s">
        <v>65</v>
      </c>
      <c r="S109" s="39"/>
      <c r="BC109" s="39"/>
      <c r="BE109" s="39"/>
    </row>
    <row r="110" spans="1:57" x14ac:dyDescent="0.35">
      <c r="A110" s="36">
        <v>1057</v>
      </c>
      <c r="B110" s="36">
        <v>2</v>
      </c>
      <c r="C110" s="36">
        <v>0</v>
      </c>
      <c r="D110" s="36">
        <v>0</v>
      </c>
      <c r="E110" s="36">
        <v>0</v>
      </c>
      <c r="F110" s="36">
        <v>0</v>
      </c>
      <c r="G110" s="36" t="s">
        <v>66</v>
      </c>
      <c r="H110" s="36" t="s">
        <v>65</v>
      </c>
      <c r="S110" s="39"/>
      <c r="BC110" s="39"/>
      <c r="BE110" s="39"/>
    </row>
    <row r="111" spans="1:57" x14ac:dyDescent="0.35">
      <c r="A111" s="36">
        <v>1057</v>
      </c>
      <c r="B111" s="36">
        <v>0</v>
      </c>
      <c r="C111" s="36">
        <v>0</v>
      </c>
      <c r="D111" s="36">
        <v>1</v>
      </c>
      <c r="E111" s="36">
        <v>0</v>
      </c>
      <c r="F111" s="36">
        <v>0</v>
      </c>
      <c r="G111" s="36" t="s">
        <v>64</v>
      </c>
      <c r="H111" s="36" t="s">
        <v>70</v>
      </c>
      <c r="S111" s="39"/>
      <c r="BC111" s="39"/>
      <c r="BE111" s="39"/>
    </row>
    <row r="112" spans="1:57" x14ac:dyDescent="0.35">
      <c r="A112" s="36">
        <v>1057</v>
      </c>
      <c r="B112" s="36">
        <v>0</v>
      </c>
      <c r="C112" s="36">
        <v>0</v>
      </c>
      <c r="D112" s="36">
        <v>1</v>
      </c>
      <c r="E112" s="36">
        <v>0</v>
      </c>
      <c r="F112" s="36">
        <v>0</v>
      </c>
      <c r="G112" s="36" t="s">
        <v>66</v>
      </c>
      <c r="H112" s="36" t="s">
        <v>69</v>
      </c>
      <c r="S112" s="39"/>
      <c r="BC112" s="39"/>
      <c r="BE112" s="39"/>
    </row>
    <row r="113" spans="1:57" x14ac:dyDescent="0.35">
      <c r="A113" s="36">
        <v>1057</v>
      </c>
      <c r="B113" s="36">
        <v>5</v>
      </c>
      <c r="C113" s="36">
        <v>0</v>
      </c>
      <c r="D113" s="36">
        <v>0</v>
      </c>
      <c r="E113" s="36">
        <v>0</v>
      </c>
      <c r="F113" s="36">
        <v>0</v>
      </c>
      <c r="G113" s="36" t="s">
        <v>66</v>
      </c>
      <c r="H113" s="36" t="s">
        <v>65</v>
      </c>
      <c r="S113" s="39"/>
      <c r="BC113" s="39"/>
      <c r="BE113" s="39"/>
    </row>
    <row r="114" spans="1:57" x14ac:dyDescent="0.35">
      <c r="A114" s="36">
        <v>1057</v>
      </c>
      <c r="B114" s="36">
        <v>0</v>
      </c>
      <c r="C114" s="36">
        <v>2</v>
      </c>
      <c r="D114" s="36">
        <v>0</v>
      </c>
      <c r="E114" s="36">
        <v>0</v>
      </c>
      <c r="F114" s="36">
        <v>0</v>
      </c>
      <c r="G114" s="36" t="s">
        <v>64</v>
      </c>
      <c r="H114" s="36" t="s">
        <v>65</v>
      </c>
      <c r="S114" s="39"/>
      <c r="BC114" s="39"/>
      <c r="BE114" s="39"/>
    </row>
    <row r="115" spans="1:57" x14ac:dyDescent="0.35">
      <c r="A115" s="36">
        <v>1057</v>
      </c>
      <c r="B115" s="36">
        <v>1</v>
      </c>
      <c r="C115" s="36">
        <v>0</v>
      </c>
      <c r="D115" s="36">
        <v>0</v>
      </c>
      <c r="E115" s="36">
        <v>0</v>
      </c>
      <c r="F115" s="36">
        <v>0</v>
      </c>
      <c r="G115" s="36" t="s">
        <v>64</v>
      </c>
      <c r="H115" s="36" t="s">
        <v>69</v>
      </c>
      <c r="S115" s="39"/>
      <c r="BC115" s="39"/>
      <c r="BE115" s="39"/>
    </row>
    <row r="116" spans="1:57" x14ac:dyDescent="0.35">
      <c r="A116" s="36">
        <v>1057</v>
      </c>
      <c r="B116" s="36">
        <v>1</v>
      </c>
      <c r="C116" s="36">
        <v>0</v>
      </c>
      <c r="D116" s="36">
        <v>0</v>
      </c>
      <c r="E116" s="36">
        <v>0</v>
      </c>
      <c r="F116" s="36">
        <v>0</v>
      </c>
      <c r="G116" s="36" t="s">
        <v>66</v>
      </c>
      <c r="H116" s="36" t="s">
        <v>65</v>
      </c>
      <c r="S116" s="39"/>
      <c r="BC116" s="39"/>
      <c r="BE116" s="39"/>
    </row>
    <row r="117" spans="1:57" x14ac:dyDescent="0.35">
      <c r="A117" s="36">
        <v>1057</v>
      </c>
      <c r="B117" s="36">
        <v>1</v>
      </c>
      <c r="C117" s="36">
        <v>1</v>
      </c>
      <c r="D117" s="36">
        <v>0</v>
      </c>
      <c r="E117" s="36">
        <v>0</v>
      </c>
      <c r="F117" s="36">
        <v>0</v>
      </c>
      <c r="G117" s="36" t="s">
        <v>66</v>
      </c>
      <c r="H117" s="36" t="s">
        <v>65</v>
      </c>
      <c r="S117" s="39"/>
      <c r="BC117" s="39"/>
      <c r="BE117" s="39"/>
    </row>
    <row r="118" spans="1:57" x14ac:dyDescent="0.35">
      <c r="A118" s="36">
        <v>1057</v>
      </c>
      <c r="B118" s="36">
        <v>1</v>
      </c>
      <c r="C118" s="36">
        <v>0</v>
      </c>
      <c r="D118" s="36">
        <v>0</v>
      </c>
      <c r="E118" s="36">
        <v>0</v>
      </c>
      <c r="F118" s="36">
        <v>0</v>
      </c>
      <c r="G118" s="36" t="s">
        <v>64</v>
      </c>
      <c r="H118" s="36" t="s">
        <v>65</v>
      </c>
      <c r="S118" s="39"/>
      <c r="BC118" s="39"/>
      <c r="BE118" s="39"/>
    </row>
    <row r="119" spans="1:57" x14ac:dyDescent="0.35">
      <c r="A119" s="36">
        <v>1057</v>
      </c>
      <c r="B119" s="36">
        <v>2</v>
      </c>
      <c r="C119" s="36">
        <v>0</v>
      </c>
      <c r="D119" s="36">
        <v>0</v>
      </c>
      <c r="E119" s="36">
        <v>0</v>
      </c>
      <c r="F119" s="36">
        <v>0</v>
      </c>
      <c r="G119" s="36" t="s">
        <v>66</v>
      </c>
      <c r="H119" s="36" t="s">
        <v>65</v>
      </c>
      <c r="S119" s="39"/>
      <c r="BC119" s="39"/>
      <c r="BE119" s="39"/>
    </row>
    <row r="120" spans="1:57" x14ac:dyDescent="0.35">
      <c r="A120" s="36">
        <v>1057</v>
      </c>
      <c r="B120" s="36">
        <v>1</v>
      </c>
      <c r="C120" s="36">
        <v>0</v>
      </c>
      <c r="D120" s="36">
        <v>0</v>
      </c>
      <c r="E120" s="36">
        <v>0</v>
      </c>
      <c r="F120" s="36">
        <v>0</v>
      </c>
      <c r="G120" s="36" t="s">
        <v>64</v>
      </c>
      <c r="H120" s="36" t="s">
        <v>70</v>
      </c>
      <c r="S120" s="39"/>
      <c r="BC120" s="39"/>
      <c r="BE120" s="39"/>
    </row>
    <row r="121" spans="1:57" x14ac:dyDescent="0.35">
      <c r="A121" s="36">
        <v>1057</v>
      </c>
      <c r="B121" s="36">
        <v>2</v>
      </c>
      <c r="C121" s="36">
        <v>0</v>
      </c>
      <c r="D121" s="36">
        <v>0</v>
      </c>
      <c r="E121" s="36">
        <v>0</v>
      </c>
      <c r="F121" s="36">
        <v>0</v>
      </c>
      <c r="G121" s="36" t="s">
        <v>64</v>
      </c>
      <c r="H121" s="36" t="s">
        <v>70</v>
      </c>
      <c r="S121" s="39"/>
      <c r="BC121" s="39"/>
      <c r="BE121" s="39"/>
    </row>
    <row r="122" spans="1:57" x14ac:dyDescent="0.35">
      <c r="A122" s="36">
        <v>1057</v>
      </c>
      <c r="B122" s="36">
        <v>1</v>
      </c>
      <c r="C122" s="36">
        <v>0</v>
      </c>
      <c r="D122" s="36">
        <v>0</v>
      </c>
      <c r="E122" s="36">
        <v>0</v>
      </c>
      <c r="F122" s="36">
        <v>0</v>
      </c>
      <c r="G122" s="36" t="s">
        <v>64</v>
      </c>
      <c r="H122" s="36" t="s">
        <v>65</v>
      </c>
      <c r="S122" s="39"/>
      <c r="BC122" s="39"/>
      <c r="BE122" s="39"/>
    </row>
    <row r="123" spans="1:57" x14ac:dyDescent="0.35">
      <c r="A123" s="36">
        <v>1057</v>
      </c>
      <c r="B123" s="36">
        <v>3</v>
      </c>
      <c r="C123" s="36">
        <v>0</v>
      </c>
      <c r="D123" s="36">
        <v>0</v>
      </c>
      <c r="E123" s="36">
        <v>0</v>
      </c>
      <c r="F123" s="36">
        <v>0</v>
      </c>
      <c r="G123" s="36" t="s">
        <v>64</v>
      </c>
      <c r="H123" s="36" t="s">
        <v>65</v>
      </c>
      <c r="S123" s="39"/>
      <c r="BC123" s="39"/>
      <c r="BE123" s="39"/>
    </row>
    <row r="124" spans="1:57" x14ac:dyDescent="0.35">
      <c r="A124" s="36">
        <v>1057</v>
      </c>
      <c r="B124" s="36">
        <v>2</v>
      </c>
      <c r="C124" s="36">
        <v>0</v>
      </c>
      <c r="D124" s="36">
        <v>0</v>
      </c>
      <c r="E124" s="36">
        <v>0</v>
      </c>
      <c r="F124" s="36">
        <v>0</v>
      </c>
      <c r="G124" s="36" t="s">
        <v>66</v>
      </c>
      <c r="H124" s="36" t="s">
        <v>65</v>
      </c>
      <c r="S124" s="39"/>
      <c r="BC124" s="39"/>
      <c r="BE124" s="39"/>
    </row>
    <row r="125" spans="1:57" x14ac:dyDescent="0.35">
      <c r="A125" s="36">
        <v>1057</v>
      </c>
      <c r="B125" s="36">
        <v>1</v>
      </c>
      <c r="C125" s="36">
        <v>0</v>
      </c>
      <c r="D125" s="36">
        <v>0</v>
      </c>
      <c r="E125" s="36">
        <v>0</v>
      </c>
      <c r="F125" s="36">
        <v>0</v>
      </c>
      <c r="G125" s="36" t="s">
        <v>66</v>
      </c>
      <c r="H125" s="36" t="s">
        <v>65</v>
      </c>
      <c r="S125" s="39"/>
      <c r="BC125" s="39"/>
      <c r="BE125" s="39"/>
    </row>
    <row r="126" spans="1:57" x14ac:dyDescent="0.35">
      <c r="A126" s="36">
        <v>1057</v>
      </c>
      <c r="B126" s="36">
        <v>3</v>
      </c>
      <c r="C126" s="36">
        <v>0</v>
      </c>
      <c r="D126" s="36">
        <v>0</v>
      </c>
      <c r="E126" s="36">
        <v>0</v>
      </c>
      <c r="F126" s="36">
        <v>0</v>
      </c>
      <c r="G126" s="36" t="s">
        <v>66</v>
      </c>
      <c r="H126" s="36" t="s">
        <v>65</v>
      </c>
      <c r="S126" s="39"/>
      <c r="BC126" s="39"/>
      <c r="BE126" s="39"/>
    </row>
    <row r="127" spans="1:57" x14ac:dyDescent="0.35">
      <c r="A127" s="36">
        <v>1057</v>
      </c>
      <c r="B127" s="36">
        <v>2</v>
      </c>
      <c r="C127" s="36">
        <v>0</v>
      </c>
      <c r="D127" s="36">
        <v>0</v>
      </c>
      <c r="E127" s="36">
        <v>0</v>
      </c>
      <c r="F127" s="36">
        <v>0</v>
      </c>
      <c r="G127" s="36" t="s">
        <v>64</v>
      </c>
      <c r="H127" s="36" t="s">
        <v>65</v>
      </c>
      <c r="S127" s="39"/>
      <c r="BC127" s="39"/>
      <c r="BE127" s="39"/>
    </row>
    <row r="128" spans="1:57" x14ac:dyDescent="0.35">
      <c r="A128" s="36">
        <v>1057</v>
      </c>
      <c r="B128" s="36">
        <v>2</v>
      </c>
      <c r="C128" s="36">
        <v>0</v>
      </c>
      <c r="D128" s="36">
        <v>0</v>
      </c>
      <c r="E128" s="36">
        <v>0</v>
      </c>
      <c r="F128" s="36">
        <v>0</v>
      </c>
      <c r="G128" s="36" t="s">
        <v>66</v>
      </c>
      <c r="H128" s="36" t="s">
        <v>65</v>
      </c>
      <c r="S128" s="39"/>
      <c r="BC128" s="39"/>
      <c r="BE128" s="39"/>
    </row>
    <row r="129" spans="1:57" x14ac:dyDescent="0.35">
      <c r="A129" s="36">
        <v>1057</v>
      </c>
      <c r="B129" s="36">
        <v>2</v>
      </c>
      <c r="C129" s="36">
        <v>0</v>
      </c>
      <c r="D129" s="36">
        <v>0</v>
      </c>
      <c r="E129" s="36">
        <v>0</v>
      </c>
      <c r="F129" s="36">
        <v>0</v>
      </c>
      <c r="G129" s="36" t="s">
        <v>64</v>
      </c>
      <c r="H129" s="36" t="s">
        <v>65</v>
      </c>
      <c r="S129" s="39"/>
      <c r="BC129" s="39"/>
      <c r="BE129" s="39"/>
    </row>
    <row r="130" spans="1:57" x14ac:dyDescent="0.35">
      <c r="A130" s="36">
        <v>1057</v>
      </c>
      <c r="B130" s="36">
        <v>9</v>
      </c>
      <c r="C130" s="36">
        <v>0</v>
      </c>
      <c r="D130" s="36">
        <v>1</v>
      </c>
      <c r="E130" s="36">
        <v>0</v>
      </c>
      <c r="F130" s="36">
        <v>0</v>
      </c>
      <c r="G130" s="36" t="s">
        <v>64</v>
      </c>
      <c r="H130" s="36" t="s">
        <v>65</v>
      </c>
      <c r="S130" s="39"/>
      <c r="BC130" s="39"/>
      <c r="BE130" s="39"/>
    </row>
    <row r="131" spans="1:57" x14ac:dyDescent="0.35">
      <c r="A131" s="36">
        <v>1057</v>
      </c>
      <c r="B131" s="36">
        <v>0</v>
      </c>
      <c r="C131" s="36">
        <v>0</v>
      </c>
      <c r="D131" s="36">
        <v>0</v>
      </c>
      <c r="E131" s="36">
        <v>0</v>
      </c>
      <c r="F131" s="36">
        <v>1</v>
      </c>
      <c r="G131" s="36" t="s">
        <v>64</v>
      </c>
      <c r="H131" s="36" t="s">
        <v>69</v>
      </c>
      <c r="S131" s="39"/>
      <c r="BC131" s="39"/>
      <c r="BE131" s="39"/>
    </row>
    <row r="132" spans="1:57" x14ac:dyDescent="0.35">
      <c r="A132" s="36">
        <v>1057</v>
      </c>
      <c r="B132" s="36">
        <v>1</v>
      </c>
      <c r="C132" s="36">
        <v>0</v>
      </c>
      <c r="D132" s="36">
        <v>0</v>
      </c>
      <c r="E132" s="36">
        <v>0</v>
      </c>
      <c r="F132" s="36">
        <v>0</v>
      </c>
      <c r="G132" s="36" t="s">
        <v>64</v>
      </c>
      <c r="H132" s="36" t="s">
        <v>69</v>
      </c>
      <c r="S132" s="39"/>
      <c r="BC132" s="39"/>
      <c r="BE132" s="39"/>
    </row>
    <row r="133" spans="1:57" x14ac:dyDescent="0.35">
      <c r="A133" s="36">
        <v>1057</v>
      </c>
      <c r="B133" s="36">
        <v>2</v>
      </c>
      <c r="C133" s="36">
        <v>0</v>
      </c>
      <c r="D133" s="36">
        <v>0</v>
      </c>
      <c r="E133" s="36">
        <v>0</v>
      </c>
      <c r="F133" s="36">
        <v>0</v>
      </c>
      <c r="G133" s="36" t="s">
        <v>66</v>
      </c>
      <c r="H133" s="36" t="s">
        <v>65</v>
      </c>
      <c r="S133" s="39"/>
      <c r="BC133" s="39"/>
      <c r="BE133" s="39"/>
    </row>
    <row r="134" spans="1:57" x14ac:dyDescent="0.35">
      <c r="A134" s="36">
        <v>1057</v>
      </c>
      <c r="B134" s="36">
        <v>3</v>
      </c>
      <c r="C134" s="36">
        <v>0</v>
      </c>
      <c r="D134" s="36">
        <v>0</v>
      </c>
      <c r="E134" s="36">
        <v>0</v>
      </c>
      <c r="F134" s="36">
        <v>0</v>
      </c>
      <c r="G134" s="36" t="s">
        <v>66</v>
      </c>
      <c r="H134" s="36" t="s">
        <v>65</v>
      </c>
      <c r="S134" s="39"/>
      <c r="BC134" s="39"/>
      <c r="BE134" s="39"/>
    </row>
    <row r="135" spans="1:57" x14ac:dyDescent="0.35">
      <c r="A135" s="36">
        <v>1057</v>
      </c>
      <c r="B135" s="36">
        <v>1</v>
      </c>
      <c r="C135" s="36">
        <v>1</v>
      </c>
      <c r="D135" s="36">
        <v>0</v>
      </c>
      <c r="E135" s="36">
        <v>0</v>
      </c>
      <c r="F135" s="36">
        <v>0</v>
      </c>
      <c r="G135" s="36" t="s">
        <v>64</v>
      </c>
      <c r="H135" s="36" t="s">
        <v>65</v>
      </c>
      <c r="S135" s="39"/>
      <c r="BC135" s="39"/>
      <c r="BE135" s="39"/>
    </row>
    <row r="136" spans="1:57" x14ac:dyDescent="0.35">
      <c r="A136" s="36">
        <v>1057</v>
      </c>
      <c r="B136" s="36">
        <v>2</v>
      </c>
      <c r="C136" s="36">
        <v>0</v>
      </c>
      <c r="D136" s="36">
        <v>0</v>
      </c>
      <c r="E136" s="36">
        <v>0</v>
      </c>
      <c r="F136" s="36">
        <v>0</v>
      </c>
      <c r="G136" s="36" t="s">
        <v>64</v>
      </c>
      <c r="H136" s="36" t="s">
        <v>65</v>
      </c>
      <c r="S136" s="39"/>
      <c r="BC136" s="39"/>
      <c r="BE136" s="39"/>
    </row>
    <row r="137" spans="1:57" x14ac:dyDescent="0.35">
      <c r="A137" s="36">
        <v>1057</v>
      </c>
      <c r="B137" s="36">
        <v>2</v>
      </c>
      <c r="C137" s="36">
        <v>0</v>
      </c>
      <c r="D137" s="36">
        <v>0</v>
      </c>
      <c r="E137" s="36">
        <v>0</v>
      </c>
      <c r="F137" s="36">
        <v>0</v>
      </c>
      <c r="G137" s="36" t="s">
        <v>68</v>
      </c>
      <c r="H137" s="36" t="s">
        <v>65</v>
      </c>
      <c r="S137" s="39"/>
      <c r="BC137" s="39"/>
      <c r="BE137" s="39"/>
    </row>
    <row r="138" spans="1:57" x14ac:dyDescent="0.35">
      <c r="A138" s="36">
        <v>1057</v>
      </c>
      <c r="B138" s="36">
        <v>1</v>
      </c>
      <c r="C138" s="36">
        <v>0</v>
      </c>
      <c r="D138" s="36">
        <v>0</v>
      </c>
      <c r="E138" s="36">
        <v>0</v>
      </c>
      <c r="F138" s="36">
        <v>0</v>
      </c>
      <c r="G138" s="36" t="s">
        <v>64</v>
      </c>
      <c r="H138" s="36" t="s">
        <v>74</v>
      </c>
      <c r="S138" s="39"/>
      <c r="BC138" s="39"/>
      <c r="BE138" s="39"/>
    </row>
    <row r="139" spans="1:57" x14ac:dyDescent="0.35">
      <c r="A139" s="36">
        <v>1057</v>
      </c>
      <c r="B139" s="36">
        <v>5</v>
      </c>
      <c r="C139" s="36">
        <v>0</v>
      </c>
      <c r="D139" s="36">
        <v>0</v>
      </c>
      <c r="E139" s="36">
        <v>0</v>
      </c>
      <c r="F139" s="36">
        <v>0</v>
      </c>
      <c r="G139" s="36" t="s">
        <v>64</v>
      </c>
      <c r="H139" s="36" t="s">
        <v>65</v>
      </c>
      <c r="S139" s="39"/>
      <c r="BC139" s="39"/>
      <c r="BE139" s="39"/>
    </row>
    <row r="140" spans="1:57" x14ac:dyDescent="0.35">
      <c r="A140" s="36">
        <v>1057</v>
      </c>
      <c r="B140" s="36">
        <v>3</v>
      </c>
      <c r="C140" s="36">
        <v>0</v>
      </c>
      <c r="D140" s="36">
        <v>0</v>
      </c>
      <c r="E140" s="36">
        <v>0</v>
      </c>
      <c r="F140" s="36">
        <v>0</v>
      </c>
      <c r="G140" s="36" t="s">
        <v>64</v>
      </c>
      <c r="H140" s="36" t="s">
        <v>70</v>
      </c>
      <c r="S140" s="39"/>
      <c r="BC140" s="39"/>
      <c r="BE140" s="39"/>
    </row>
    <row r="141" spans="1:57" x14ac:dyDescent="0.35">
      <c r="A141" s="36">
        <v>1057</v>
      </c>
      <c r="B141" s="36">
        <v>4</v>
      </c>
      <c r="C141" s="36">
        <v>1</v>
      </c>
      <c r="D141" s="36">
        <v>0</v>
      </c>
      <c r="E141" s="36">
        <v>0</v>
      </c>
      <c r="F141" s="36">
        <v>0</v>
      </c>
      <c r="G141" s="36" t="s">
        <v>68</v>
      </c>
      <c r="H141" s="36" t="s">
        <v>65</v>
      </c>
      <c r="S141" s="39"/>
      <c r="BC141" s="39"/>
      <c r="BE141" s="39"/>
    </row>
    <row r="142" spans="1:57" x14ac:dyDescent="0.35">
      <c r="A142" s="36">
        <v>1057</v>
      </c>
      <c r="B142" s="36">
        <v>2</v>
      </c>
      <c r="C142" s="36">
        <v>0</v>
      </c>
      <c r="D142" s="36">
        <v>0</v>
      </c>
      <c r="E142" s="36">
        <v>0</v>
      </c>
      <c r="F142" s="36">
        <v>0</v>
      </c>
      <c r="G142" s="36" t="s">
        <v>64</v>
      </c>
      <c r="H142" s="36" t="s">
        <v>65</v>
      </c>
      <c r="S142" s="39"/>
      <c r="BC142" s="39"/>
      <c r="BE142" s="39"/>
    </row>
    <row r="143" spans="1:57" x14ac:dyDescent="0.35">
      <c r="A143" s="36">
        <v>1057</v>
      </c>
      <c r="B143" s="36">
        <v>6</v>
      </c>
      <c r="C143" s="36">
        <v>0</v>
      </c>
      <c r="D143" s="36">
        <v>0</v>
      </c>
      <c r="E143" s="36">
        <v>0</v>
      </c>
      <c r="F143" s="36">
        <v>0</v>
      </c>
      <c r="G143" s="36" t="s">
        <v>64</v>
      </c>
      <c r="H143" s="36" t="s">
        <v>70</v>
      </c>
      <c r="S143" s="39"/>
      <c r="BC143" s="39"/>
      <c r="BE143" s="39"/>
    </row>
    <row r="144" spans="1:57" x14ac:dyDescent="0.35">
      <c r="A144" s="36">
        <v>1057</v>
      </c>
      <c r="B144" s="36">
        <v>2</v>
      </c>
      <c r="C144" s="36">
        <v>0</v>
      </c>
      <c r="D144" s="36">
        <v>0</v>
      </c>
      <c r="E144" s="36">
        <v>0</v>
      </c>
      <c r="F144" s="36">
        <v>0</v>
      </c>
      <c r="G144" s="36" t="s">
        <v>64</v>
      </c>
      <c r="H144" s="36" t="s">
        <v>65</v>
      </c>
      <c r="S144" s="39"/>
      <c r="BC144" s="39"/>
      <c r="BE144" s="39"/>
    </row>
    <row r="145" spans="1:57" x14ac:dyDescent="0.35">
      <c r="A145" s="36">
        <v>1057</v>
      </c>
      <c r="B145" s="36">
        <v>2</v>
      </c>
      <c r="C145" s="36">
        <v>1</v>
      </c>
      <c r="D145" s="36">
        <v>0</v>
      </c>
      <c r="E145" s="36">
        <v>0</v>
      </c>
      <c r="F145" s="36">
        <v>0</v>
      </c>
      <c r="G145" s="36" t="s">
        <v>64</v>
      </c>
      <c r="H145" s="36" t="s">
        <v>65</v>
      </c>
      <c r="S145" s="39"/>
      <c r="BC145" s="39"/>
      <c r="BE145" s="39"/>
    </row>
    <row r="146" spans="1:57" x14ac:dyDescent="0.35">
      <c r="A146" s="36">
        <v>1057</v>
      </c>
      <c r="B146" s="36">
        <v>2</v>
      </c>
      <c r="C146" s="36">
        <v>0</v>
      </c>
      <c r="D146" s="36">
        <v>0</v>
      </c>
      <c r="E146" s="36">
        <v>0</v>
      </c>
      <c r="F146" s="36">
        <v>0</v>
      </c>
      <c r="G146" s="36" t="s">
        <v>64</v>
      </c>
      <c r="H146" s="36" t="s">
        <v>65</v>
      </c>
      <c r="S146" s="39"/>
      <c r="BC146" s="39"/>
      <c r="BE146" s="39"/>
    </row>
    <row r="147" spans="1:57" x14ac:dyDescent="0.35">
      <c r="A147" s="36">
        <v>1057</v>
      </c>
      <c r="B147" s="36">
        <v>4</v>
      </c>
      <c r="C147" s="36">
        <v>0</v>
      </c>
      <c r="D147" s="36">
        <v>0</v>
      </c>
      <c r="E147" s="36">
        <v>0</v>
      </c>
      <c r="F147" s="36">
        <v>0</v>
      </c>
      <c r="G147" s="36" t="s">
        <v>64</v>
      </c>
      <c r="H147" s="36" t="s">
        <v>65</v>
      </c>
      <c r="S147" s="39"/>
      <c r="BC147" s="39"/>
      <c r="BE147" s="39"/>
    </row>
    <row r="148" spans="1:57" x14ac:dyDescent="0.35">
      <c r="A148" s="36">
        <v>1057</v>
      </c>
      <c r="B148" s="36">
        <v>2</v>
      </c>
      <c r="C148" s="36">
        <v>0</v>
      </c>
      <c r="D148" s="36">
        <v>0</v>
      </c>
      <c r="E148" s="36">
        <v>0</v>
      </c>
      <c r="F148" s="36">
        <v>0</v>
      </c>
      <c r="G148" s="36" t="s">
        <v>66</v>
      </c>
      <c r="H148" s="36" t="s">
        <v>65</v>
      </c>
      <c r="S148" s="39"/>
      <c r="BC148" s="39"/>
      <c r="BE148" s="39"/>
    </row>
    <row r="149" spans="1:57" x14ac:dyDescent="0.35">
      <c r="A149" s="36">
        <v>1057</v>
      </c>
      <c r="B149" s="36">
        <v>5</v>
      </c>
      <c r="C149" s="36">
        <v>0</v>
      </c>
      <c r="D149" s="36">
        <v>0</v>
      </c>
      <c r="E149" s="36">
        <v>0</v>
      </c>
      <c r="F149" s="36">
        <v>0</v>
      </c>
      <c r="G149" s="36" t="s">
        <v>66</v>
      </c>
      <c r="H149" s="36" t="s">
        <v>65</v>
      </c>
      <c r="S149" s="39"/>
      <c r="BC149" s="39"/>
      <c r="BE149" s="39"/>
    </row>
    <row r="150" spans="1:57" x14ac:dyDescent="0.35">
      <c r="A150" s="36">
        <v>1057</v>
      </c>
      <c r="B150" s="36">
        <v>2</v>
      </c>
      <c r="C150" s="36">
        <v>0</v>
      </c>
      <c r="D150" s="36">
        <v>0</v>
      </c>
      <c r="E150" s="36">
        <v>0</v>
      </c>
      <c r="F150" s="36">
        <v>0</v>
      </c>
      <c r="G150" s="36" t="s">
        <v>66</v>
      </c>
      <c r="H150" s="36" t="s">
        <v>65</v>
      </c>
      <c r="S150" s="39"/>
      <c r="BC150" s="39"/>
      <c r="BE150" s="39"/>
    </row>
    <row r="151" spans="1:57" x14ac:dyDescent="0.35">
      <c r="A151" s="36">
        <v>1057</v>
      </c>
      <c r="B151" s="36">
        <v>5</v>
      </c>
      <c r="C151" s="36">
        <v>0</v>
      </c>
      <c r="D151" s="36">
        <v>0</v>
      </c>
      <c r="E151" s="36">
        <v>0</v>
      </c>
      <c r="F151" s="36">
        <v>0</v>
      </c>
      <c r="G151" s="36" t="s">
        <v>64</v>
      </c>
      <c r="H151" s="36" t="s">
        <v>65</v>
      </c>
      <c r="S151" s="39"/>
      <c r="BC151" s="39"/>
      <c r="BE151" s="39"/>
    </row>
    <row r="152" spans="1:57" x14ac:dyDescent="0.35">
      <c r="A152" s="36">
        <v>1057</v>
      </c>
      <c r="B152" s="36">
        <v>3</v>
      </c>
      <c r="C152" s="36">
        <v>0</v>
      </c>
      <c r="D152" s="36">
        <v>0</v>
      </c>
      <c r="E152" s="36">
        <v>0</v>
      </c>
      <c r="F152" s="36">
        <v>0</v>
      </c>
      <c r="G152" s="36" t="s">
        <v>64</v>
      </c>
      <c r="H152" s="36" t="s">
        <v>65</v>
      </c>
      <c r="S152" s="39"/>
      <c r="BC152" s="39"/>
      <c r="BE152" s="39"/>
    </row>
    <row r="153" spans="1:57" x14ac:dyDescent="0.35">
      <c r="A153" s="36">
        <v>1057</v>
      </c>
      <c r="B153" s="36">
        <v>1</v>
      </c>
      <c r="C153" s="36">
        <v>0</v>
      </c>
      <c r="D153" s="36">
        <v>0</v>
      </c>
      <c r="E153" s="36">
        <v>0</v>
      </c>
      <c r="F153" s="36">
        <v>0</v>
      </c>
      <c r="G153" s="36" t="s">
        <v>64</v>
      </c>
      <c r="H153" s="36" t="s">
        <v>70</v>
      </c>
      <c r="S153" s="39"/>
      <c r="BC153" s="39"/>
      <c r="BE153" s="39"/>
    </row>
    <row r="154" spans="1:57" x14ac:dyDescent="0.35">
      <c r="A154" s="36">
        <v>1057</v>
      </c>
      <c r="B154" s="36">
        <v>2</v>
      </c>
      <c r="C154" s="36">
        <v>0</v>
      </c>
      <c r="D154" s="36">
        <v>0</v>
      </c>
      <c r="E154" s="36">
        <v>0</v>
      </c>
      <c r="F154" s="36">
        <v>0</v>
      </c>
      <c r="G154" s="36" t="s">
        <v>64</v>
      </c>
      <c r="H154" s="36" t="s">
        <v>65</v>
      </c>
      <c r="S154" s="39"/>
      <c r="BC154" s="39"/>
      <c r="BE154" s="39"/>
    </row>
    <row r="155" spans="1:57" x14ac:dyDescent="0.35">
      <c r="A155" s="36">
        <v>1057</v>
      </c>
      <c r="B155" s="36">
        <v>3</v>
      </c>
      <c r="C155" s="36">
        <v>0</v>
      </c>
      <c r="D155" s="36">
        <v>0</v>
      </c>
      <c r="E155" s="36">
        <v>0</v>
      </c>
      <c r="F155" s="36">
        <v>0</v>
      </c>
      <c r="G155" s="36" t="s">
        <v>68</v>
      </c>
      <c r="H155" s="36" t="s">
        <v>65</v>
      </c>
      <c r="S155" s="39"/>
      <c r="BC155" s="39"/>
      <c r="BE155" s="39"/>
    </row>
    <row r="156" spans="1:57" x14ac:dyDescent="0.35">
      <c r="A156" s="36">
        <v>1057</v>
      </c>
      <c r="B156" s="36">
        <v>1</v>
      </c>
      <c r="C156" s="36">
        <v>0</v>
      </c>
      <c r="D156" s="36">
        <v>0</v>
      </c>
      <c r="E156" s="36">
        <v>0</v>
      </c>
      <c r="F156" s="36">
        <v>0</v>
      </c>
      <c r="G156" s="36" t="s">
        <v>66</v>
      </c>
      <c r="H156" s="36" t="s">
        <v>70</v>
      </c>
      <c r="S156" s="39"/>
      <c r="BC156" s="39"/>
      <c r="BE156" s="39"/>
    </row>
    <row r="157" spans="1:57" x14ac:dyDescent="0.35">
      <c r="A157" s="36">
        <v>1057</v>
      </c>
      <c r="B157" s="36">
        <v>3</v>
      </c>
      <c r="C157" s="36">
        <v>0</v>
      </c>
      <c r="D157" s="36">
        <v>0</v>
      </c>
      <c r="E157" s="36">
        <v>0</v>
      </c>
      <c r="F157" s="36">
        <v>0</v>
      </c>
      <c r="G157" s="36" t="s">
        <v>66</v>
      </c>
      <c r="H157" s="36" t="s">
        <v>65</v>
      </c>
      <c r="S157" s="39"/>
      <c r="BC157" s="39"/>
      <c r="BE157" s="39"/>
    </row>
    <row r="158" spans="1:57" x14ac:dyDescent="0.35">
      <c r="A158" s="36">
        <v>1057</v>
      </c>
      <c r="B158" s="36">
        <v>1</v>
      </c>
      <c r="C158" s="36">
        <v>3</v>
      </c>
      <c r="D158" s="36">
        <v>0</v>
      </c>
      <c r="E158" s="36">
        <v>0</v>
      </c>
      <c r="F158" s="36">
        <v>0</v>
      </c>
      <c r="G158" s="36" t="s">
        <v>64</v>
      </c>
      <c r="H158" s="36" t="s">
        <v>65</v>
      </c>
      <c r="S158" s="39"/>
      <c r="BC158" s="39"/>
      <c r="BE158" s="39"/>
    </row>
    <row r="159" spans="1:57" x14ac:dyDescent="0.35">
      <c r="A159" s="36">
        <v>1057</v>
      </c>
      <c r="B159" s="36">
        <v>4</v>
      </c>
      <c r="C159" s="36">
        <v>0</v>
      </c>
      <c r="D159" s="36">
        <v>0</v>
      </c>
      <c r="E159" s="36">
        <v>0</v>
      </c>
      <c r="F159" s="36">
        <v>0</v>
      </c>
      <c r="G159" s="36" t="s">
        <v>66</v>
      </c>
      <c r="H159" s="36" t="s">
        <v>65</v>
      </c>
      <c r="S159" s="39"/>
      <c r="BC159" s="39"/>
      <c r="BE159" s="39"/>
    </row>
    <row r="160" spans="1:57" x14ac:dyDescent="0.35">
      <c r="A160" s="36">
        <v>1057</v>
      </c>
      <c r="B160" s="36">
        <v>3</v>
      </c>
      <c r="C160" s="36">
        <v>0</v>
      </c>
      <c r="D160" s="36">
        <v>0</v>
      </c>
      <c r="E160" s="36">
        <v>0</v>
      </c>
      <c r="F160" s="36">
        <v>0</v>
      </c>
      <c r="G160" s="36" t="s">
        <v>66</v>
      </c>
      <c r="H160" s="36" t="s">
        <v>65</v>
      </c>
      <c r="S160" s="39"/>
      <c r="BC160" s="39"/>
      <c r="BE160" s="39"/>
    </row>
    <row r="161" spans="1:57" x14ac:dyDescent="0.35">
      <c r="A161" s="36">
        <v>1057</v>
      </c>
      <c r="B161" s="36">
        <v>4</v>
      </c>
      <c r="C161" s="36">
        <v>0</v>
      </c>
      <c r="D161" s="36">
        <v>0</v>
      </c>
      <c r="E161" s="36">
        <v>0</v>
      </c>
      <c r="F161" s="36">
        <v>0</v>
      </c>
      <c r="G161" s="36" t="s">
        <v>64</v>
      </c>
      <c r="H161" s="36" t="s">
        <v>65</v>
      </c>
      <c r="S161" s="39"/>
      <c r="BC161" s="39"/>
      <c r="BE161" s="39"/>
    </row>
    <row r="162" spans="1:57" x14ac:dyDescent="0.35">
      <c r="A162" s="36">
        <v>1057</v>
      </c>
      <c r="B162" s="36">
        <v>2</v>
      </c>
      <c r="C162" s="36">
        <v>0</v>
      </c>
      <c r="D162" s="36">
        <v>0</v>
      </c>
      <c r="E162" s="36">
        <v>0</v>
      </c>
      <c r="F162" s="36">
        <v>0</v>
      </c>
      <c r="G162" s="36" t="s">
        <v>64</v>
      </c>
      <c r="H162" s="36" t="s">
        <v>74</v>
      </c>
      <c r="S162" s="39"/>
      <c r="BC162" s="39"/>
      <c r="BE162" s="39"/>
    </row>
    <row r="163" spans="1:57" x14ac:dyDescent="0.35">
      <c r="A163" s="36">
        <v>1057</v>
      </c>
      <c r="B163" s="36">
        <v>1</v>
      </c>
      <c r="C163" s="36">
        <v>0</v>
      </c>
      <c r="D163" s="36">
        <v>0</v>
      </c>
      <c r="E163" s="36">
        <v>0</v>
      </c>
      <c r="F163" s="36">
        <v>0</v>
      </c>
      <c r="G163" s="36" t="s">
        <v>64</v>
      </c>
      <c r="H163" s="36" t="s">
        <v>70</v>
      </c>
      <c r="S163" s="39"/>
      <c r="BC163" s="39"/>
      <c r="BE163" s="39"/>
    </row>
    <row r="164" spans="1:57" x14ac:dyDescent="0.35">
      <c r="A164" s="36">
        <v>1057</v>
      </c>
      <c r="B164" s="36">
        <v>1</v>
      </c>
      <c r="C164" s="36">
        <v>0</v>
      </c>
      <c r="D164" s="36">
        <v>0</v>
      </c>
      <c r="E164" s="36">
        <v>0</v>
      </c>
      <c r="F164" s="36">
        <v>0</v>
      </c>
      <c r="G164" s="36" t="s">
        <v>64</v>
      </c>
      <c r="H164" s="36" t="s">
        <v>70</v>
      </c>
      <c r="S164" s="39"/>
      <c r="BC164" s="39"/>
      <c r="BE164" s="39"/>
    </row>
    <row r="165" spans="1:57" x14ac:dyDescent="0.35">
      <c r="A165" s="36">
        <v>1057</v>
      </c>
      <c r="B165" s="36">
        <v>1</v>
      </c>
      <c r="C165" s="36">
        <v>0</v>
      </c>
      <c r="D165" s="36">
        <v>0</v>
      </c>
      <c r="E165" s="36">
        <v>0</v>
      </c>
      <c r="F165" s="36">
        <v>0</v>
      </c>
      <c r="G165" s="36" t="s">
        <v>64</v>
      </c>
      <c r="H165" s="36" t="s">
        <v>65</v>
      </c>
      <c r="S165" s="39"/>
      <c r="BC165" s="39"/>
      <c r="BE165" s="39"/>
    </row>
    <row r="166" spans="1:57" x14ac:dyDescent="0.35">
      <c r="A166" s="36">
        <v>1057</v>
      </c>
      <c r="B166" s="36">
        <v>2</v>
      </c>
      <c r="C166" s="36">
        <v>0</v>
      </c>
      <c r="D166" s="36">
        <v>0</v>
      </c>
      <c r="E166" s="36">
        <v>0</v>
      </c>
      <c r="F166" s="36">
        <v>0</v>
      </c>
      <c r="G166" s="36" t="s">
        <v>64</v>
      </c>
      <c r="H166" s="36" t="s">
        <v>65</v>
      </c>
      <c r="S166" s="39"/>
      <c r="BC166" s="39"/>
      <c r="BE166" s="39"/>
    </row>
    <row r="167" spans="1:57" x14ac:dyDescent="0.35">
      <c r="A167" s="36">
        <v>1057</v>
      </c>
      <c r="B167" s="36">
        <v>2</v>
      </c>
      <c r="C167" s="36">
        <v>0</v>
      </c>
      <c r="D167" s="36">
        <v>0</v>
      </c>
      <c r="E167" s="36">
        <v>0</v>
      </c>
      <c r="F167" s="36">
        <v>0</v>
      </c>
      <c r="G167" s="36" t="s">
        <v>64</v>
      </c>
      <c r="H167" s="36" t="s">
        <v>65</v>
      </c>
      <c r="S167" s="39"/>
      <c r="BC167" s="39"/>
      <c r="BE167" s="39"/>
    </row>
    <row r="168" spans="1:57" x14ac:dyDescent="0.35">
      <c r="A168" s="36">
        <v>1057</v>
      </c>
      <c r="B168" s="36">
        <v>6</v>
      </c>
      <c r="C168" s="36">
        <v>0</v>
      </c>
      <c r="D168" s="36">
        <v>0</v>
      </c>
      <c r="E168" s="36">
        <v>0</v>
      </c>
      <c r="F168" s="36">
        <v>0</v>
      </c>
      <c r="G168" s="36" t="s">
        <v>66</v>
      </c>
      <c r="H168" s="36" t="s">
        <v>65</v>
      </c>
      <c r="S168" s="39"/>
      <c r="BC168" s="39"/>
      <c r="BE168" s="39"/>
    </row>
    <row r="169" spans="1:57" x14ac:dyDescent="0.35">
      <c r="A169" s="36">
        <v>1057</v>
      </c>
      <c r="B169" s="36">
        <v>3</v>
      </c>
      <c r="C169" s="36">
        <v>0</v>
      </c>
      <c r="D169" s="36">
        <v>0</v>
      </c>
      <c r="E169" s="36">
        <v>0</v>
      </c>
      <c r="F169" s="36">
        <v>0</v>
      </c>
      <c r="G169" s="36" t="s">
        <v>66</v>
      </c>
      <c r="H169" s="36" t="s">
        <v>65</v>
      </c>
      <c r="S169" s="39"/>
      <c r="BC169" s="39"/>
      <c r="BE169" s="39"/>
    </row>
    <row r="170" spans="1:57" x14ac:dyDescent="0.35">
      <c r="A170" s="36">
        <v>1057</v>
      </c>
      <c r="B170" s="36">
        <v>2</v>
      </c>
      <c r="C170" s="36">
        <v>0</v>
      </c>
      <c r="D170" s="36">
        <v>0</v>
      </c>
      <c r="E170" s="36">
        <v>0</v>
      </c>
      <c r="F170" s="36">
        <v>0</v>
      </c>
      <c r="G170" s="36" t="s">
        <v>64</v>
      </c>
      <c r="H170" s="36" t="s">
        <v>65</v>
      </c>
      <c r="S170" s="39"/>
      <c r="BC170" s="39"/>
      <c r="BE170" s="39"/>
    </row>
    <row r="171" spans="1:57" x14ac:dyDescent="0.35">
      <c r="A171" s="36">
        <v>1057</v>
      </c>
      <c r="B171" s="36">
        <v>2</v>
      </c>
      <c r="C171" s="36">
        <v>0</v>
      </c>
      <c r="D171" s="36">
        <v>0</v>
      </c>
      <c r="E171" s="36">
        <v>0</v>
      </c>
      <c r="F171" s="36">
        <v>0</v>
      </c>
      <c r="G171" s="36" t="s">
        <v>64</v>
      </c>
      <c r="H171" s="36" t="s">
        <v>65</v>
      </c>
      <c r="S171" s="39"/>
      <c r="BC171" s="39"/>
      <c r="BE171" s="39"/>
    </row>
    <row r="172" spans="1:57" x14ac:dyDescent="0.35">
      <c r="A172" s="36">
        <v>1057</v>
      </c>
      <c r="B172" s="36">
        <v>2</v>
      </c>
      <c r="C172" s="36">
        <v>0</v>
      </c>
      <c r="D172" s="36">
        <v>0</v>
      </c>
      <c r="E172" s="36">
        <v>0</v>
      </c>
      <c r="F172" s="36">
        <v>0</v>
      </c>
      <c r="G172" s="36" t="s">
        <v>66</v>
      </c>
      <c r="H172" s="36" t="s">
        <v>65</v>
      </c>
      <c r="S172" s="39"/>
      <c r="BC172" s="39"/>
      <c r="BE172" s="39"/>
    </row>
    <row r="173" spans="1:57" x14ac:dyDescent="0.35">
      <c r="A173" s="36">
        <v>1057</v>
      </c>
      <c r="B173" s="36">
        <v>1</v>
      </c>
      <c r="C173" s="36">
        <v>0</v>
      </c>
      <c r="D173" s="36">
        <v>0</v>
      </c>
      <c r="E173" s="36">
        <v>0</v>
      </c>
      <c r="F173" s="36">
        <v>0</v>
      </c>
      <c r="G173" s="36" t="s">
        <v>64</v>
      </c>
      <c r="H173" s="36" t="s">
        <v>70</v>
      </c>
      <c r="S173" s="39"/>
      <c r="BC173" s="39"/>
      <c r="BE173" s="39"/>
    </row>
    <row r="174" spans="1:57" x14ac:dyDescent="0.35">
      <c r="A174" s="36">
        <v>1057</v>
      </c>
      <c r="B174" s="36">
        <v>2</v>
      </c>
      <c r="C174" s="36">
        <v>0</v>
      </c>
      <c r="D174" s="36">
        <v>0</v>
      </c>
      <c r="E174" s="36">
        <v>0</v>
      </c>
      <c r="F174" s="36">
        <v>0</v>
      </c>
      <c r="G174" s="36" t="s">
        <v>66</v>
      </c>
      <c r="H174" s="36" t="s">
        <v>65</v>
      </c>
      <c r="S174" s="39"/>
      <c r="BC174" s="39"/>
      <c r="BE174" s="39"/>
    </row>
    <row r="175" spans="1:57" x14ac:dyDescent="0.35">
      <c r="A175" s="36">
        <v>1057</v>
      </c>
      <c r="B175" s="36">
        <v>3</v>
      </c>
      <c r="C175" s="36">
        <v>0</v>
      </c>
      <c r="D175" s="36">
        <v>0</v>
      </c>
      <c r="E175" s="36">
        <v>0</v>
      </c>
      <c r="F175" s="36">
        <v>0</v>
      </c>
      <c r="G175" s="36" t="s">
        <v>64</v>
      </c>
      <c r="H175" s="36" t="s">
        <v>65</v>
      </c>
      <c r="S175" s="39"/>
      <c r="BC175" s="39"/>
      <c r="BE175" s="39"/>
    </row>
    <row r="176" spans="1:57" x14ac:dyDescent="0.35">
      <c r="A176" s="36">
        <v>1057</v>
      </c>
      <c r="B176" s="36">
        <v>3</v>
      </c>
      <c r="C176" s="36">
        <v>0</v>
      </c>
      <c r="D176" s="36">
        <v>0</v>
      </c>
      <c r="E176" s="36">
        <v>0</v>
      </c>
      <c r="F176" s="36">
        <v>0</v>
      </c>
      <c r="G176" s="36" t="s">
        <v>64</v>
      </c>
      <c r="H176" s="36" t="s">
        <v>65</v>
      </c>
      <c r="S176" s="39"/>
      <c r="BC176" s="39"/>
      <c r="BE176" s="39"/>
    </row>
    <row r="177" spans="1:57" x14ac:dyDescent="0.35">
      <c r="A177" s="36">
        <v>1057</v>
      </c>
      <c r="B177" s="36">
        <v>1</v>
      </c>
      <c r="C177" s="36">
        <v>0</v>
      </c>
      <c r="D177" s="36">
        <v>0</v>
      </c>
      <c r="E177" s="36">
        <v>0</v>
      </c>
      <c r="F177" s="36">
        <v>0</v>
      </c>
      <c r="G177" s="36" t="s">
        <v>64</v>
      </c>
      <c r="H177" s="36" t="s">
        <v>65</v>
      </c>
      <c r="S177" s="39"/>
      <c r="BC177" s="39"/>
      <c r="BE177" s="39"/>
    </row>
    <row r="178" spans="1:57" x14ac:dyDescent="0.35">
      <c r="A178" s="36">
        <v>1057</v>
      </c>
      <c r="B178" s="36">
        <v>1</v>
      </c>
      <c r="C178" s="36">
        <v>3</v>
      </c>
      <c r="D178" s="36">
        <v>0</v>
      </c>
      <c r="E178" s="36">
        <v>0</v>
      </c>
      <c r="F178" s="36">
        <v>0</v>
      </c>
      <c r="G178" s="36" t="s">
        <v>64</v>
      </c>
      <c r="H178" s="36" t="s">
        <v>65</v>
      </c>
      <c r="S178" s="39"/>
      <c r="BC178" s="39"/>
      <c r="BE178" s="39"/>
    </row>
    <row r="179" spans="1:57" x14ac:dyDescent="0.35">
      <c r="A179" s="36">
        <v>1057</v>
      </c>
      <c r="B179" s="36">
        <v>1</v>
      </c>
      <c r="C179" s="36">
        <v>0</v>
      </c>
      <c r="D179" s="36">
        <v>0</v>
      </c>
      <c r="E179" s="36">
        <v>0</v>
      </c>
      <c r="F179" s="36">
        <v>0</v>
      </c>
      <c r="G179" s="36" t="s">
        <v>64</v>
      </c>
      <c r="H179" s="36" t="s">
        <v>70</v>
      </c>
      <c r="S179" s="39"/>
      <c r="BC179" s="39"/>
      <c r="BE179" s="39"/>
    </row>
    <row r="180" spans="1:57" x14ac:dyDescent="0.35">
      <c r="A180" s="36">
        <v>1057</v>
      </c>
      <c r="B180" s="36">
        <v>2</v>
      </c>
      <c r="C180" s="36">
        <v>0</v>
      </c>
      <c r="D180" s="36">
        <v>0</v>
      </c>
      <c r="E180" s="36">
        <v>0</v>
      </c>
      <c r="F180" s="36">
        <v>0</v>
      </c>
      <c r="G180" s="36" t="s">
        <v>64</v>
      </c>
      <c r="H180" s="36" t="s">
        <v>65</v>
      </c>
      <c r="S180" s="39"/>
      <c r="BC180" s="39"/>
      <c r="BE180" s="39"/>
    </row>
    <row r="181" spans="1:57" x14ac:dyDescent="0.35">
      <c r="A181" s="36">
        <v>1057</v>
      </c>
      <c r="B181" s="36">
        <v>3</v>
      </c>
      <c r="C181" s="36">
        <v>0</v>
      </c>
      <c r="D181" s="36">
        <v>0</v>
      </c>
      <c r="E181" s="36">
        <v>0</v>
      </c>
      <c r="F181" s="36">
        <v>0</v>
      </c>
      <c r="G181" s="36" t="s">
        <v>64</v>
      </c>
      <c r="H181" s="36" t="s">
        <v>65</v>
      </c>
      <c r="S181" s="39"/>
      <c r="BC181" s="39"/>
      <c r="BE181" s="39"/>
    </row>
    <row r="182" spans="1:57" x14ac:dyDescent="0.35">
      <c r="A182" s="36">
        <v>1057</v>
      </c>
      <c r="B182" s="36">
        <v>2</v>
      </c>
      <c r="C182" s="36">
        <v>0</v>
      </c>
      <c r="D182" s="36">
        <v>0</v>
      </c>
      <c r="E182" s="36">
        <v>0</v>
      </c>
      <c r="F182" s="36">
        <v>0</v>
      </c>
      <c r="G182" s="36" t="s">
        <v>64</v>
      </c>
      <c r="H182" s="36" t="s">
        <v>65</v>
      </c>
      <c r="S182" s="39"/>
      <c r="BC182" s="39"/>
      <c r="BE182" s="39"/>
    </row>
    <row r="183" spans="1:57" x14ac:dyDescent="0.35">
      <c r="A183" s="36">
        <v>1057</v>
      </c>
      <c r="B183" s="36">
        <v>2</v>
      </c>
      <c r="C183" s="36">
        <v>0</v>
      </c>
      <c r="D183" s="36">
        <v>0</v>
      </c>
      <c r="E183" s="36">
        <v>0</v>
      </c>
      <c r="F183" s="36">
        <v>0</v>
      </c>
      <c r="G183" s="36" t="s">
        <v>66</v>
      </c>
      <c r="H183" s="36" t="s">
        <v>65</v>
      </c>
      <c r="S183" s="39"/>
      <c r="BC183" s="39"/>
      <c r="BE183" s="39"/>
    </row>
    <row r="184" spans="1:57" x14ac:dyDescent="0.35">
      <c r="A184" s="36">
        <v>1057</v>
      </c>
      <c r="B184" s="36">
        <v>3</v>
      </c>
      <c r="C184" s="36">
        <v>0</v>
      </c>
      <c r="D184" s="36">
        <v>0</v>
      </c>
      <c r="E184" s="36">
        <v>0</v>
      </c>
      <c r="F184" s="36">
        <v>0</v>
      </c>
      <c r="G184" s="36" t="s">
        <v>66</v>
      </c>
      <c r="H184" s="36" t="s">
        <v>65</v>
      </c>
      <c r="S184" s="39"/>
      <c r="BC184" s="39"/>
      <c r="BE184" s="39"/>
    </row>
    <row r="185" spans="1:57" x14ac:dyDescent="0.35">
      <c r="A185" s="36">
        <v>1057</v>
      </c>
      <c r="B185" s="36">
        <v>2</v>
      </c>
      <c r="C185" s="36">
        <v>0</v>
      </c>
      <c r="D185" s="36">
        <v>0</v>
      </c>
      <c r="E185" s="36">
        <v>0</v>
      </c>
      <c r="F185" s="36">
        <v>0</v>
      </c>
      <c r="G185" s="36" t="s">
        <v>64</v>
      </c>
      <c r="H185" s="36" t="s">
        <v>65</v>
      </c>
      <c r="S185" s="39"/>
      <c r="BC185" s="39"/>
      <c r="BE185" s="39"/>
    </row>
    <row r="186" spans="1:57" x14ac:dyDescent="0.35">
      <c r="A186" s="36">
        <v>1057</v>
      </c>
      <c r="B186" s="36">
        <v>0</v>
      </c>
      <c r="C186" s="36">
        <v>5</v>
      </c>
      <c r="D186" s="36">
        <v>0</v>
      </c>
      <c r="E186" s="36">
        <v>0</v>
      </c>
      <c r="F186" s="36">
        <v>0</v>
      </c>
      <c r="G186" s="36" t="s">
        <v>64</v>
      </c>
      <c r="H186" s="36" t="s">
        <v>65</v>
      </c>
      <c r="S186" s="39"/>
      <c r="BC186" s="39"/>
      <c r="BE186" s="39"/>
    </row>
    <row r="187" spans="1:57" x14ac:dyDescent="0.35">
      <c r="A187" s="36">
        <v>1057</v>
      </c>
      <c r="B187" s="36">
        <v>2</v>
      </c>
      <c r="C187" s="36">
        <v>0</v>
      </c>
      <c r="D187" s="36">
        <v>0</v>
      </c>
      <c r="E187" s="36">
        <v>0</v>
      </c>
      <c r="F187" s="36">
        <v>0</v>
      </c>
      <c r="G187" s="36" t="s">
        <v>64</v>
      </c>
      <c r="H187" s="36" t="s">
        <v>74</v>
      </c>
      <c r="S187" s="39"/>
      <c r="BC187" s="39"/>
      <c r="BE187" s="39"/>
    </row>
    <row r="188" spans="1:57" x14ac:dyDescent="0.35">
      <c r="A188" s="36">
        <v>1057</v>
      </c>
      <c r="B188" s="36">
        <v>0</v>
      </c>
      <c r="C188" s="36">
        <v>2</v>
      </c>
      <c r="D188" s="36">
        <v>0</v>
      </c>
      <c r="E188" s="36">
        <v>0</v>
      </c>
      <c r="F188" s="36">
        <v>0</v>
      </c>
      <c r="G188" s="36" t="s">
        <v>64</v>
      </c>
      <c r="H188" s="36" t="s">
        <v>72</v>
      </c>
      <c r="S188" s="39"/>
      <c r="BC188" s="39"/>
      <c r="BE188" s="39"/>
    </row>
    <row r="189" spans="1:57" x14ac:dyDescent="0.35">
      <c r="A189" s="36">
        <v>1057</v>
      </c>
      <c r="B189" s="36">
        <v>3</v>
      </c>
      <c r="C189" s="36">
        <v>0</v>
      </c>
      <c r="D189" s="36">
        <v>0</v>
      </c>
      <c r="E189" s="36">
        <v>0</v>
      </c>
      <c r="F189" s="36">
        <v>0</v>
      </c>
      <c r="G189" s="36" t="s">
        <v>64</v>
      </c>
      <c r="H189" s="36" t="s">
        <v>65</v>
      </c>
      <c r="S189" s="39"/>
      <c r="BC189" s="39"/>
      <c r="BE189" s="39"/>
    </row>
    <row r="190" spans="1:57" x14ac:dyDescent="0.35">
      <c r="A190" s="36">
        <v>1057</v>
      </c>
      <c r="B190" s="36">
        <v>2</v>
      </c>
      <c r="C190" s="36">
        <v>0</v>
      </c>
      <c r="D190" s="36">
        <v>0</v>
      </c>
      <c r="E190" s="36">
        <v>0</v>
      </c>
      <c r="F190" s="36">
        <v>0</v>
      </c>
      <c r="G190" s="36" t="s">
        <v>64</v>
      </c>
      <c r="H190" s="36" t="s">
        <v>65</v>
      </c>
      <c r="S190" s="39"/>
      <c r="BC190" s="39"/>
      <c r="BE190" s="39"/>
    </row>
    <row r="191" spans="1:57" x14ac:dyDescent="0.35">
      <c r="A191" s="36">
        <v>1057</v>
      </c>
      <c r="B191" s="36">
        <v>2</v>
      </c>
      <c r="C191" s="36">
        <v>0</v>
      </c>
      <c r="D191" s="36">
        <v>0</v>
      </c>
      <c r="E191" s="36">
        <v>0</v>
      </c>
      <c r="F191" s="36">
        <v>0</v>
      </c>
      <c r="G191" s="36" t="s">
        <v>64</v>
      </c>
      <c r="H191" s="36" t="s">
        <v>65</v>
      </c>
      <c r="S191" s="39"/>
      <c r="BC191" s="39"/>
      <c r="BE191" s="39"/>
    </row>
    <row r="192" spans="1:57" x14ac:dyDescent="0.35">
      <c r="A192" s="36">
        <v>1057</v>
      </c>
      <c r="B192" s="36">
        <v>2</v>
      </c>
      <c r="C192" s="36">
        <v>0</v>
      </c>
      <c r="D192" s="36">
        <v>0</v>
      </c>
      <c r="E192" s="36">
        <v>0</v>
      </c>
      <c r="F192" s="36">
        <v>0</v>
      </c>
      <c r="G192" s="36" t="s">
        <v>66</v>
      </c>
      <c r="H192" s="36" t="s">
        <v>65</v>
      </c>
      <c r="S192" s="39"/>
      <c r="BC192" s="39"/>
      <c r="BE192" s="39"/>
    </row>
    <row r="193" spans="1:57" x14ac:dyDescent="0.35">
      <c r="A193" s="36">
        <v>1057</v>
      </c>
      <c r="B193" s="36">
        <v>1</v>
      </c>
      <c r="C193" s="36">
        <v>2</v>
      </c>
      <c r="D193" s="36">
        <v>0</v>
      </c>
      <c r="E193" s="36">
        <v>0</v>
      </c>
      <c r="F193" s="36">
        <v>0</v>
      </c>
      <c r="G193" s="36" t="s">
        <v>64</v>
      </c>
      <c r="H193" s="36" t="s">
        <v>65</v>
      </c>
      <c r="S193" s="39"/>
      <c r="BC193" s="39"/>
      <c r="BE193" s="39"/>
    </row>
    <row r="194" spans="1:57" x14ac:dyDescent="0.35">
      <c r="A194" s="36">
        <v>1057</v>
      </c>
      <c r="B194" s="36">
        <v>4</v>
      </c>
      <c r="C194" s="36">
        <v>0</v>
      </c>
      <c r="D194" s="36">
        <v>0</v>
      </c>
      <c r="E194" s="36">
        <v>0</v>
      </c>
      <c r="F194" s="36">
        <v>0</v>
      </c>
      <c r="G194" s="36" t="s">
        <v>64</v>
      </c>
      <c r="H194" s="36" t="s">
        <v>65</v>
      </c>
      <c r="S194" s="39"/>
      <c r="BC194" s="39"/>
      <c r="BE194" s="39"/>
    </row>
    <row r="195" spans="1:57" x14ac:dyDescent="0.35">
      <c r="A195" s="36">
        <v>1057</v>
      </c>
      <c r="B195" s="36">
        <v>2</v>
      </c>
      <c r="C195" s="36">
        <v>0</v>
      </c>
      <c r="D195" s="36">
        <v>0</v>
      </c>
      <c r="E195" s="36">
        <v>0</v>
      </c>
      <c r="F195" s="36">
        <v>0</v>
      </c>
      <c r="G195" s="36" t="s">
        <v>64</v>
      </c>
      <c r="H195" s="36" t="s">
        <v>65</v>
      </c>
      <c r="S195" s="39"/>
      <c r="BC195" s="39"/>
      <c r="BE195" s="39"/>
    </row>
    <row r="196" spans="1:57" x14ac:dyDescent="0.35">
      <c r="A196" s="36">
        <v>1057</v>
      </c>
      <c r="B196" s="36">
        <v>1</v>
      </c>
      <c r="C196" s="36">
        <v>0</v>
      </c>
      <c r="D196" s="36">
        <v>0</v>
      </c>
      <c r="E196" s="36">
        <v>0</v>
      </c>
      <c r="F196" s="36">
        <v>0</v>
      </c>
      <c r="G196" s="36" t="s">
        <v>64</v>
      </c>
      <c r="H196" s="36" t="s">
        <v>71</v>
      </c>
      <c r="S196" s="39"/>
      <c r="BC196" s="39"/>
      <c r="BE196" s="39"/>
    </row>
    <row r="197" spans="1:57" x14ac:dyDescent="0.35">
      <c r="A197" s="36">
        <v>1057</v>
      </c>
      <c r="B197" s="36">
        <v>4</v>
      </c>
      <c r="C197" s="36">
        <v>0</v>
      </c>
      <c r="D197" s="36">
        <v>0</v>
      </c>
      <c r="E197" s="36">
        <v>0</v>
      </c>
      <c r="F197" s="36">
        <v>0</v>
      </c>
      <c r="G197" s="36" t="s">
        <v>64</v>
      </c>
      <c r="H197" s="36" t="s">
        <v>65</v>
      </c>
      <c r="S197" s="39"/>
      <c r="BC197" s="39"/>
      <c r="BE197" s="39"/>
    </row>
    <row r="198" spans="1:57" x14ac:dyDescent="0.35">
      <c r="A198" s="36">
        <v>1057</v>
      </c>
      <c r="B198" s="36">
        <v>4</v>
      </c>
      <c r="C198" s="36">
        <v>0</v>
      </c>
      <c r="D198" s="36">
        <v>0</v>
      </c>
      <c r="E198" s="36">
        <v>0</v>
      </c>
      <c r="F198" s="36">
        <v>0</v>
      </c>
      <c r="G198" s="36" t="s">
        <v>64</v>
      </c>
      <c r="H198" s="36" t="s">
        <v>71</v>
      </c>
      <c r="S198" s="39"/>
      <c r="BC198" s="39"/>
      <c r="BE198" s="39"/>
    </row>
    <row r="199" spans="1:57" x14ac:dyDescent="0.35">
      <c r="A199" s="36">
        <v>1057</v>
      </c>
      <c r="B199" s="36">
        <v>1</v>
      </c>
      <c r="C199" s="36">
        <v>0</v>
      </c>
      <c r="D199" s="36">
        <v>0</v>
      </c>
      <c r="E199" s="36">
        <v>0</v>
      </c>
      <c r="F199" s="36">
        <v>0</v>
      </c>
      <c r="G199" s="36" t="s">
        <v>64</v>
      </c>
      <c r="H199" s="36" t="s">
        <v>70</v>
      </c>
      <c r="S199" s="39"/>
      <c r="BC199" s="39"/>
      <c r="BE199" s="39"/>
    </row>
    <row r="200" spans="1:57" x14ac:dyDescent="0.35">
      <c r="A200" s="36">
        <v>1057</v>
      </c>
      <c r="B200" s="36">
        <v>2</v>
      </c>
      <c r="C200" s="36">
        <v>0</v>
      </c>
      <c r="D200" s="36">
        <v>0</v>
      </c>
      <c r="E200" s="36">
        <v>0</v>
      </c>
      <c r="F200" s="36">
        <v>0</v>
      </c>
      <c r="G200" s="36" t="s">
        <v>64</v>
      </c>
      <c r="H200" s="36" t="s">
        <v>65</v>
      </c>
      <c r="S200" s="39"/>
      <c r="BC200" s="39"/>
      <c r="BE200" s="39"/>
    </row>
    <row r="201" spans="1:57" x14ac:dyDescent="0.35">
      <c r="A201" s="36">
        <v>1057</v>
      </c>
      <c r="B201" s="36">
        <v>5</v>
      </c>
      <c r="C201" s="36">
        <v>0</v>
      </c>
      <c r="D201" s="36">
        <v>0</v>
      </c>
      <c r="E201" s="36">
        <v>0</v>
      </c>
      <c r="F201" s="36">
        <v>0</v>
      </c>
      <c r="G201" s="36" t="s">
        <v>64</v>
      </c>
      <c r="H201" s="36" t="s">
        <v>65</v>
      </c>
      <c r="S201" s="39"/>
      <c r="BC201" s="39"/>
      <c r="BE201" s="39"/>
    </row>
    <row r="202" spans="1:57" x14ac:dyDescent="0.35">
      <c r="A202" s="36">
        <v>1057</v>
      </c>
      <c r="B202" s="36">
        <v>2</v>
      </c>
      <c r="C202" s="36">
        <v>0</v>
      </c>
      <c r="D202" s="36">
        <v>0</v>
      </c>
      <c r="E202" s="36">
        <v>0</v>
      </c>
      <c r="F202" s="36">
        <v>0</v>
      </c>
      <c r="G202" s="36" t="s">
        <v>64</v>
      </c>
      <c r="H202" s="36" t="s">
        <v>65</v>
      </c>
      <c r="S202" s="39"/>
      <c r="BC202" s="39"/>
      <c r="BE202" s="39"/>
    </row>
    <row r="203" spans="1:57" x14ac:dyDescent="0.35">
      <c r="A203" s="36">
        <v>1057</v>
      </c>
      <c r="B203" s="36">
        <v>2</v>
      </c>
      <c r="C203" s="36">
        <v>0</v>
      </c>
      <c r="D203" s="36">
        <v>0</v>
      </c>
      <c r="E203" s="36">
        <v>0</v>
      </c>
      <c r="F203" s="36">
        <v>0</v>
      </c>
      <c r="G203" s="36" t="s">
        <v>68</v>
      </c>
      <c r="H203" s="36" t="s">
        <v>65</v>
      </c>
      <c r="S203" s="39"/>
      <c r="BC203" s="39"/>
      <c r="BE203" s="39"/>
    </row>
    <row r="204" spans="1:57" x14ac:dyDescent="0.35">
      <c r="A204" s="36">
        <v>1057</v>
      </c>
      <c r="B204" s="36">
        <v>2</v>
      </c>
      <c r="C204" s="36">
        <v>0</v>
      </c>
      <c r="D204" s="36">
        <v>0</v>
      </c>
      <c r="E204" s="36">
        <v>0</v>
      </c>
      <c r="F204" s="36">
        <v>0</v>
      </c>
      <c r="G204" s="36" t="s">
        <v>64</v>
      </c>
      <c r="H204" s="36" t="s">
        <v>65</v>
      </c>
      <c r="S204" s="39"/>
      <c r="BC204" s="39"/>
      <c r="BE204" s="39"/>
    </row>
    <row r="205" spans="1:57" x14ac:dyDescent="0.35">
      <c r="A205" s="36">
        <v>1057</v>
      </c>
      <c r="B205" s="36">
        <v>1</v>
      </c>
      <c r="C205" s="36">
        <v>0</v>
      </c>
      <c r="D205" s="36">
        <v>0</v>
      </c>
      <c r="E205" s="36">
        <v>0</v>
      </c>
      <c r="F205" s="36">
        <v>0</v>
      </c>
      <c r="G205" s="36" t="s">
        <v>64</v>
      </c>
      <c r="H205" s="36" t="s">
        <v>70</v>
      </c>
      <c r="S205" s="39"/>
      <c r="BC205" s="39"/>
      <c r="BE205" s="39"/>
    </row>
    <row r="206" spans="1:57" x14ac:dyDescent="0.35">
      <c r="A206" s="36">
        <v>1057</v>
      </c>
      <c r="B206" s="36">
        <v>2</v>
      </c>
      <c r="C206" s="36">
        <v>0</v>
      </c>
      <c r="D206" s="36">
        <v>0</v>
      </c>
      <c r="E206" s="36">
        <v>0</v>
      </c>
      <c r="F206" s="36">
        <v>0</v>
      </c>
      <c r="G206" s="36" t="s">
        <v>64</v>
      </c>
      <c r="H206" s="36" t="s">
        <v>65</v>
      </c>
      <c r="S206" s="39"/>
      <c r="BC206" s="39"/>
      <c r="BE206" s="39"/>
    </row>
    <row r="207" spans="1:57" x14ac:dyDescent="0.35">
      <c r="A207" s="36">
        <v>1057</v>
      </c>
      <c r="B207" s="36">
        <v>1</v>
      </c>
      <c r="C207" s="36">
        <v>0</v>
      </c>
      <c r="D207" s="36">
        <v>0</v>
      </c>
      <c r="E207" s="36">
        <v>2</v>
      </c>
      <c r="F207" s="36">
        <v>0</v>
      </c>
      <c r="G207" s="36" t="s">
        <v>66</v>
      </c>
      <c r="H207" s="36" t="s">
        <v>70</v>
      </c>
      <c r="S207" s="39"/>
      <c r="BC207" s="39"/>
      <c r="BE207" s="39"/>
    </row>
    <row r="208" spans="1:57" x14ac:dyDescent="0.35">
      <c r="A208" s="36">
        <v>1057</v>
      </c>
      <c r="B208" s="36">
        <v>3</v>
      </c>
      <c r="C208" s="36">
        <v>0</v>
      </c>
      <c r="D208" s="36">
        <v>0</v>
      </c>
      <c r="E208" s="36">
        <v>1</v>
      </c>
      <c r="F208" s="36">
        <v>0</v>
      </c>
      <c r="G208" s="36" t="s">
        <v>64</v>
      </c>
      <c r="H208" s="36" t="s">
        <v>70</v>
      </c>
      <c r="S208" s="39"/>
      <c r="BC208" s="39"/>
      <c r="BE208" s="39"/>
    </row>
    <row r="209" spans="1:57" x14ac:dyDescent="0.35">
      <c r="A209" s="36">
        <v>1057</v>
      </c>
      <c r="B209" s="36">
        <v>4</v>
      </c>
      <c r="C209" s="36">
        <v>0</v>
      </c>
      <c r="D209" s="36">
        <v>0</v>
      </c>
      <c r="E209" s="36">
        <v>0</v>
      </c>
      <c r="F209" s="36">
        <v>0</v>
      </c>
      <c r="G209" s="36" t="s">
        <v>64</v>
      </c>
      <c r="H209" s="36" t="s">
        <v>65</v>
      </c>
      <c r="S209" s="39"/>
      <c r="BC209" s="39"/>
      <c r="BE209" s="39"/>
    </row>
    <row r="210" spans="1:57" x14ac:dyDescent="0.35">
      <c r="A210" s="36">
        <v>1057</v>
      </c>
      <c r="B210" s="36">
        <v>1</v>
      </c>
      <c r="C210" s="36">
        <v>1</v>
      </c>
      <c r="D210" s="36">
        <v>0</v>
      </c>
      <c r="E210" s="36">
        <v>0</v>
      </c>
      <c r="F210" s="36">
        <v>0</v>
      </c>
      <c r="G210" s="36" t="s">
        <v>64</v>
      </c>
      <c r="H210" s="36" t="s">
        <v>65</v>
      </c>
      <c r="S210" s="39"/>
      <c r="BC210" s="39"/>
      <c r="BE210" s="39"/>
    </row>
    <row r="211" spans="1:57" x14ac:dyDescent="0.35">
      <c r="A211" s="36">
        <v>1057</v>
      </c>
      <c r="B211" s="36">
        <v>2</v>
      </c>
      <c r="C211" s="36">
        <v>0</v>
      </c>
      <c r="D211" s="36">
        <v>0</v>
      </c>
      <c r="E211" s="36">
        <v>0</v>
      </c>
      <c r="F211" s="36">
        <v>0</v>
      </c>
      <c r="G211" s="36" t="s">
        <v>66</v>
      </c>
      <c r="H211" s="36" t="s">
        <v>65</v>
      </c>
      <c r="S211" s="39"/>
      <c r="BC211" s="39"/>
      <c r="BE211" s="39"/>
    </row>
    <row r="212" spans="1:57" x14ac:dyDescent="0.35">
      <c r="A212" s="36">
        <v>1057</v>
      </c>
      <c r="B212" s="36">
        <v>5</v>
      </c>
      <c r="C212" s="36">
        <v>0</v>
      </c>
      <c r="D212" s="36">
        <v>0</v>
      </c>
      <c r="E212" s="36">
        <v>0</v>
      </c>
      <c r="F212" s="36">
        <v>0</v>
      </c>
      <c r="G212" s="36" t="s">
        <v>64</v>
      </c>
      <c r="H212" s="36" t="s">
        <v>65</v>
      </c>
      <c r="S212" s="39"/>
      <c r="BC212" s="39"/>
      <c r="BE212" s="39"/>
    </row>
    <row r="213" spans="1:57" x14ac:dyDescent="0.35">
      <c r="A213" s="36">
        <v>1057</v>
      </c>
      <c r="B213" s="36">
        <v>4</v>
      </c>
      <c r="C213" s="36">
        <v>0</v>
      </c>
      <c r="D213" s="36">
        <v>0</v>
      </c>
      <c r="E213" s="36">
        <v>0</v>
      </c>
      <c r="F213" s="36">
        <v>0</v>
      </c>
      <c r="G213" s="36" t="s">
        <v>67</v>
      </c>
      <c r="H213" s="36" t="s">
        <v>65</v>
      </c>
      <c r="S213" s="39"/>
      <c r="BC213" s="39"/>
      <c r="BE213" s="39"/>
    </row>
    <row r="214" spans="1:57" x14ac:dyDescent="0.35">
      <c r="A214" s="36">
        <v>1057</v>
      </c>
      <c r="B214" s="36">
        <v>3</v>
      </c>
      <c r="C214" s="36">
        <v>0</v>
      </c>
      <c r="D214" s="36">
        <v>0</v>
      </c>
      <c r="E214" s="36">
        <v>0</v>
      </c>
      <c r="F214" s="36">
        <v>0</v>
      </c>
      <c r="G214" s="36" t="s">
        <v>66</v>
      </c>
      <c r="H214" s="36" t="s">
        <v>65</v>
      </c>
      <c r="S214" s="39"/>
      <c r="BC214" s="39"/>
      <c r="BE214" s="39"/>
    </row>
    <row r="215" spans="1:57" x14ac:dyDescent="0.35">
      <c r="A215" s="36">
        <v>1057</v>
      </c>
      <c r="B215" s="36">
        <v>2</v>
      </c>
      <c r="C215" s="36">
        <v>0</v>
      </c>
      <c r="D215" s="36">
        <v>0</v>
      </c>
      <c r="E215" s="36">
        <v>0</v>
      </c>
      <c r="F215" s="36">
        <v>0</v>
      </c>
      <c r="G215" s="36" t="s">
        <v>64</v>
      </c>
      <c r="H215" s="36" t="s">
        <v>65</v>
      </c>
      <c r="S215" s="39"/>
      <c r="BC215" s="39"/>
      <c r="BE215" s="39"/>
    </row>
    <row r="216" spans="1:57" x14ac:dyDescent="0.35">
      <c r="A216" s="36">
        <v>1057</v>
      </c>
      <c r="B216" s="36">
        <v>0</v>
      </c>
      <c r="C216" s="36">
        <v>0</v>
      </c>
      <c r="D216" s="36">
        <v>1</v>
      </c>
      <c r="E216" s="36">
        <v>0</v>
      </c>
      <c r="F216" s="36">
        <v>0</v>
      </c>
      <c r="G216" s="36" t="s">
        <v>64</v>
      </c>
      <c r="H216" s="36" t="s">
        <v>70</v>
      </c>
      <c r="S216" s="39"/>
      <c r="BC216" s="39"/>
      <c r="BE216" s="39"/>
    </row>
    <row r="217" spans="1:57" x14ac:dyDescent="0.35">
      <c r="A217" s="36">
        <v>1057</v>
      </c>
      <c r="B217" s="36">
        <v>2</v>
      </c>
      <c r="C217" s="36">
        <v>0</v>
      </c>
      <c r="D217" s="36">
        <v>0</v>
      </c>
      <c r="E217" s="36">
        <v>0</v>
      </c>
      <c r="F217" s="36">
        <v>0</v>
      </c>
      <c r="G217" s="36" t="s">
        <v>66</v>
      </c>
      <c r="H217" s="36" t="s">
        <v>65</v>
      </c>
      <c r="S217" s="39"/>
      <c r="BC217" s="39"/>
      <c r="BE217" s="39"/>
    </row>
    <row r="218" spans="1:57" x14ac:dyDescent="0.35">
      <c r="A218" s="36">
        <v>1057</v>
      </c>
      <c r="B218" s="36">
        <v>1</v>
      </c>
      <c r="C218" s="36">
        <v>0</v>
      </c>
      <c r="D218" s="36">
        <v>0</v>
      </c>
      <c r="E218" s="36">
        <v>0</v>
      </c>
      <c r="F218" s="36">
        <v>0</v>
      </c>
      <c r="G218" s="36" t="s">
        <v>64</v>
      </c>
      <c r="H218" s="36" t="s">
        <v>71</v>
      </c>
      <c r="S218" s="39"/>
      <c r="BC218" s="39"/>
      <c r="BE218" s="39"/>
    </row>
    <row r="219" spans="1:57" x14ac:dyDescent="0.35">
      <c r="A219" s="36">
        <v>1057</v>
      </c>
      <c r="B219" s="36">
        <v>3</v>
      </c>
      <c r="C219" s="36">
        <v>0</v>
      </c>
      <c r="D219" s="36">
        <v>0</v>
      </c>
      <c r="E219" s="36">
        <v>0</v>
      </c>
      <c r="F219" s="36">
        <v>0</v>
      </c>
      <c r="G219" s="36" t="s">
        <v>64</v>
      </c>
      <c r="H219" s="36" t="s">
        <v>65</v>
      </c>
      <c r="S219" s="39"/>
      <c r="BC219" s="39"/>
      <c r="BE219" s="39"/>
    </row>
    <row r="220" spans="1:57" x14ac:dyDescent="0.35">
      <c r="A220" s="36">
        <v>1057</v>
      </c>
      <c r="B220" s="36">
        <v>4</v>
      </c>
      <c r="C220" s="36">
        <v>0</v>
      </c>
      <c r="D220" s="36">
        <v>0</v>
      </c>
      <c r="E220" s="36">
        <v>0</v>
      </c>
      <c r="F220" s="36">
        <v>0</v>
      </c>
      <c r="G220" s="36" t="s">
        <v>64</v>
      </c>
      <c r="H220" s="36" t="s">
        <v>70</v>
      </c>
      <c r="S220" s="39"/>
      <c r="BC220" s="39"/>
      <c r="BE220" s="39"/>
    </row>
    <row r="221" spans="1:57" x14ac:dyDescent="0.35">
      <c r="A221" s="36">
        <v>1057</v>
      </c>
      <c r="B221" s="36">
        <v>3</v>
      </c>
      <c r="C221" s="36">
        <v>0</v>
      </c>
      <c r="D221" s="36">
        <v>0</v>
      </c>
      <c r="E221" s="36">
        <v>0</v>
      </c>
      <c r="F221" s="36">
        <v>0</v>
      </c>
      <c r="G221" s="36" t="s">
        <v>64</v>
      </c>
      <c r="H221" s="36" t="s">
        <v>65</v>
      </c>
      <c r="S221" s="39"/>
      <c r="BC221" s="39"/>
      <c r="BE221" s="39"/>
    </row>
    <row r="222" spans="1:57" x14ac:dyDescent="0.35">
      <c r="A222" s="36">
        <v>1057</v>
      </c>
      <c r="B222" s="36">
        <v>2</v>
      </c>
      <c r="C222" s="36">
        <v>0</v>
      </c>
      <c r="D222" s="36">
        <v>0</v>
      </c>
      <c r="E222" s="36">
        <v>0</v>
      </c>
      <c r="F222" s="36">
        <v>0</v>
      </c>
      <c r="G222" s="36" t="s">
        <v>64</v>
      </c>
      <c r="H222" s="36" t="s">
        <v>65</v>
      </c>
      <c r="S222" s="39"/>
      <c r="BC222" s="39"/>
      <c r="BE222" s="39"/>
    </row>
    <row r="223" spans="1:57" x14ac:dyDescent="0.35">
      <c r="A223" s="36">
        <v>1057</v>
      </c>
      <c r="B223" s="36">
        <v>4</v>
      </c>
      <c r="C223" s="36">
        <v>0</v>
      </c>
      <c r="D223" s="36">
        <v>0</v>
      </c>
      <c r="E223" s="36">
        <v>0</v>
      </c>
      <c r="F223" s="36">
        <v>0</v>
      </c>
      <c r="G223" s="36" t="s">
        <v>66</v>
      </c>
      <c r="H223" s="36" t="s">
        <v>65</v>
      </c>
      <c r="S223" s="39"/>
      <c r="BC223" s="39"/>
      <c r="BE223" s="39"/>
    </row>
    <row r="224" spans="1:57" x14ac:dyDescent="0.35">
      <c r="A224" s="36">
        <v>1057</v>
      </c>
      <c r="B224" s="36">
        <v>2</v>
      </c>
      <c r="C224" s="36">
        <v>0</v>
      </c>
      <c r="D224" s="36">
        <v>0</v>
      </c>
      <c r="E224" s="36">
        <v>0</v>
      </c>
      <c r="F224" s="36">
        <v>0</v>
      </c>
      <c r="G224" s="36" t="s">
        <v>64</v>
      </c>
      <c r="H224" s="36" t="s">
        <v>71</v>
      </c>
      <c r="S224" s="39"/>
      <c r="BC224" s="39"/>
      <c r="BE224" s="39"/>
    </row>
    <row r="225" spans="1:57" x14ac:dyDescent="0.35">
      <c r="A225" s="36">
        <v>1057</v>
      </c>
      <c r="B225" s="36">
        <v>3</v>
      </c>
      <c r="C225" s="36">
        <v>0</v>
      </c>
      <c r="D225" s="36">
        <v>0</v>
      </c>
      <c r="E225" s="36">
        <v>0</v>
      </c>
      <c r="F225" s="36">
        <v>0</v>
      </c>
      <c r="G225" s="36" t="s">
        <v>68</v>
      </c>
      <c r="H225" s="36" t="s">
        <v>65</v>
      </c>
      <c r="S225" s="39"/>
      <c r="BC225" s="39"/>
      <c r="BE225" s="39"/>
    </row>
    <row r="226" spans="1:57" x14ac:dyDescent="0.35">
      <c r="A226" s="36">
        <v>1057</v>
      </c>
      <c r="B226" s="36">
        <v>1</v>
      </c>
      <c r="C226" s="36">
        <v>0</v>
      </c>
      <c r="D226" s="36">
        <v>0</v>
      </c>
      <c r="E226" s="36">
        <v>0</v>
      </c>
      <c r="F226" s="36">
        <v>0</v>
      </c>
      <c r="G226" s="36" t="s">
        <v>64</v>
      </c>
      <c r="H226" s="36" t="s">
        <v>70</v>
      </c>
      <c r="S226" s="39"/>
      <c r="BC226" s="39"/>
      <c r="BE226" s="39"/>
    </row>
    <row r="227" spans="1:57" x14ac:dyDescent="0.35">
      <c r="A227" s="36">
        <v>1057</v>
      </c>
      <c r="B227" s="36">
        <v>3</v>
      </c>
      <c r="C227" s="36">
        <v>0</v>
      </c>
      <c r="D227" s="36">
        <v>0</v>
      </c>
      <c r="E227" s="36">
        <v>0</v>
      </c>
      <c r="F227" s="36">
        <v>0</v>
      </c>
      <c r="G227" s="36" t="s">
        <v>64</v>
      </c>
      <c r="H227" s="36" t="s">
        <v>70</v>
      </c>
      <c r="S227" s="39"/>
      <c r="BC227" s="39"/>
      <c r="BE227" s="39"/>
    </row>
    <row r="228" spans="1:57" x14ac:dyDescent="0.35">
      <c r="A228" s="36">
        <v>1057</v>
      </c>
      <c r="B228" s="36">
        <v>0</v>
      </c>
      <c r="C228" s="36">
        <v>0</v>
      </c>
      <c r="D228" s="36">
        <v>0</v>
      </c>
      <c r="E228" s="36">
        <v>1</v>
      </c>
      <c r="F228" s="36">
        <v>0</v>
      </c>
      <c r="G228" s="36" t="s">
        <v>64</v>
      </c>
      <c r="H228" s="36" t="s">
        <v>74</v>
      </c>
      <c r="S228" s="39"/>
      <c r="BC228" s="39"/>
      <c r="BE228" s="39"/>
    </row>
    <row r="229" spans="1:57" x14ac:dyDescent="0.35">
      <c r="A229" s="36">
        <v>1057</v>
      </c>
      <c r="B229" s="36">
        <v>3</v>
      </c>
      <c r="C229" s="36">
        <v>0</v>
      </c>
      <c r="D229" s="36">
        <v>0</v>
      </c>
      <c r="E229" s="36">
        <v>0</v>
      </c>
      <c r="F229" s="36">
        <v>0</v>
      </c>
      <c r="G229" s="36" t="s">
        <v>66</v>
      </c>
      <c r="H229" s="36" t="s">
        <v>65</v>
      </c>
      <c r="S229" s="39"/>
      <c r="BC229" s="39"/>
      <c r="BE229" s="39"/>
    </row>
    <row r="230" spans="1:57" x14ac:dyDescent="0.35">
      <c r="A230" s="36">
        <v>1057</v>
      </c>
      <c r="B230" s="36">
        <v>2</v>
      </c>
      <c r="C230" s="36">
        <v>0</v>
      </c>
      <c r="D230" s="36">
        <v>0</v>
      </c>
      <c r="E230" s="36">
        <v>0</v>
      </c>
      <c r="F230" s="36">
        <v>0</v>
      </c>
      <c r="G230" s="36" t="s">
        <v>67</v>
      </c>
      <c r="H230" s="36" t="s">
        <v>65</v>
      </c>
      <c r="S230" s="39"/>
      <c r="BC230" s="39"/>
      <c r="BE230" s="39"/>
    </row>
    <row r="231" spans="1:57" x14ac:dyDescent="0.35">
      <c r="A231" s="36">
        <v>1057</v>
      </c>
      <c r="B231" s="36">
        <v>1</v>
      </c>
      <c r="C231" s="36">
        <v>0</v>
      </c>
      <c r="D231" s="36">
        <v>0</v>
      </c>
      <c r="E231" s="36">
        <v>0</v>
      </c>
      <c r="F231" s="36">
        <v>0</v>
      </c>
      <c r="G231" s="36" t="s">
        <v>64</v>
      </c>
      <c r="H231" s="36" t="s">
        <v>70</v>
      </c>
      <c r="S231" s="39"/>
      <c r="BC231" s="39"/>
      <c r="BE231" s="39"/>
    </row>
    <row r="232" spans="1:57" x14ac:dyDescent="0.35">
      <c r="A232" s="36">
        <v>1057</v>
      </c>
      <c r="B232" s="36">
        <v>3</v>
      </c>
      <c r="C232" s="36">
        <v>1</v>
      </c>
      <c r="D232" s="36">
        <v>0</v>
      </c>
      <c r="E232" s="36">
        <v>0</v>
      </c>
      <c r="F232" s="36">
        <v>0</v>
      </c>
      <c r="G232" s="36" t="s">
        <v>64</v>
      </c>
      <c r="H232" s="36" t="s">
        <v>70</v>
      </c>
      <c r="S232" s="39"/>
      <c r="BC232" s="39"/>
      <c r="BE232" s="39"/>
    </row>
    <row r="233" spans="1:57" x14ac:dyDescent="0.35">
      <c r="A233" s="36">
        <v>1057</v>
      </c>
      <c r="B233" s="36">
        <v>3</v>
      </c>
      <c r="C233" s="36">
        <v>0</v>
      </c>
      <c r="D233" s="36">
        <v>0</v>
      </c>
      <c r="E233" s="36">
        <v>0</v>
      </c>
      <c r="F233" s="36">
        <v>0</v>
      </c>
      <c r="G233" s="36" t="s">
        <v>64</v>
      </c>
      <c r="H233" s="36" t="s">
        <v>65</v>
      </c>
      <c r="S233" s="39"/>
      <c r="BC233" s="39"/>
      <c r="BE233" s="39"/>
    </row>
    <row r="234" spans="1:57" x14ac:dyDescent="0.35">
      <c r="A234" s="36">
        <v>1057</v>
      </c>
      <c r="B234" s="36">
        <v>2</v>
      </c>
      <c r="C234" s="36">
        <v>0</v>
      </c>
      <c r="D234" s="36">
        <v>0</v>
      </c>
      <c r="E234" s="36">
        <v>0</v>
      </c>
      <c r="F234" s="36">
        <v>0</v>
      </c>
      <c r="G234" s="36" t="s">
        <v>66</v>
      </c>
      <c r="H234" s="36" t="s">
        <v>65</v>
      </c>
      <c r="S234" s="39"/>
      <c r="BC234" s="39"/>
      <c r="BE234" s="39"/>
    </row>
    <row r="235" spans="1:57" x14ac:dyDescent="0.35">
      <c r="A235" s="36">
        <v>1057</v>
      </c>
      <c r="B235" s="36">
        <v>3</v>
      </c>
      <c r="C235" s="36">
        <v>0</v>
      </c>
      <c r="D235" s="36">
        <v>0</v>
      </c>
      <c r="E235" s="36">
        <v>0</v>
      </c>
      <c r="F235" s="36">
        <v>0</v>
      </c>
      <c r="G235" s="36" t="s">
        <v>64</v>
      </c>
      <c r="H235" s="36" t="s">
        <v>65</v>
      </c>
      <c r="S235" s="39"/>
      <c r="BC235" s="39"/>
      <c r="BE235" s="39"/>
    </row>
    <row r="236" spans="1:57" x14ac:dyDescent="0.35">
      <c r="A236" s="36">
        <v>1057</v>
      </c>
      <c r="B236" s="36">
        <v>5</v>
      </c>
      <c r="C236" s="36">
        <v>0</v>
      </c>
      <c r="D236" s="36">
        <v>0</v>
      </c>
      <c r="E236" s="36">
        <v>0</v>
      </c>
      <c r="F236" s="36">
        <v>0</v>
      </c>
      <c r="G236" s="36" t="s">
        <v>64</v>
      </c>
      <c r="H236" s="36" t="s">
        <v>65</v>
      </c>
      <c r="S236" s="39"/>
      <c r="BC236" s="39"/>
      <c r="BE236" s="39"/>
    </row>
    <row r="237" spans="1:57" x14ac:dyDescent="0.35">
      <c r="A237" s="36">
        <v>1057</v>
      </c>
      <c r="B237" s="36">
        <v>2</v>
      </c>
      <c r="C237" s="36">
        <v>0</v>
      </c>
      <c r="D237" s="36">
        <v>0</v>
      </c>
      <c r="E237" s="36">
        <v>0</v>
      </c>
      <c r="F237" s="36">
        <v>0</v>
      </c>
      <c r="G237" s="36" t="s">
        <v>66</v>
      </c>
      <c r="H237" s="36" t="s">
        <v>65</v>
      </c>
      <c r="S237" s="39"/>
      <c r="BC237" s="39"/>
      <c r="BE237" s="39"/>
    </row>
    <row r="238" spans="1:57" x14ac:dyDescent="0.35">
      <c r="A238" s="36">
        <v>1057</v>
      </c>
      <c r="B238" s="36">
        <v>3</v>
      </c>
      <c r="C238" s="36">
        <v>0</v>
      </c>
      <c r="D238" s="36">
        <v>0</v>
      </c>
      <c r="E238" s="36">
        <v>0</v>
      </c>
      <c r="F238" s="36">
        <v>0</v>
      </c>
      <c r="G238" s="36" t="s">
        <v>64</v>
      </c>
      <c r="H238" s="36" t="s">
        <v>65</v>
      </c>
      <c r="S238" s="39"/>
      <c r="BC238" s="39"/>
      <c r="BE238" s="39"/>
    </row>
    <row r="239" spans="1:57" x14ac:dyDescent="0.35">
      <c r="A239" s="36">
        <v>1057</v>
      </c>
      <c r="B239" s="36">
        <v>3</v>
      </c>
      <c r="C239" s="36">
        <v>0</v>
      </c>
      <c r="D239" s="36">
        <v>0</v>
      </c>
      <c r="E239" s="36">
        <v>0</v>
      </c>
      <c r="F239" s="36">
        <v>0</v>
      </c>
      <c r="G239" s="36" t="s">
        <v>64</v>
      </c>
      <c r="H239" s="36" t="s">
        <v>65</v>
      </c>
      <c r="S239" s="39"/>
      <c r="BC239" s="39"/>
      <c r="BE239" s="39"/>
    </row>
    <row r="240" spans="1:57" x14ac:dyDescent="0.35">
      <c r="A240" s="36">
        <v>1057</v>
      </c>
      <c r="B240" s="36">
        <v>1</v>
      </c>
      <c r="C240" s="36">
        <v>0</v>
      </c>
      <c r="D240" s="36">
        <v>0</v>
      </c>
      <c r="E240" s="36">
        <v>0</v>
      </c>
      <c r="F240" s="36">
        <v>0</v>
      </c>
      <c r="G240" s="36" t="s">
        <v>66</v>
      </c>
      <c r="H240" s="36" t="s">
        <v>65</v>
      </c>
      <c r="S240" s="39"/>
      <c r="BC240" s="39"/>
      <c r="BE240" s="39"/>
    </row>
    <row r="241" spans="1:57" x14ac:dyDescent="0.35">
      <c r="A241" s="36">
        <v>1057</v>
      </c>
      <c r="B241" s="36">
        <v>4</v>
      </c>
      <c r="C241" s="36">
        <v>0</v>
      </c>
      <c r="D241" s="36">
        <v>0</v>
      </c>
      <c r="E241" s="36">
        <v>0</v>
      </c>
      <c r="F241" s="36">
        <v>0</v>
      </c>
      <c r="G241" s="36" t="s">
        <v>67</v>
      </c>
      <c r="H241" s="36" t="s">
        <v>65</v>
      </c>
      <c r="S241" s="39"/>
      <c r="BC241" s="39"/>
      <c r="BE241" s="39"/>
    </row>
    <row r="242" spans="1:57" x14ac:dyDescent="0.35">
      <c r="A242" s="36">
        <v>1057</v>
      </c>
      <c r="B242" s="36">
        <v>1</v>
      </c>
      <c r="C242" s="36">
        <v>0</v>
      </c>
      <c r="D242" s="36">
        <v>0</v>
      </c>
      <c r="E242" s="36">
        <v>0</v>
      </c>
      <c r="F242" s="36">
        <v>0</v>
      </c>
      <c r="G242" s="36" t="s">
        <v>66</v>
      </c>
      <c r="H242" s="36" t="s">
        <v>65</v>
      </c>
      <c r="S242" s="39"/>
      <c r="BC242" s="39"/>
      <c r="BE242" s="39"/>
    </row>
    <row r="243" spans="1:57" x14ac:dyDescent="0.35">
      <c r="A243" s="36">
        <v>1057</v>
      </c>
      <c r="B243" s="36">
        <v>3</v>
      </c>
      <c r="C243" s="36">
        <v>0</v>
      </c>
      <c r="D243" s="36">
        <v>0</v>
      </c>
      <c r="E243" s="36">
        <v>0</v>
      </c>
      <c r="F243" s="36">
        <v>0</v>
      </c>
      <c r="G243" s="36" t="s">
        <v>64</v>
      </c>
      <c r="H243" s="36" t="s">
        <v>65</v>
      </c>
      <c r="S243" s="39"/>
      <c r="BC243" s="39"/>
      <c r="BE243" s="39"/>
    </row>
    <row r="244" spans="1:57" x14ac:dyDescent="0.35">
      <c r="A244" s="36">
        <v>1057</v>
      </c>
      <c r="B244" s="36">
        <v>2</v>
      </c>
      <c r="C244" s="36">
        <v>0</v>
      </c>
      <c r="D244" s="36">
        <v>0</v>
      </c>
      <c r="E244" s="36">
        <v>0</v>
      </c>
      <c r="F244" s="36">
        <v>0</v>
      </c>
      <c r="G244" s="36" t="s">
        <v>64</v>
      </c>
      <c r="H244" s="36" t="s">
        <v>65</v>
      </c>
      <c r="S244" s="39"/>
      <c r="BC244" s="39"/>
      <c r="BE244" s="39"/>
    </row>
    <row r="245" spans="1:57" x14ac:dyDescent="0.35">
      <c r="A245" s="36">
        <v>1057</v>
      </c>
      <c r="B245" s="36">
        <v>4</v>
      </c>
      <c r="C245" s="36">
        <v>0</v>
      </c>
      <c r="D245" s="36">
        <v>0</v>
      </c>
      <c r="E245" s="36">
        <v>0</v>
      </c>
      <c r="F245" s="36">
        <v>0</v>
      </c>
      <c r="G245" s="36" t="s">
        <v>64</v>
      </c>
      <c r="H245" s="36" t="s">
        <v>65</v>
      </c>
      <c r="S245" s="39"/>
      <c r="BC245" s="39"/>
      <c r="BE245" s="39"/>
    </row>
    <row r="246" spans="1:57" x14ac:dyDescent="0.35">
      <c r="A246" s="36">
        <v>1057</v>
      </c>
      <c r="B246" s="36">
        <v>2</v>
      </c>
      <c r="C246" s="36">
        <v>0</v>
      </c>
      <c r="D246" s="36">
        <v>0</v>
      </c>
      <c r="E246" s="36">
        <v>0</v>
      </c>
      <c r="F246" s="36">
        <v>0</v>
      </c>
      <c r="G246" s="36" t="s">
        <v>64</v>
      </c>
      <c r="H246" s="36" t="s">
        <v>65</v>
      </c>
      <c r="S246" s="39"/>
      <c r="BC246" s="39"/>
      <c r="BE246" s="39"/>
    </row>
    <row r="247" spans="1:57" x14ac:dyDescent="0.35">
      <c r="A247" s="36">
        <v>1057</v>
      </c>
      <c r="B247" s="36">
        <v>3</v>
      </c>
      <c r="C247" s="36">
        <v>0</v>
      </c>
      <c r="D247" s="36">
        <v>0</v>
      </c>
      <c r="E247" s="36">
        <v>0</v>
      </c>
      <c r="F247" s="36">
        <v>0</v>
      </c>
      <c r="G247" s="36" t="s">
        <v>64</v>
      </c>
      <c r="H247" s="36" t="s">
        <v>65</v>
      </c>
      <c r="S247" s="39"/>
      <c r="BC247" s="39"/>
      <c r="BE247" s="39"/>
    </row>
    <row r="248" spans="1:57" x14ac:dyDescent="0.35">
      <c r="A248" s="36">
        <v>1057</v>
      </c>
      <c r="B248" s="36">
        <v>2</v>
      </c>
      <c r="C248" s="36">
        <v>0</v>
      </c>
      <c r="D248" s="36">
        <v>1</v>
      </c>
      <c r="E248" s="36">
        <v>0</v>
      </c>
      <c r="F248" s="36">
        <v>0</v>
      </c>
      <c r="G248" s="36" t="s">
        <v>64</v>
      </c>
      <c r="H248" s="36" t="s">
        <v>65</v>
      </c>
      <c r="S248" s="39"/>
      <c r="BC248" s="39"/>
      <c r="BE248" s="39"/>
    </row>
    <row r="249" spans="1:57" x14ac:dyDescent="0.35">
      <c r="A249" s="36">
        <v>1057</v>
      </c>
      <c r="B249" s="36">
        <v>4</v>
      </c>
      <c r="C249" s="36">
        <v>0</v>
      </c>
      <c r="D249" s="36">
        <v>0</v>
      </c>
      <c r="E249" s="36">
        <v>0</v>
      </c>
      <c r="F249" s="36">
        <v>0</v>
      </c>
      <c r="G249" s="36" t="s">
        <v>67</v>
      </c>
      <c r="H249" s="36" t="s">
        <v>65</v>
      </c>
      <c r="S249" s="39"/>
      <c r="BC249" s="39"/>
      <c r="BE249" s="39"/>
    </row>
    <row r="250" spans="1:57" x14ac:dyDescent="0.35">
      <c r="A250" s="36">
        <v>1057</v>
      </c>
      <c r="B250" s="36">
        <v>1</v>
      </c>
      <c r="C250" s="36">
        <v>1</v>
      </c>
      <c r="D250" s="36">
        <v>1</v>
      </c>
      <c r="E250" s="36">
        <v>0</v>
      </c>
      <c r="F250" s="36">
        <v>0</v>
      </c>
      <c r="G250" s="36" t="s">
        <v>64</v>
      </c>
      <c r="H250" s="36" t="s">
        <v>65</v>
      </c>
      <c r="S250" s="39"/>
      <c r="BC250" s="39"/>
      <c r="BE250" s="39"/>
    </row>
    <row r="251" spans="1:57" x14ac:dyDescent="0.35">
      <c r="A251" s="36">
        <v>1057</v>
      </c>
      <c r="B251" s="36">
        <v>2</v>
      </c>
      <c r="C251" s="36">
        <v>0</v>
      </c>
      <c r="D251" s="36">
        <v>0</v>
      </c>
      <c r="E251" s="36">
        <v>0</v>
      </c>
      <c r="F251" s="36">
        <v>0</v>
      </c>
      <c r="G251" s="36" t="s">
        <v>64</v>
      </c>
      <c r="H251" s="36" t="s">
        <v>65</v>
      </c>
      <c r="S251" s="39"/>
      <c r="BC251" s="39"/>
      <c r="BE251" s="39"/>
    </row>
    <row r="252" spans="1:57" x14ac:dyDescent="0.35">
      <c r="A252" s="36">
        <v>1057</v>
      </c>
      <c r="B252" s="36">
        <v>2</v>
      </c>
      <c r="C252" s="36">
        <v>0</v>
      </c>
      <c r="D252" s="36">
        <v>0</v>
      </c>
      <c r="E252" s="36">
        <v>0</v>
      </c>
      <c r="F252" s="36">
        <v>0</v>
      </c>
      <c r="G252" s="36" t="s">
        <v>64</v>
      </c>
      <c r="H252" s="36" t="s">
        <v>70</v>
      </c>
      <c r="S252" s="39"/>
      <c r="BC252" s="39"/>
      <c r="BE252" s="39"/>
    </row>
    <row r="253" spans="1:57" x14ac:dyDescent="0.35">
      <c r="A253" s="36">
        <v>1057</v>
      </c>
      <c r="B253" s="36">
        <v>7</v>
      </c>
      <c r="C253" s="36">
        <v>0</v>
      </c>
      <c r="D253" s="36">
        <v>0</v>
      </c>
      <c r="E253" s="36">
        <v>0</v>
      </c>
      <c r="F253" s="36">
        <v>0</v>
      </c>
      <c r="G253" s="36" t="s">
        <v>64</v>
      </c>
      <c r="H253" s="36" t="s">
        <v>65</v>
      </c>
      <c r="S253" s="39"/>
      <c r="BC253" s="39"/>
      <c r="BE253" s="39"/>
    </row>
    <row r="254" spans="1:57" x14ac:dyDescent="0.35">
      <c r="A254" s="36">
        <v>1057</v>
      </c>
      <c r="B254" s="36">
        <v>2</v>
      </c>
      <c r="C254" s="36">
        <v>5</v>
      </c>
      <c r="D254" s="36">
        <v>0</v>
      </c>
      <c r="E254" s="36">
        <v>0</v>
      </c>
      <c r="F254" s="36">
        <v>0</v>
      </c>
      <c r="G254" s="36" t="s">
        <v>64</v>
      </c>
      <c r="H254" s="36" t="s">
        <v>65</v>
      </c>
      <c r="S254" s="39"/>
      <c r="BC254" s="39"/>
      <c r="BE254" s="39"/>
    </row>
    <row r="255" spans="1:57" x14ac:dyDescent="0.35">
      <c r="A255" s="36">
        <v>1057</v>
      </c>
      <c r="B255" s="36">
        <v>1</v>
      </c>
      <c r="C255" s="36">
        <v>0</v>
      </c>
      <c r="D255" s="36">
        <v>0</v>
      </c>
      <c r="E255" s="36">
        <v>0</v>
      </c>
      <c r="F255" s="36">
        <v>0</v>
      </c>
      <c r="G255" s="36" t="s">
        <v>64</v>
      </c>
      <c r="H255" s="36" t="s">
        <v>70</v>
      </c>
      <c r="S255" s="39"/>
      <c r="BC255" s="39"/>
      <c r="BE255" s="39"/>
    </row>
    <row r="256" spans="1:57" x14ac:dyDescent="0.35">
      <c r="A256" s="36">
        <v>1057</v>
      </c>
      <c r="B256" s="36">
        <v>2</v>
      </c>
      <c r="C256" s="36">
        <v>0</v>
      </c>
      <c r="D256" s="36">
        <v>0</v>
      </c>
      <c r="E256" s="36">
        <v>0</v>
      </c>
      <c r="F256" s="36">
        <v>0</v>
      </c>
      <c r="G256" s="36" t="s">
        <v>64</v>
      </c>
      <c r="H256" s="36" t="s">
        <v>65</v>
      </c>
      <c r="S256" s="39"/>
      <c r="BC256" s="39"/>
      <c r="BE256" s="39"/>
    </row>
    <row r="257" spans="1:57" x14ac:dyDescent="0.35">
      <c r="A257" s="36">
        <v>1057</v>
      </c>
      <c r="B257" s="36">
        <v>2</v>
      </c>
      <c r="C257" s="36">
        <v>2</v>
      </c>
      <c r="D257" s="36">
        <v>0</v>
      </c>
      <c r="E257" s="36">
        <v>0</v>
      </c>
      <c r="F257" s="36">
        <v>0</v>
      </c>
      <c r="G257" s="36" t="s">
        <v>64</v>
      </c>
      <c r="H257" s="36" t="s">
        <v>65</v>
      </c>
      <c r="S257" s="39"/>
      <c r="BC257" s="39"/>
      <c r="BE257" s="39"/>
    </row>
    <row r="258" spans="1:57" x14ac:dyDescent="0.35">
      <c r="A258" s="36">
        <v>1057</v>
      </c>
      <c r="B258" s="36">
        <v>1</v>
      </c>
      <c r="C258" s="36">
        <v>0</v>
      </c>
      <c r="D258" s="36">
        <v>0</v>
      </c>
      <c r="E258" s="36">
        <v>0</v>
      </c>
      <c r="F258" s="36">
        <v>0</v>
      </c>
      <c r="G258" s="36" t="s">
        <v>64</v>
      </c>
      <c r="H258" s="36" t="s">
        <v>70</v>
      </c>
      <c r="S258" s="39"/>
      <c r="BC258" s="39"/>
      <c r="BE258" s="39"/>
    </row>
    <row r="259" spans="1:57" x14ac:dyDescent="0.35">
      <c r="A259" s="36">
        <v>1057</v>
      </c>
      <c r="B259" s="36">
        <v>1</v>
      </c>
      <c r="C259" s="36">
        <v>0</v>
      </c>
      <c r="D259" s="36">
        <v>0</v>
      </c>
      <c r="E259" s="36">
        <v>0</v>
      </c>
      <c r="F259" s="36">
        <v>0</v>
      </c>
      <c r="G259" s="36" t="s">
        <v>64</v>
      </c>
      <c r="H259" s="36" t="s">
        <v>70</v>
      </c>
      <c r="S259" s="39"/>
      <c r="BC259" s="39"/>
      <c r="BE259" s="39"/>
    </row>
    <row r="260" spans="1:57" x14ac:dyDescent="0.35">
      <c r="A260" s="36">
        <v>1057</v>
      </c>
      <c r="B260" s="36">
        <v>3</v>
      </c>
      <c r="C260" s="36">
        <v>0</v>
      </c>
      <c r="D260" s="36">
        <v>0</v>
      </c>
      <c r="E260" s="36">
        <v>0</v>
      </c>
      <c r="F260" s="36">
        <v>0</v>
      </c>
      <c r="G260" s="36" t="s">
        <v>66</v>
      </c>
      <c r="H260" s="36" t="s">
        <v>65</v>
      </c>
      <c r="S260" s="39"/>
      <c r="BC260" s="39"/>
      <c r="BE260" s="39"/>
    </row>
    <row r="261" spans="1:57" x14ac:dyDescent="0.35">
      <c r="A261" s="36">
        <v>1057</v>
      </c>
      <c r="B261" s="36">
        <v>6</v>
      </c>
      <c r="C261" s="36">
        <v>0</v>
      </c>
      <c r="D261" s="36">
        <v>0</v>
      </c>
      <c r="E261" s="36">
        <v>0</v>
      </c>
      <c r="F261" s="36">
        <v>0</v>
      </c>
      <c r="G261" s="36" t="s">
        <v>64</v>
      </c>
      <c r="H261" s="36" t="s">
        <v>65</v>
      </c>
      <c r="S261" s="39"/>
      <c r="BC261" s="39"/>
      <c r="BE261" s="39"/>
    </row>
    <row r="262" spans="1:57" x14ac:dyDescent="0.35">
      <c r="A262" s="36">
        <v>1057</v>
      </c>
      <c r="B262" s="36">
        <v>0</v>
      </c>
      <c r="C262" s="36">
        <v>0</v>
      </c>
      <c r="D262" s="36">
        <v>1</v>
      </c>
      <c r="E262" s="36">
        <v>0</v>
      </c>
      <c r="F262" s="36">
        <v>0</v>
      </c>
      <c r="G262" s="36" t="s">
        <v>64</v>
      </c>
      <c r="H262" s="36" t="s">
        <v>70</v>
      </c>
      <c r="S262" s="39"/>
      <c r="BC262" s="39"/>
      <c r="BE262" s="39"/>
    </row>
    <row r="263" spans="1:57" x14ac:dyDescent="0.35">
      <c r="A263" s="36">
        <v>1057</v>
      </c>
      <c r="B263" s="36">
        <v>3</v>
      </c>
      <c r="C263" s="36">
        <v>0</v>
      </c>
      <c r="D263" s="36">
        <v>0</v>
      </c>
      <c r="E263" s="36">
        <v>0</v>
      </c>
      <c r="F263" s="36">
        <v>0</v>
      </c>
      <c r="G263" s="36" t="s">
        <v>64</v>
      </c>
      <c r="H263" s="36" t="s">
        <v>65</v>
      </c>
      <c r="S263" s="39"/>
      <c r="BC263" s="39"/>
      <c r="BE263" s="39"/>
    </row>
    <row r="264" spans="1:57" x14ac:dyDescent="0.35">
      <c r="A264" s="36">
        <v>1057</v>
      </c>
      <c r="B264" s="36">
        <v>2</v>
      </c>
      <c r="C264" s="36">
        <v>0</v>
      </c>
      <c r="D264" s="36">
        <v>0</v>
      </c>
      <c r="E264" s="36">
        <v>0</v>
      </c>
      <c r="F264" s="36">
        <v>0</v>
      </c>
      <c r="G264" s="36" t="s">
        <v>64</v>
      </c>
      <c r="H264" s="36" t="s">
        <v>65</v>
      </c>
      <c r="S264" s="39"/>
      <c r="BC264" s="39"/>
      <c r="BE264" s="39"/>
    </row>
    <row r="265" spans="1:57" x14ac:dyDescent="0.35">
      <c r="A265" s="36">
        <v>1057</v>
      </c>
      <c r="B265" s="36">
        <v>3</v>
      </c>
      <c r="C265" s="36">
        <v>0</v>
      </c>
      <c r="D265" s="36">
        <v>0</v>
      </c>
      <c r="E265" s="36">
        <v>0</v>
      </c>
      <c r="F265" s="36">
        <v>0</v>
      </c>
      <c r="G265" s="36" t="s">
        <v>64</v>
      </c>
      <c r="H265" s="36" t="s">
        <v>65</v>
      </c>
      <c r="S265" s="39"/>
      <c r="BC265" s="39"/>
      <c r="BE265" s="39"/>
    </row>
    <row r="266" spans="1:57" x14ac:dyDescent="0.35">
      <c r="A266" s="36">
        <v>1057</v>
      </c>
      <c r="B266" s="36">
        <v>3</v>
      </c>
      <c r="C266" s="36">
        <v>0</v>
      </c>
      <c r="D266" s="36">
        <v>0</v>
      </c>
      <c r="E266" s="36">
        <v>0</v>
      </c>
      <c r="F266" s="36">
        <v>0</v>
      </c>
      <c r="G266" s="36" t="s">
        <v>64</v>
      </c>
      <c r="H266" s="36" t="s">
        <v>65</v>
      </c>
      <c r="S266" s="39"/>
      <c r="BC266" s="39"/>
      <c r="BE266" s="39"/>
    </row>
    <row r="267" spans="1:57" x14ac:dyDescent="0.35">
      <c r="A267" s="36">
        <v>1057</v>
      </c>
      <c r="B267" s="36">
        <v>1</v>
      </c>
      <c r="C267" s="36">
        <v>2</v>
      </c>
      <c r="D267" s="36">
        <v>0</v>
      </c>
      <c r="E267" s="36">
        <v>1</v>
      </c>
      <c r="F267" s="36">
        <v>0</v>
      </c>
      <c r="G267" s="36" t="s">
        <v>64</v>
      </c>
      <c r="H267" s="36" t="s">
        <v>65</v>
      </c>
      <c r="S267" s="39"/>
      <c r="BC267" s="39"/>
      <c r="BE267" s="39"/>
    </row>
    <row r="268" spans="1:57" x14ac:dyDescent="0.35">
      <c r="A268" s="36">
        <v>1057</v>
      </c>
      <c r="B268" s="36">
        <v>4</v>
      </c>
      <c r="C268" s="36">
        <v>0</v>
      </c>
      <c r="D268" s="36">
        <v>0</v>
      </c>
      <c r="E268" s="36">
        <v>0</v>
      </c>
      <c r="F268" s="36">
        <v>0</v>
      </c>
      <c r="G268" s="36" t="s">
        <v>66</v>
      </c>
      <c r="H268" s="36" t="s">
        <v>65</v>
      </c>
      <c r="S268" s="39"/>
      <c r="BC268" s="39"/>
      <c r="BE268" s="39"/>
    </row>
    <row r="269" spans="1:57" x14ac:dyDescent="0.35">
      <c r="A269" s="36">
        <v>1057</v>
      </c>
      <c r="B269" s="36">
        <v>4</v>
      </c>
      <c r="C269" s="36">
        <v>0</v>
      </c>
      <c r="D269" s="36">
        <v>0</v>
      </c>
      <c r="E269" s="36">
        <v>0</v>
      </c>
      <c r="F269" s="36">
        <v>0</v>
      </c>
      <c r="G269" s="36" t="s">
        <v>64</v>
      </c>
      <c r="H269" s="36" t="s">
        <v>65</v>
      </c>
      <c r="S269" s="39"/>
      <c r="BC269" s="39"/>
      <c r="BE269" s="39"/>
    </row>
    <row r="270" spans="1:57" x14ac:dyDescent="0.35">
      <c r="A270" s="36">
        <v>1057</v>
      </c>
      <c r="B270" s="36">
        <v>4</v>
      </c>
      <c r="C270" s="36">
        <v>0</v>
      </c>
      <c r="D270" s="36">
        <v>0</v>
      </c>
      <c r="E270" s="36">
        <v>0</v>
      </c>
      <c r="F270" s="36">
        <v>0</v>
      </c>
      <c r="G270" s="36" t="s">
        <v>66</v>
      </c>
      <c r="H270" s="36" t="s">
        <v>65</v>
      </c>
      <c r="S270" s="39"/>
      <c r="BC270" s="39"/>
      <c r="BE270" s="39"/>
    </row>
    <row r="271" spans="1:57" x14ac:dyDescent="0.35">
      <c r="A271" s="36">
        <v>1057</v>
      </c>
      <c r="B271" s="36">
        <v>2</v>
      </c>
      <c r="C271" s="36">
        <v>0</v>
      </c>
      <c r="D271" s="36">
        <v>0</v>
      </c>
      <c r="E271" s="36">
        <v>0</v>
      </c>
      <c r="F271" s="36">
        <v>0</v>
      </c>
      <c r="G271" s="36" t="s">
        <v>64</v>
      </c>
      <c r="H271" s="36" t="s">
        <v>65</v>
      </c>
      <c r="S271" s="39"/>
      <c r="BC271" s="39"/>
      <c r="BE271" s="39"/>
    </row>
    <row r="272" spans="1:57" x14ac:dyDescent="0.35">
      <c r="A272" s="36">
        <v>1057</v>
      </c>
      <c r="B272" s="36">
        <v>0</v>
      </c>
      <c r="C272" s="36">
        <v>0</v>
      </c>
      <c r="D272" s="36">
        <v>1</v>
      </c>
      <c r="E272" s="36">
        <v>0</v>
      </c>
      <c r="F272" s="36">
        <v>0</v>
      </c>
      <c r="G272" s="36" t="s">
        <v>64</v>
      </c>
      <c r="H272" s="36" t="s">
        <v>70</v>
      </c>
      <c r="S272" s="39"/>
      <c r="BC272" s="39"/>
      <c r="BE272" s="39"/>
    </row>
    <row r="273" spans="1:57" x14ac:dyDescent="0.35">
      <c r="A273" s="36">
        <v>1057</v>
      </c>
      <c r="B273" s="36">
        <v>3</v>
      </c>
      <c r="C273" s="36">
        <v>0</v>
      </c>
      <c r="D273" s="36">
        <v>0</v>
      </c>
      <c r="E273" s="36">
        <v>0</v>
      </c>
      <c r="F273" s="36">
        <v>0</v>
      </c>
      <c r="G273" s="36" t="s">
        <v>64</v>
      </c>
      <c r="H273" s="36" t="s">
        <v>70</v>
      </c>
      <c r="S273" s="39"/>
      <c r="BC273" s="39"/>
      <c r="BE273" s="39"/>
    </row>
    <row r="274" spans="1:57" x14ac:dyDescent="0.35">
      <c r="A274" s="36">
        <v>1057</v>
      </c>
      <c r="B274" s="36">
        <v>3</v>
      </c>
      <c r="C274" s="36">
        <v>0</v>
      </c>
      <c r="D274" s="36">
        <v>0</v>
      </c>
      <c r="E274" s="36">
        <v>0</v>
      </c>
      <c r="F274" s="36">
        <v>0</v>
      </c>
      <c r="G274" s="36" t="s">
        <v>64</v>
      </c>
      <c r="H274" s="36" t="s">
        <v>65</v>
      </c>
      <c r="S274" s="39"/>
      <c r="BC274" s="39"/>
      <c r="BE274" s="39"/>
    </row>
    <row r="275" spans="1:57" x14ac:dyDescent="0.35">
      <c r="A275" s="36">
        <v>1057</v>
      </c>
      <c r="B275" s="36">
        <v>1</v>
      </c>
      <c r="C275" s="36">
        <v>0</v>
      </c>
      <c r="D275" s="36">
        <v>0</v>
      </c>
      <c r="E275" s="36">
        <v>0</v>
      </c>
      <c r="F275" s="36">
        <v>0</v>
      </c>
      <c r="G275" s="36" t="s">
        <v>64</v>
      </c>
      <c r="H275" s="36" t="s">
        <v>71</v>
      </c>
      <c r="S275" s="39"/>
      <c r="BC275" s="39"/>
      <c r="BE275" s="39"/>
    </row>
    <row r="276" spans="1:57" x14ac:dyDescent="0.35">
      <c r="A276" s="36">
        <v>1057</v>
      </c>
      <c r="B276" s="36">
        <v>1</v>
      </c>
      <c r="C276" s="36">
        <v>0</v>
      </c>
      <c r="D276" s="36">
        <v>0</v>
      </c>
      <c r="E276" s="36">
        <v>1</v>
      </c>
      <c r="F276" s="36">
        <v>0</v>
      </c>
      <c r="G276" s="36" t="s">
        <v>64</v>
      </c>
      <c r="H276" s="36" t="s">
        <v>65</v>
      </c>
      <c r="S276" s="39"/>
      <c r="BC276" s="39"/>
      <c r="BE276" s="39"/>
    </row>
    <row r="277" spans="1:57" x14ac:dyDescent="0.35">
      <c r="A277" s="36">
        <v>1057</v>
      </c>
      <c r="B277" s="36">
        <v>2</v>
      </c>
      <c r="C277" s="36">
        <v>0</v>
      </c>
      <c r="D277" s="36">
        <v>0</v>
      </c>
      <c r="E277" s="36">
        <v>0</v>
      </c>
      <c r="F277" s="36">
        <v>0</v>
      </c>
      <c r="G277" s="36" t="s">
        <v>68</v>
      </c>
      <c r="H277" s="36" t="s">
        <v>65</v>
      </c>
      <c r="S277" s="39"/>
      <c r="BC277" s="39"/>
      <c r="BE277" s="39"/>
    </row>
    <row r="278" spans="1:57" x14ac:dyDescent="0.35">
      <c r="A278" s="36">
        <v>1057</v>
      </c>
      <c r="B278" s="36">
        <v>2</v>
      </c>
      <c r="C278" s="36">
        <v>0</v>
      </c>
      <c r="D278" s="36">
        <v>0</v>
      </c>
      <c r="E278" s="36">
        <v>0</v>
      </c>
      <c r="F278" s="36">
        <v>0</v>
      </c>
      <c r="G278" s="36" t="s">
        <v>64</v>
      </c>
      <c r="H278" s="36" t="s">
        <v>65</v>
      </c>
      <c r="S278" s="39"/>
      <c r="BC278" s="39"/>
      <c r="BE278" s="39"/>
    </row>
    <row r="279" spans="1:57" x14ac:dyDescent="0.35">
      <c r="A279" s="36">
        <v>1057</v>
      </c>
      <c r="B279" s="36">
        <v>3</v>
      </c>
      <c r="C279" s="36">
        <v>1</v>
      </c>
      <c r="D279" s="36">
        <v>1</v>
      </c>
      <c r="E279" s="36">
        <v>0</v>
      </c>
      <c r="F279" s="36">
        <v>0</v>
      </c>
      <c r="G279" s="36" t="s">
        <v>66</v>
      </c>
      <c r="H279" s="36" t="s">
        <v>65</v>
      </c>
      <c r="S279" s="39"/>
      <c r="BC279" s="39"/>
      <c r="BE279" s="39"/>
    </row>
    <row r="280" spans="1:57" x14ac:dyDescent="0.35">
      <c r="A280" s="36">
        <v>1057</v>
      </c>
      <c r="B280" s="36">
        <v>2</v>
      </c>
      <c r="C280" s="36">
        <v>0</v>
      </c>
      <c r="D280" s="36">
        <v>0</v>
      </c>
      <c r="E280" s="36">
        <v>0</v>
      </c>
      <c r="F280" s="36">
        <v>0</v>
      </c>
      <c r="G280" s="36" t="s">
        <v>66</v>
      </c>
      <c r="H280" s="36" t="s">
        <v>65</v>
      </c>
      <c r="S280" s="39"/>
      <c r="BC280" s="39"/>
      <c r="BE280" s="39"/>
    </row>
    <row r="281" spans="1:57" x14ac:dyDescent="0.35">
      <c r="A281" s="36">
        <v>1057</v>
      </c>
      <c r="B281" s="36">
        <v>2</v>
      </c>
      <c r="C281" s="36">
        <v>0</v>
      </c>
      <c r="D281" s="36">
        <v>0</v>
      </c>
      <c r="E281" s="36">
        <v>0</v>
      </c>
      <c r="F281" s="36">
        <v>0</v>
      </c>
      <c r="G281" s="36" t="s">
        <v>68</v>
      </c>
      <c r="H281" s="36" t="s">
        <v>65</v>
      </c>
      <c r="S281" s="39"/>
      <c r="BC281" s="39"/>
      <c r="BE281" s="39"/>
    </row>
    <row r="282" spans="1:57" x14ac:dyDescent="0.35">
      <c r="A282" s="36">
        <v>1057</v>
      </c>
      <c r="B282" s="36">
        <v>3</v>
      </c>
      <c r="C282" s="36">
        <v>0</v>
      </c>
      <c r="D282" s="36">
        <v>0</v>
      </c>
      <c r="E282" s="36">
        <v>0</v>
      </c>
      <c r="F282" s="36">
        <v>0</v>
      </c>
      <c r="G282" s="36" t="s">
        <v>66</v>
      </c>
      <c r="H282" s="36" t="s">
        <v>65</v>
      </c>
      <c r="S282" s="39"/>
      <c r="BC282" s="39"/>
      <c r="BE282" s="39"/>
    </row>
    <row r="283" spans="1:57" x14ac:dyDescent="0.35">
      <c r="A283" s="36">
        <v>1057</v>
      </c>
      <c r="B283" s="36">
        <v>2</v>
      </c>
      <c r="C283" s="36">
        <v>0</v>
      </c>
      <c r="D283" s="36">
        <v>0</v>
      </c>
      <c r="E283" s="36">
        <v>0</v>
      </c>
      <c r="F283" s="36">
        <v>0</v>
      </c>
      <c r="G283" s="36" t="s">
        <v>66</v>
      </c>
      <c r="H283" s="36" t="s">
        <v>65</v>
      </c>
      <c r="S283" s="39"/>
      <c r="BC283" s="39"/>
      <c r="BE283" s="39"/>
    </row>
    <row r="284" spans="1:57" x14ac:dyDescent="0.35">
      <c r="A284" s="36">
        <v>1057</v>
      </c>
      <c r="B284" s="36">
        <v>0</v>
      </c>
      <c r="C284" s="36">
        <v>2</v>
      </c>
      <c r="D284" s="36">
        <v>1</v>
      </c>
      <c r="E284" s="36">
        <v>0</v>
      </c>
      <c r="F284" s="36">
        <v>0</v>
      </c>
      <c r="G284" s="36" t="s">
        <v>64</v>
      </c>
      <c r="H284" s="36" t="s">
        <v>65</v>
      </c>
      <c r="S284" s="39"/>
      <c r="BC284" s="39"/>
      <c r="BE284" s="39"/>
    </row>
    <row r="285" spans="1:57" x14ac:dyDescent="0.35">
      <c r="A285" s="36">
        <v>1057</v>
      </c>
      <c r="B285" s="36">
        <v>3</v>
      </c>
      <c r="C285" s="36">
        <v>0</v>
      </c>
      <c r="D285" s="36">
        <v>0</v>
      </c>
      <c r="E285" s="36">
        <v>0</v>
      </c>
      <c r="F285" s="36">
        <v>0</v>
      </c>
      <c r="G285" s="36" t="s">
        <v>64</v>
      </c>
      <c r="H285" s="36" t="s">
        <v>65</v>
      </c>
      <c r="S285" s="39"/>
      <c r="BC285" s="39"/>
      <c r="BE285" s="39"/>
    </row>
    <row r="286" spans="1:57" x14ac:dyDescent="0.35">
      <c r="A286" s="36">
        <v>1057</v>
      </c>
      <c r="B286" s="36">
        <v>2</v>
      </c>
      <c r="C286" s="36">
        <v>0</v>
      </c>
      <c r="D286" s="36">
        <v>0</v>
      </c>
      <c r="E286" s="36">
        <v>0</v>
      </c>
      <c r="F286" s="36">
        <v>0</v>
      </c>
      <c r="G286" s="36" t="s">
        <v>66</v>
      </c>
      <c r="H286" s="36" t="s">
        <v>65</v>
      </c>
      <c r="S286" s="39"/>
      <c r="BC286" s="39"/>
      <c r="BE286" s="39"/>
    </row>
    <row r="287" spans="1:57" x14ac:dyDescent="0.35">
      <c r="A287" s="36">
        <v>1057</v>
      </c>
      <c r="B287" s="36">
        <v>1</v>
      </c>
      <c r="C287" s="36">
        <v>1</v>
      </c>
      <c r="D287" s="36">
        <v>0</v>
      </c>
      <c r="E287" s="36">
        <v>0</v>
      </c>
      <c r="F287" s="36">
        <v>0</v>
      </c>
      <c r="G287" s="36" t="s">
        <v>66</v>
      </c>
      <c r="H287" s="36" t="s">
        <v>65</v>
      </c>
      <c r="S287" s="39"/>
      <c r="BC287" s="39"/>
      <c r="BE287" s="39"/>
    </row>
    <row r="288" spans="1:57" x14ac:dyDescent="0.35">
      <c r="A288" s="36">
        <v>1057</v>
      </c>
      <c r="B288" s="36">
        <v>1</v>
      </c>
      <c r="C288" s="36">
        <v>0</v>
      </c>
      <c r="D288" s="36">
        <v>0</v>
      </c>
      <c r="E288" s="36">
        <v>0</v>
      </c>
      <c r="F288" s="36">
        <v>0</v>
      </c>
      <c r="G288" s="36" t="s">
        <v>64</v>
      </c>
      <c r="H288" s="36" t="s">
        <v>70</v>
      </c>
      <c r="S288" s="39"/>
      <c r="BC288" s="39"/>
      <c r="BE288" s="39"/>
    </row>
    <row r="289" spans="1:57" x14ac:dyDescent="0.35">
      <c r="A289" s="36">
        <v>1057</v>
      </c>
      <c r="B289" s="36">
        <v>2</v>
      </c>
      <c r="C289" s="36">
        <v>0</v>
      </c>
      <c r="D289" s="36">
        <v>0</v>
      </c>
      <c r="E289" s="36">
        <v>0</v>
      </c>
      <c r="F289" s="36">
        <v>0</v>
      </c>
      <c r="G289" s="36" t="s">
        <v>68</v>
      </c>
      <c r="H289" s="36" t="s">
        <v>65</v>
      </c>
      <c r="S289" s="39"/>
      <c r="BC289" s="39"/>
      <c r="BE289" s="39"/>
    </row>
    <row r="290" spans="1:57" x14ac:dyDescent="0.35">
      <c r="A290" s="36">
        <v>1057</v>
      </c>
      <c r="B290" s="36">
        <v>3</v>
      </c>
      <c r="C290" s="36">
        <v>0</v>
      </c>
      <c r="D290" s="36">
        <v>0</v>
      </c>
      <c r="E290" s="36">
        <v>0</v>
      </c>
      <c r="F290" s="36">
        <v>0</v>
      </c>
      <c r="G290" s="36" t="s">
        <v>64</v>
      </c>
      <c r="H290" s="36" t="s">
        <v>65</v>
      </c>
      <c r="S290" s="39"/>
      <c r="BC290" s="39"/>
      <c r="BE290" s="39"/>
    </row>
    <row r="291" spans="1:57" x14ac:dyDescent="0.35">
      <c r="A291" s="36">
        <v>1057</v>
      </c>
      <c r="B291" s="36">
        <v>4</v>
      </c>
      <c r="C291" s="36">
        <v>0</v>
      </c>
      <c r="D291" s="36">
        <v>0</v>
      </c>
      <c r="E291" s="36">
        <v>0</v>
      </c>
      <c r="F291" s="36">
        <v>0</v>
      </c>
      <c r="G291" s="36" t="s">
        <v>64</v>
      </c>
      <c r="H291" s="36" t="s">
        <v>65</v>
      </c>
      <c r="S291" s="39"/>
      <c r="BC291" s="39"/>
      <c r="BE291" s="39"/>
    </row>
    <row r="292" spans="1:57" x14ac:dyDescent="0.35">
      <c r="A292" s="36">
        <v>1057</v>
      </c>
      <c r="B292" s="36">
        <v>1</v>
      </c>
      <c r="C292" s="36">
        <v>0</v>
      </c>
      <c r="D292" s="36">
        <v>0</v>
      </c>
      <c r="E292" s="36">
        <v>0</v>
      </c>
      <c r="F292" s="36">
        <v>0</v>
      </c>
      <c r="G292" s="36" t="s">
        <v>64</v>
      </c>
      <c r="H292" s="36" t="s">
        <v>70</v>
      </c>
      <c r="S292" s="39"/>
      <c r="BC292" s="39"/>
      <c r="BE292" s="39"/>
    </row>
    <row r="293" spans="1:57" x14ac:dyDescent="0.35">
      <c r="A293" s="36">
        <v>1057</v>
      </c>
      <c r="B293" s="36">
        <v>2</v>
      </c>
      <c r="C293" s="36">
        <v>0</v>
      </c>
      <c r="D293" s="36">
        <v>0</v>
      </c>
      <c r="E293" s="36">
        <v>0</v>
      </c>
      <c r="F293" s="36">
        <v>0</v>
      </c>
      <c r="G293" s="36" t="s">
        <v>68</v>
      </c>
      <c r="H293" s="36" t="s">
        <v>65</v>
      </c>
      <c r="S293" s="39"/>
      <c r="BC293" s="39"/>
      <c r="BE293" s="39"/>
    </row>
    <row r="294" spans="1:57" x14ac:dyDescent="0.35">
      <c r="A294" s="36">
        <v>1057</v>
      </c>
      <c r="B294" s="36">
        <v>2</v>
      </c>
      <c r="C294" s="36">
        <v>0</v>
      </c>
      <c r="D294" s="36">
        <v>0</v>
      </c>
      <c r="E294" s="36">
        <v>0</v>
      </c>
      <c r="F294" s="36">
        <v>0</v>
      </c>
      <c r="G294" s="36" t="s">
        <v>68</v>
      </c>
      <c r="H294" s="36" t="s">
        <v>65</v>
      </c>
      <c r="S294" s="39"/>
      <c r="BC294" s="39"/>
      <c r="BE294" s="39"/>
    </row>
    <row r="295" spans="1:57" x14ac:dyDescent="0.35">
      <c r="A295" s="36">
        <v>1057</v>
      </c>
      <c r="B295" s="36">
        <v>1</v>
      </c>
      <c r="C295" s="36">
        <v>0</v>
      </c>
      <c r="D295" s="36">
        <v>0</v>
      </c>
      <c r="E295" s="36">
        <v>0</v>
      </c>
      <c r="F295" s="36">
        <v>0</v>
      </c>
      <c r="G295" s="36" t="s">
        <v>64</v>
      </c>
      <c r="H295" s="36" t="s">
        <v>71</v>
      </c>
      <c r="S295" s="39"/>
      <c r="BC295" s="39"/>
      <c r="BE295" s="39"/>
    </row>
    <row r="296" spans="1:57" x14ac:dyDescent="0.35">
      <c r="A296" s="36">
        <v>1057</v>
      </c>
      <c r="B296" s="36">
        <v>1</v>
      </c>
      <c r="C296" s="36">
        <v>0</v>
      </c>
      <c r="D296" s="36">
        <v>0</v>
      </c>
      <c r="E296" s="36">
        <v>0</v>
      </c>
      <c r="F296" s="36">
        <v>0</v>
      </c>
      <c r="G296" s="36" t="s">
        <v>64</v>
      </c>
      <c r="H296" s="36" t="s">
        <v>65</v>
      </c>
      <c r="S296" s="39"/>
      <c r="BC296" s="39"/>
      <c r="BE296" s="39"/>
    </row>
    <row r="297" spans="1:57" x14ac:dyDescent="0.35">
      <c r="A297" s="36">
        <v>1057</v>
      </c>
      <c r="B297" s="36">
        <v>1</v>
      </c>
      <c r="C297" s="36">
        <v>0</v>
      </c>
      <c r="D297" s="36">
        <v>0</v>
      </c>
      <c r="E297" s="36">
        <v>0</v>
      </c>
      <c r="F297" s="36">
        <v>0</v>
      </c>
      <c r="G297" s="36" t="s">
        <v>64</v>
      </c>
      <c r="H297" s="36" t="s">
        <v>70</v>
      </c>
      <c r="S297" s="39"/>
      <c r="BC297" s="39"/>
      <c r="BE297" s="39"/>
    </row>
    <row r="298" spans="1:57" x14ac:dyDescent="0.35">
      <c r="A298" s="36">
        <v>1057</v>
      </c>
      <c r="B298" s="36">
        <v>1</v>
      </c>
      <c r="C298" s="36">
        <v>0</v>
      </c>
      <c r="D298" s="36">
        <v>0</v>
      </c>
      <c r="E298" s="36">
        <v>0</v>
      </c>
      <c r="F298" s="36">
        <v>0</v>
      </c>
      <c r="G298" s="36" t="s">
        <v>64</v>
      </c>
      <c r="H298" s="36" t="s">
        <v>65</v>
      </c>
      <c r="S298" s="39"/>
      <c r="BC298" s="39"/>
      <c r="BE298" s="39"/>
    </row>
    <row r="299" spans="1:57" x14ac:dyDescent="0.35">
      <c r="A299" s="36">
        <v>1057</v>
      </c>
      <c r="B299" s="36">
        <v>2</v>
      </c>
      <c r="C299" s="36">
        <v>0</v>
      </c>
      <c r="D299" s="36">
        <v>0</v>
      </c>
      <c r="E299" s="36">
        <v>0</v>
      </c>
      <c r="F299" s="36">
        <v>0</v>
      </c>
      <c r="G299" s="36" t="s">
        <v>64</v>
      </c>
      <c r="H299" s="36" t="s">
        <v>65</v>
      </c>
      <c r="S299" s="39"/>
      <c r="BC299" s="39"/>
      <c r="BE299" s="39"/>
    </row>
    <row r="300" spans="1:57" x14ac:dyDescent="0.35">
      <c r="A300" s="36">
        <v>1057</v>
      </c>
      <c r="B300" s="36">
        <v>1</v>
      </c>
      <c r="C300" s="36">
        <v>0</v>
      </c>
      <c r="D300" s="36">
        <v>0</v>
      </c>
      <c r="E300" s="36">
        <v>0</v>
      </c>
      <c r="F300" s="36">
        <v>0</v>
      </c>
      <c r="G300" s="36" t="s">
        <v>64</v>
      </c>
      <c r="H300" s="36" t="s">
        <v>65</v>
      </c>
      <c r="S300" s="39"/>
      <c r="BC300" s="39"/>
      <c r="BE300" s="39"/>
    </row>
    <row r="301" spans="1:57" x14ac:dyDescent="0.35">
      <c r="A301" s="36">
        <v>1057</v>
      </c>
      <c r="B301" s="36">
        <v>3</v>
      </c>
      <c r="C301" s="36">
        <v>0</v>
      </c>
      <c r="D301" s="36">
        <v>0</v>
      </c>
      <c r="E301" s="36">
        <v>0</v>
      </c>
      <c r="F301" s="36">
        <v>0</v>
      </c>
      <c r="G301" s="36" t="s">
        <v>66</v>
      </c>
      <c r="H301" s="36" t="s">
        <v>65</v>
      </c>
      <c r="S301" s="39"/>
      <c r="BC301" s="39"/>
      <c r="BE301" s="39"/>
    </row>
    <row r="302" spans="1:57" x14ac:dyDescent="0.35">
      <c r="A302" s="36">
        <v>1057</v>
      </c>
      <c r="B302" s="36">
        <v>2</v>
      </c>
      <c r="C302" s="36">
        <v>0</v>
      </c>
      <c r="D302" s="36">
        <v>0</v>
      </c>
      <c r="E302" s="36">
        <v>0</v>
      </c>
      <c r="F302" s="36">
        <v>0</v>
      </c>
      <c r="G302" s="36" t="s">
        <v>64</v>
      </c>
      <c r="H302" s="36" t="s">
        <v>65</v>
      </c>
      <c r="S302" s="39"/>
      <c r="BC302" s="39"/>
      <c r="BE302" s="39"/>
    </row>
    <row r="303" spans="1:57" x14ac:dyDescent="0.35">
      <c r="A303" s="36">
        <v>1057</v>
      </c>
      <c r="B303" s="36">
        <v>4</v>
      </c>
      <c r="C303" s="36">
        <v>0</v>
      </c>
      <c r="D303" s="36">
        <v>0</v>
      </c>
      <c r="E303" s="36">
        <v>0</v>
      </c>
      <c r="F303" s="36">
        <v>0</v>
      </c>
      <c r="G303" s="36" t="s">
        <v>66</v>
      </c>
      <c r="H303" s="36" t="s">
        <v>65</v>
      </c>
      <c r="S303" s="39"/>
      <c r="BC303" s="39"/>
      <c r="BE303" s="39"/>
    </row>
    <row r="304" spans="1:57" x14ac:dyDescent="0.35">
      <c r="A304" s="36">
        <v>1057</v>
      </c>
      <c r="B304" s="36">
        <v>1</v>
      </c>
      <c r="C304" s="36">
        <v>0</v>
      </c>
      <c r="D304" s="36">
        <v>1</v>
      </c>
      <c r="E304" s="36">
        <v>0</v>
      </c>
      <c r="F304" s="36">
        <v>0</v>
      </c>
      <c r="G304" s="36" t="s">
        <v>66</v>
      </c>
      <c r="H304" s="36" t="s">
        <v>70</v>
      </c>
      <c r="S304" s="39"/>
      <c r="BC304" s="39"/>
      <c r="BE304" s="39"/>
    </row>
    <row r="305" spans="1:57" x14ac:dyDescent="0.35">
      <c r="A305" s="36">
        <v>1057</v>
      </c>
      <c r="B305" s="36">
        <v>2</v>
      </c>
      <c r="C305" s="36">
        <v>0</v>
      </c>
      <c r="D305" s="36">
        <v>0</v>
      </c>
      <c r="E305" s="36">
        <v>0</v>
      </c>
      <c r="F305" s="36">
        <v>0</v>
      </c>
      <c r="G305" s="36" t="s">
        <v>64</v>
      </c>
      <c r="H305" s="36" t="s">
        <v>65</v>
      </c>
      <c r="S305" s="39"/>
      <c r="BC305" s="39"/>
      <c r="BE305" s="39"/>
    </row>
    <row r="306" spans="1:57" x14ac:dyDescent="0.35">
      <c r="A306" s="36">
        <v>1057</v>
      </c>
      <c r="B306" s="36">
        <v>1</v>
      </c>
      <c r="C306" s="36">
        <v>1</v>
      </c>
      <c r="D306" s="36">
        <v>0</v>
      </c>
      <c r="E306" s="36">
        <v>0</v>
      </c>
      <c r="F306" s="36">
        <v>0</v>
      </c>
      <c r="G306" s="36" t="s">
        <v>64</v>
      </c>
      <c r="H306" s="36" t="s">
        <v>65</v>
      </c>
      <c r="S306" s="39"/>
      <c r="BC306" s="39"/>
      <c r="BE306" s="39"/>
    </row>
    <row r="307" spans="1:57" x14ac:dyDescent="0.35">
      <c r="A307" s="36">
        <v>1057</v>
      </c>
      <c r="B307" s="36">
        <v>3</v>
      </c>
      <c r="C307" s="36">
        <v>0</v>
      </c>
      <c r="D307" s="36">
        <v>0</v>
      </c>
      <c r="E307" s="36">
        <v>0</v>
      </c>
      <c r="F307" s="36">
        <v>0</v>
      </c>
      <c r="G307" s="36" t="s">
        <v>64</v>
      </c>
      <c r="H307" s="36" t="s">
        <v>65</v>
      </c>
      <c r="S307" s="39"/>
      <c r="BC307" s="39"/>
      <c r="BE307" s="39"/>
    </row>
    <row r="308" spans="1:57" x14ac:dyDescent="0.35">
      <c r="A308" s="36">
        <v>1057</v>
      </c>
      <c r="B308" s="36">
        <v>2</v>
      </c>
      <c r="C308" s="36">
        <v>0</v>
      </c>
      <c r="D308" s="36">
        <v>0</v>
      </c>
      <c r="E308" s="36">
        <v>0</v>
      </c>
      <c r="F308" s="36">
        <v>0</v>
      </c>
      <c r="G308" s="36" t="s">
        <v>66</v>
      </c>
      <c r="H308" s="36" t="s">
        <v>65</v>
      </c>
      <c r="S308" s="39"/>
      <c r="BC308" s="39"/>
      <c r="BE308" s="39"/>
    </row>
    <row r="309" spans="1:57" x14ac:dyDescent="0.35">
      <c r="A309" s="36">
        <v>1057</v>
      </c>
      <c r="B309" s="36">
        <v>2</v>
      </c>
      <c r="C309" s="36">
        <v>0</v>
      </c>
      <c r="D309" s="36">
        <v>0</v>
      </c>
      <c r="E309" s="36">
        <v>0</v>
      </c>
      <c r="F309" s="36">
        <v>0</v>
      </c>
      <c r="G309" s="36" t="s">
        <v>64</v>
      </c>
      <c r="H309" s="36" t="s">
        <v>65</v>
      </c>
      <c r="S309" s="39"/>
      <c r="BC309" s="39"/>
      <c r="BE309" s="39"/>
    </row>
    <row r="310" spans="1:57" x14ac:dyDescent="0.35">
      <c r="A310" s="36">
        <v>1057</v>
      </c>
      <c r="B310" s="36">
        <v>3</v>
      </c>
      <c r="C310" s="36">
        <v>0</v>
      </c>
      <c r="D310" s="36">
        <v>0</v>
      </c>
      <c r="E310" s="36">
        <v>0</v>
      </c>
      <c r="F310" s="36">
        <v>0</v>
      </c>
      <c r="G310" s="36" t="s">
        <v>66</v>
      </c>
      <c r="H310" s="36" t="s">
        <v>65</v>
      </c>
      <c r="S310" s="39"/>
      <c r="BC310" s="39"/>
      <c r="BE310" s="39"/>
    </row>
    <row r="311" spans="1:57" x14ac:dyDescent="0.35">
      <c r="A311" s="36">
        <v>1057</v>
      </c>
      <c r="B311" s="36">
        <v>2</v>
      </c>
      <c r="C311" s="36">
        <v>0</v>
      </c>
      <c r="D311" s="36">
        <v>0</v>
      </c>
      <c r="E311" s="36">
        <v>0</v>
      </c>
      <c r="F311" s="36">
        <v>0</v>
      </c>
      <c r="G311" s="36" t="s">
        <v>64</v>
      </c>
      <c r="H311" s="36" t="s">
        <v>65</v>
      </c>
      <c r="S311" s="39"/>
      <c r="BC311" s="39"/>
      <c r="BE311" s="39"/>
    </row>
    <row r="312" spans="1:57" x14ac:dyDescent="0.35">
      <c r="A312" s="36">
        <v>1057</v>
      </c>
      <c r="B312" s="36">
        <v>2</v>
      </c>
      <c r="C312" s="36">
        <v>1</v>
      </c>
      <c r="D312" s="36">
        <v>0</v>
      </c>
      <c r="E312" s="36">
        <v>0</v>
      </c>
      <c r="F312" s="36">
        <v>0</v>
      </c>
      <c r="G312" s="36" t="s">
        <v>64</v>
      </c>
      <c r="H312" s="36" t="s">
        <v>65</v>
      </c>
      <c r="S312" s="39"/>
      <c r="BC312" s="39"/>
      <c r="BE312" s="39"/>
    </row>
    <row r="313" spans="1:57" x14ac:dyDescent="0.35">
      <c r="A313" s="36">
        <v>1057</v>
      </c>
      <c r="B313" s="36">
        <v>1</v>
      </c>
      <c r="C313" s="36">
        <v>1</v>
      </c>
      <c r="D313" s="36">
        <v>0</v>
      </c>
      <c r="E313" s="36">
        <v>0</v>
      </c>
      <c r="F313" s="36">
        <v>0</v>
      </c>
      <c r="G313" s="36" t="s">
        <v>64</v>
      </c>
      <c r="H313" s="36" t="s">
        <v>65</v>
      </c>
      <c r="S313" s="39"/>
      <c r="BC313" s="39"/>
      <c r="BE313" s="39"/>
    </row>
    <row r="314" spans="1:57" x14ac:dyDescent="0.35">
      <c r="A314" s="36">
        <v>1057</v>
      </c>
      <c r="B314" s="36">
        <v>0</v>
      </c>
      <c r="C314" s="36">
        <v>1</v>
      </c>
      <c r="D314" s="36">
        <v>0</v>
      </c>
      <c r="E314" s="36">
        <v>0</v>
      </c>
      <c r="F314" s="36">
        <v>0</v>
      </c>
      <c r="G314" s="36" t="s">
        <v>64</v>
      </c>
      <c r="H314" s="36" t="s">
        <v>69</v>
      </c>
      <c r="S314" s="39"/>
      <c r="BC314" s="39"/>
      <c r="BE314" s="39"/>
    </row>
    <row r="315" spans="1:57" x14ac:dyDescent="0.35">
      <c r="A315" s="36">
        <v>1057</v>
      </c>
      <c r="B315" s="36">
        <v>1</v>
      </c>
      <c r="C315" s="36">
        <v>0</v>
      </c>
      <c r="D315" s="36">
        <v>0</v>
      </c>
      <c r="E315" s="36">
        <v>0</v>
      </c>
      <c r="F315" s="36">
        <v>0</v>
      </c>
      <c r="G315" s="36" t="s">
        <v>64</v>
      </c>
      <c r="H315" s="36" t="s">
        <v>70</v>
      </c>
      <c r="S315" s="39"/>
      <c r="BC315" s="39"/>
      <c r="BE315" s="39"/>
    </row>
    <row r="316" spans="1:57" x14ac:dyDescent="0.35">
      <c r="A316" s="36">
        <v>1057</v>
      </c>
      <c r="B316" s="36">
        <v>2</v>
      </c>
      <c r="C316" s="36">
        <v>0</v>
      </c>
      <c r="D316" s="36">
        <v>0</v>
      </c>
      <c r="E316" s="36">
        <v>0</v>
      </c>
      <c r="F316" s="36">
        <v>0</v>
      </c>
      <c r="G316" s="36" t="s">
        <v>64</v>
      </c>
      <c r="H316" s="36" t="s">
        <v>65</v>
      </c>
      <c r="S316" s="39"/>
      <c r="BC316" s="39"/>
      <c r="BE316" s="39"/>
    </row>
    <row r="317" spans="1:57" x14ac:dyDescent="0.35">
      <c r="A317" s="36">
        <v>1057</v>
      </c>
      <c r="B317" s="36">
        <v>2</v>
      </c>
      <c r="C317" s="36">
        <v>0</v>
      </c>
      <c r="D317" s="36">
        <v>0</v>
      </c>
      <c r="E317" s="36">
        <v>0</v>
      </c>
      <c r="F317" s="36">
        <v>0</v>
      </c>
      <c r="G317" s="36" t="s">
        <v>64</v>
      </c>
      <c r="H317" s="36" t="s">
        <v>65</v>
      </c>
      <c r="S317" s="39"/>
      <c r="BC317" s="39"/>
      <c r="BE317" s="39"/>
    </row>
    <row r="318" spans="1:57" x14ac:dyDescent="0.35">
      <c r="A318" s="36">
        <v>1057</v>
      </c>
      <c r="B318" s="36">
        <v>1</v>
      </c>
      <c r="C318" s="36">
        <v>0</v>
      </c>
      <c r="D318" s="36">
        <v>0</v>
      </c>
      <c r="E318" s="36">
        <v>0</v>
      </c>
      <c r="F318" s="36">
        <v>0</v>
      </c>
      <c r="G318" s="36" t="s">
        <v>64</v>
      </c>
      <c r="H318" s="36" t="s">
        <v>65</v>
      </c>
      <c r="S318" s="39"/>
      <c r="BC318" s="39"/>
      <c r="BE318" s="39"/>
    </row>
    <row r="319" spans="1:57" x14ac:dyDescent="0.35">
      <c r="A319" s="36">
        <v>1057</v>
      </c>
      <c r="B319" s="36">
        <v>1</v>
      </c>
      <c r="C319" s="36">
        <v>0</v>
      </c>
      <c r="D319" s="36">
        <v>0</v>
      </c>
      <c r="E319" s="36">
        <v>0</v>
      </c>
      <c r="F319" s="36">
        <v>0</v>
      </c>
      <c r="G319" s="36" t="s">
        <v>64</v>
      </c>
      <c r="H319" s="36" t="s">
        <v>70</v>
      </c>
      <c r="S319" s="39"/>
      <c r="BC319" s="39"/>
      <c r="BE319" s="39"/>
    </row>
    <row r="320" spans="1:57" x14ac:dyDescent="0.35">
      <c r="A320" s="36">
        <v>1057</v>
      </c>
      <c r="B320" s="36">
        <v>3</v>
      </c>
      <c r="C320" s="36">
        <v>0</v>
      </c>
      <c r="D320" s="36">
        <v>0</v>
      </c>
      <c r="E320" s="36">
        <v>0</v>
      </c>
      <c r="F320" s="36">
        <v>0</v>
      </c>
      <c r="G320" s="36" t="s">
        <v>64</v>
      </c>
      <c r="H320" s="36" t="s">
        <v>65</v>
      </c>
      <c r="S320" s="39"/>
      <c r="BC320" s="39"/>
      <c r="BE320" s="39"/>
    </row>
    <row r="321" spans="1:57" x14ac:dyDescent="0.35">
      <c r="A321" s="36">
        <v>1057</v>
      </c>
      <c r="B321" s="36">
        <v>2</v>
      </c>
      <c r="C321" s="36">
        <v>0</v>
      </c>
      <c r="D321" s="36">
        <v>0</v>
      </c>
      <c r="E321" s="36">
        <v>0</v>
      </c>
      <c r="F321" s="36">
        <v>0</v>
      </c>
      <c r="G321" s="36" t="s">
        <v>66</v>
      </c>
      <c r="H321" s="36" t="s">
        <v>65</v>
      </c>
      <c r="S321" s="39"/>
      <c r="BC321" s="39"/>
      <c r="BE321" s="39"/>
    </row>
    <row r="322" spans="1:57" x14ac:dyDescent="0.35">
      <c r="A322" s="36">
        <v>1057</v>
      </c>
      <c r="B322" s="36">
        <v>2</v>
      </c>
      <c r="C322" s="36">
        <v>0</v>
      </c>
      <c r="D322" s="36">
        <v>0</v>
      </c>
      <c r="E322" s="36">
        <v>0</v>
      </c>
      <c r="F322" s="36">
        <v>0</v>
      </c>
      <c r="G322" s="36" t="s">
        <v>68</v>
      </c>
      <c r="H322" s="36" t="s">
        <v>65</v>
      </c>
      <c r="S322" s="39"/>
      <c r="BC322" s="39"/>
      <c r="BE322" s="39"/>
    </row>
    <row r="323" spans="1:57" x14ac:dyDescent="0.35">
      <c r="A323" s="36">
        <v>1057</v>
      </c>
      <c r="B323" s="36">
        <v>2</v>
      </c>
      <c r="C323" s="36">
        <v>0</v>
      </c>
      <c r="D323" s="36">
        <v>0</v>
      </c>
      <c r="E323" s="36">
        <v>0</v>
      </c>
      <c r="F323" s="36">
        <v>0</v>
      </c>
      <c r="G323" s="36" t="s">
        <v>64</v>
      </c>
      <c r="H323" s="36" t="s">
        <v>65</v>
      </c>
      <c r="S323" s="39"/>
      <c r="BC323" s="39"/>
      <c r="BE323" s="39"/>
    </row>
    <row r="324" spans="1:57" x14ac:dyDescent="0.35">
      <c r="A324" s="36">
        <v>1057</v>
      </c>
      <c r="B324" s="36">
        <v>0</v>
      </c>
      <c r="C324" s="36">
        <v>0</v>
      </c>
      <c r="D324" s="36">
        <v>1</v>
      </c>
      <c r="E324" s="36">
        <v>0</v>
      </c>
      <c r="F324" s="36">
        <v>0</v>
      </c>
      <c r="G324" s="36" t="s">
        <v>64</v>
      </c>
      <c r="H324" s="36" t="s">
        <v>69</v>
      </c>
      <c r="S324" s="39"/>
      <c r="BC324" s="39"/>
      <c r="BE324" s="39"/>
    </row>
    <row r="325" spans="1:57" x14ac:dyDescent="0.35">
      <c r="A325" s="36">
        <v>1057</v>
      </c>
      <c r="B325" s="36">
        <v>1</v>
      </c>
      <c r="C325" s="36">
        <v>0</v>
      </c>
      <c r="D325" s="36">
        <v>1</v>
      </c>
      <c r="E325" s="36">
        <v>0</v>
      </c>
      <c r="F325" s="36">
        <v>0</v>
      </c>
      <c r="G325" s="36" t="s">
        <v>64</v>
      </c>
      <c r="H325" s="36" t="s">
        <v>69</v>
      </c>
      <c r="S325" s="39"/>
      <c r="BC325" s="39"/>
      <c r="BE325" s="39"/>
    </row>
    <row r="326" spans="1:57" x14ac:dyDescent="0.35">
      <c r="A326" s="36">
        <v>1057</v>
      </c>
      <c r="B326" s="36">
        <v>5</v>
      </c>
      <c r="C326" s="36">
        <v>0</v>
      </c>
      <c r="D326" s="36">
        <v>0</v>
      </c>
      <c r="E326" s="36">
        <v>0</v>
      </c>
      <c r="F326" s="36">
        <v>0</v>
      </c>
      <c r="G326" s="36" t="s">
        <v>64</v>
      </c>
      <c r="H326" s="36" t="s">
        <v>65</v>
      </c>
      <c r="S326" s="39"/>
      <c r="BC326" s="39"/>
      <c r="BE326" s="39"/>
    </row>
    <row r="327" spans="1:57" x14ac:dyDescent="0.35">
      <c r="A327" s="36">
        <v>1057</v>
      </c>
      <c r="B327" s="36">
        <v>1</v>
      </c>
      <c r="C327" s="36">
        <v>2</v>
      </c>
      <c r="D327" s="36">
        <v>0</v>
      </c>
      <c r="E327" s="36">
        <v>0</v>
      </c>
      <c r="F327" s="36">
        <v>0</v>
      </c>
      <c r="G327" s="36" t="s">
        <v>64</v>
      </c>
      <c r="H327" s="36" t="s">
        <v>65</v>
      </c>
      <c r="S327" s="39"/>
      <c r="BC327" s="39"/>
      <c r="BE327" s="39"/>
    </row>
    <row r="328" spans="1:57" x14ac:dyDescent="0.35">
      <c r="A328" s="36">
        <v>1057</v>
      </c>
      <c r="B328" s="36">
        <v>1</v>
      </c>
      <c r="C328" s="36">
        <v>0</v>
      </c>
      <c r="D328" s="36">
        <v>0</v>
      </c>
      <c r="E328" s="36">
        <v>0</v>
      </c>
      <c r="F328" s="36">
        <v>0</v>
      </c>
      <c r="G328" s="36" t="s">
        <v>64</v>
      </c>
      <c r="H328" s="36" t="s">
        <v>73</v>
      </c>
      <c r="S328" s="39"/>
      <c r="BC328" s="39"/>
      <c r="BE328" s="39"/>
    </row>
    <row r="329" spans="1:57" x14ac:dyDescent="0.35">
      <c r="A329" s="36">
        <v>1057</v>
      </c>
      <c r="B329" s="36">
        <v>2</v>
      </c>
      <c r="C329" s="36">
        <v>0</v>
      </c>
      <c r="D329" s="36">
        <v>0</v>
      </c>
      <c r="E329" s="36">
        <v>0</v>
      </c>
      <c r="F329" s="36">
        <v>0</v>
      </c>
      <c r="G329" s="36" t="s">
        <v>64</v>
      </c>
      <c r="H329" s="36" t="s">
        <v>65</v>
      </c>
      <c r="S329" s="39"/>
      <c r="BC329" s="39"/>
      <c r="BE329" s="39"/>
    </row>
    <row r="330" spans="1:57" x14ac:dyDescent="0.35">
      <c r="A330" s="36">
        <v>1057</v>
      </c>
      <c r="B330" s="36">
        <v>2</v>
      </c>
      <c r="C330" s="36">
        <v>0</v>
      </c>
      <c r="D330" s="36">
        <v>0</v>
      </c>
      <c r="E330" s="36">
        <v>0</v>
      </c>
      <c r="F330" s="36">
        <v>0</v>
      </c>
      <c r="G330" s="36" t="s">
        <v>66</v>
      </c>
      <c r="H330" s="36" t="s">
        <v>65</v>
      </c>
      <c r="S330" s="39"/>
      <c r="BC330" s="39"/>
      <c r="BE330" s="39"/>
    </row>
    <row r="331" spans="1:57" x14ac:dyDescent="0.35">
      <c r="A331" s="36">
        <v>1057</v>
      </c>
      <c r="B331" s="36">
        <v>3</v>
      </c>
      <c r="C331" s="36">
        <v>0</v>
      </c>
      <c r="D331" s="36">
        <v>0</v>
      </c>
      <c r="E331" s="36">
        <v>0</v>
      </c>
      <c r="F331" s="36">
        <v>0</v>
      </c>
      <c r="G331" s="36" t="s">
        <v>66</v>
      </c>
      <c r="H331" s="36" t="s">
        <v>65</v>
      </c>
      <c r="S331" s="39"/>
      <c r="BC331" s="39"/>
      <c r="BE331" s="39"/>
    </row>
    <row r="332" spans="1:57" x14ac:dyDescent="0.35">
      <c r="A332" s="36">
        <v>1057</v>
      </c>
      <c r="B332" s="36">
        <v>3</v>
      </c>
      <c r="C332" s="36">
        <v>0</v>
      </c>
      <c r="D332" s="36">
        <v>0</v>
      </c>
      <c r="E332" s="36">
        <v>0</v>
      </c>
      <c r="F332" s="36">
        <v>0</v>
      </c>
      <c r="G332" s="36" t="s">
        <v>64</v>
      </c>
      <c r="H332" s="36" t="s">
        <v>65</v>
      </c>
      <c r="S332" s="39"/>
      <c r="BC332" s="39"/>
      <c r="BE332" s="39"/>
    </row>
    <row r="333" spans="1:57" x14ac:dyDescent="0.35">
      <c r="A333" s="36">
        <v>1057</v>
      </c>
      <c r="B333" s="36">
        <v>2</v>
      </c>
      <c r="C333" s="36">
        <v>0</v>
      </c>
      <c r="D333" s="36">
        <v>0</v>
      </c>
      <c r="E333" s="36">
        <v>0</v>
      </c>
      <c r="F333" s="36">
        <v>0</v>
      </c>
      <c r="G333" s="36" t="s">
        <v>64</v>
      </c>
      <c r="H333" s="36" t="s">
        <v>65</v>
      </c>
      <c r="S333" s="39"/>
      <c r="BC333" s="39"/>
      <c r="BE333" s="39"/>
    </row>
    <row r="334" spans="1:57" x14ac:dyDescent="0.35">
      <c r="A334" s="36">
        <v>1057</v>
      </c>
      <c r="B334" s="36">
        <v>3</v>
      </c>
      <c r="C334" s="36">
        <v>0</v>
      </c>
      <c r="D334" s="36">
        <v>0</v>
      </c>
      <c r="E334" s="36">
        <v>0</v>
      </c>
      <c r="F334" s="36">
        <v>0</v>
      </c>
      <c r="G334" s="36" t="s">
        <v>64</v>
      </c>
      <c r="H334" s="36" t="s">
        <v>65</v>
      </c>
      <c r="S334" s="39"/>
      <c r="BC334" s="39"/>
      <c r="BE334" s="39"/>
    </row>
    <row r="335" spans="1:57" x14ac:dyDescent="0.35">
      <c r="A335" s="36">
        <v>1057</v>
      </c>
      <c r="B335" s="36">
        <v>2</v>
      </c>
      <c r="C335" s="36">
        <v>0</v>
      </c>
      <c r="D335" s="36">
        <v>0</v>
      </c>
      <c r="E335" s="36">
        <v>0</v>
      </c>
      <c r="F335" s="36">
        <v>0</v>
      </c>
      <c r="G335" s="36" t="s">
        <v>64</v>
      </c>
      <c r="H335" s="36" t="s">
        <v>65</v>
      </c>
      <c r="S335" s="39"/>
      <c r="BC335" s="39"/>
      <c r="BE335" s="39"/>
    </row>
    <row r="336" spans="1:57" x14ac:dyDescent="0.35">
      <c r="A336" s="36">
        <v>1057</v>
      </c>
      <c r="B336" s="36">
        <v>3</v>
      </c>
      <c r="C336" s="36">
        <v>0</v>
      </c>
      <c r="D336" s="36">
        <v>0</v>
      </c>
      <c r="E336" s="36">
        <v>0</v>
      </c>
      <c r="F336" s="36">
        <v>0</v>
      </c>
      <c r="G336" s="36" t="s">
        <v>64</v>
      </c>
      <c r="H336" s="36" t="s">
        <v>65</v>
      </c>
      <c r="S336" s="39"/>
      <c r="BC336" s="39"/>
      <c r="BE336" s="39"/>
    </row>
    <row r="337" spans="1:57" x14ac:dyDescent="0.35">
      <c r="A337" s="36">
        <v>1057</v>
      </c>
      <c r="B337" s="36">
        <v>5</v>
      </c>
      <c r="C337" s="36">
        <v>0</v>
      </c>
      <c r="D337" s="36">
        <v>0</v>
      </c>
      <c r="E337" s="36">
        <v>0</v>
      </c>
      <c r="F337" s="36">
        <v>0</v>
      </c>
      <c r="G337" s="36" t="s">
        <v>68</v>
      </c>
      <c r="H337" s="36" t="s">
        <v>65</v>
      </c>
      <c r="S337" s="39"/>
      <c r="BC337" s="39"/>
      <c r="BE337" s="39"/>
    </row>
    <row r="338" spans="1:57" x14ac:dyDescent="0.35">
      <c r="A338" s="36">
        <v>1057</v>
      </c>
      <c r="B338" s="36">
        <v>2</v>
      </c>
      <c r="C338" s="36">
        <v>0</v>
      </c>
      <c r="D338" s="36">
        <v>0</v>
      </c>
      <c r="E338" s="36">
        <v>0</v>
      </c>
      <c r="F338" s="36">
        <v>0</v>
      </c>
      <c r="G338" s="36" t="s">
        <v>64</v>
      </c>
      <c r="H338" s="36" t="s">
        <v>65</v>
      </c>
      <c r="S338" s="39"/>
      <c r="BC338" s="39"/>
      <c r="BE338" s="39"/>
    </row>
    <row r="339" spans="1:57" x14ac:dyDescent="0.35">
      <c r="A339" s="36">
        <v>1057</v>
      </c>
      <c r="B339" s="36">
        <v>2</v>
      </c>
      <c r="C339" s="36">
        <v>0</v>
      </c>
      <c r="D339" s="36">
        <v>0</v>
      </c>
      <c r="E339" s="36">
        <v>0</v>
      </c>
      <c r="F339" s="36">
        <v>0</v>
      </c>
      <c r="G339" s="36" t="s">
        <v>64</v>
      </c>
      <c r="H339" s="36" t="s">
        <v>65</v>
      </c>
      <c r="S339" s="39"/>
      <c r="BC339" s="39"/>
      <c r="BE339" s="39"/>
    </row>
    <row r="340" spans="1:57" x14ac:dyDescent="0.35">
      <c r="A340" s="36">
        <v>1057</v>
      </c>
      <c r="B340" s="36">
        <v>1</v>
      </c>
      <c r="C340" s="36">
        <v>0</v>
      </c>
      <c r="D340" s="36">
        <v>0</v>
      </c>
      <c r="E340" s="36">
        <v>0</v>
      </c>
      <c r="F340" s="36">
        <v>0</v>
      </c>
      <c r="G340" s="36" t="s">
        <v>64</v>
      </c>
      <c r="H340" s="36" t="s">
        <v>71</v>
      </c>
      <c r="S340" s="39"/>
      <c r="BC340" s="39"/>
      <c r="BE340" s="39"/>
    </row>
    <row r="341" spans="1:57" x14ac:dyDescent="0.35">
      <c r="A341" s="36">
        <v>1057</v>
      </c>
      <c r="B341" s="36">
        <v>2</v>
      </c>
      <c r="C341" s="36">
        <v>0</v>
      </c>
      <c r="D341" s="36">
        <v>0</v>
      </c>
      <c r="E341" s="36">
        <v>0</v>
      </c>
      <c r="F341" s="36">
        <v>0</v>
      </c>
      <c r="G341" s="36" t="s">
        <v>67</v>
      </c>
      <c r="H341" s="36" t="s">
        <v>65</v>
      </c>
      <c r="S341" s="39"/>
      <c r="BC341" s="39"/>
      <c r="BE341" s="39"/>
    </row>
    <row r="342" spans="1:57" x14ac:dyDescent="0.35">
      <c r="A342" s="36">
        <v>1057</v>
      </c>
      <c r="B342" s="36">
        <v>1</v>
      </c>
      <c r="C342" s="36">
        <v>2</v>
      </c>
      <c r="D342" s="36">
        <v>0</v>
      </c>
      <c r="E342" s="36">
        <v>0</v>
      </c>
      <c r="F342" s="36">
        <v>0</v>
      </c>
      <c r="G342" s="36" t="s">
        <v>66</v>
      </c>
      <c r="H342" s="36" t="s">
        <v>65</v>
      </c>
      <c r="S342" s="39"/>
      <c r="BC342" s="39"/>
      <c r="BE342" s="39"/>
    </row>
    <row r="343" spans="1:57" x14ac:dyDescent="0.35">
      <c r="A343" s="36">
        <v>1057</v>
      </c>
      <c r="B343" s="36">
        <v>3</v>
      </c>
      <c r="C343" s="36">
        <v>0</v>
      </c>
      <c r="D343" s="36">
        <v>0</v>
      </c>
      <c r="E343" s="36">
        <v>0</v>
      </c>
      <c r="F343" s="36">
        <v>0</v>
      </c>
      <c r="G343" s="36" t="s">
        <v>67</v>
      </c>
      <c r="H343" s="36" t="s">
        <v>65</v>
      </c>
      <c r="S343" s="39"/>
      <c r="BC343" s="39"/>
      <c r="BE343" s="39"/>
    </row>
    <row r="344" spans="1:57" x14ac:dyDescent="0.35">
      <c r="A344" s="36">
        <v>1057</v>
      </c>
      <c r="B344" s="36">
        <v>1</v>
      </c>
      <c r="C344" s="36">
        <v>0</v>
      </c>
      <c r="D344" s="36">
        <v>0</v>
      </c>
      <c r="E344" s="36">
        <v>0</v>
      </c>
      <c r="F344" s="36">
        <v>0</v>
      </c>
      <c r="G344" s="36" t="s">
        <v>64</v>
      </c>
      <c r="H344" s="36" t="s">
        <v>70</v>
      </c>
      <c r="S344" s="39"/>
      <c r="BC344" s="39"/>
      <c r="BE344" s="39"/>
    </row>
    <row r="345" spans="1:57" x14ac:dyDescent="0.35">
      <c r="A345" s="36">
        <v>1057</v>
      </c>
      <c r="B345" s="36">
        <v>2</v>
      </c>
      <c r="C345" s="36">
        <v>0</v>
      </c>
      <c r="D345" s="36">
        <v>0</v>
      </c>
      <c r="E345" s="36">
        <v>0</v>
      </c>
      <c r="F345" s="36">
        <v>0</v>
      </c>
      <c r="G345" s="36" t="s">
        <v>64</v>
      </c>
      <c r="H345" s="36" t="s">
        <v>65</v>
      </c>
      <c r="S345" s="39"/>
      <c r="BC345" s="39"/>
      <c r="BE345" s="39"/>
    </row>
    <row r="346" spans="1:57" x14ac:dyDescent="0.35">
      <c r="A346" s="36">
        <v>1057</v>
      </c>
      <c r="B346" s="36">
        <v>2</v>
      </c>
      <c r="C346" s="36">
        <v>0</v>
      </c>
      <c r="D346" s="36">
        <v>0</v>
      </c>
      <c r="E346" s="36">
        <v>0</v>
      </c>
      <c r="F346" s="36">
        <v>0</v>
      </c>
      <c r="G346" s="36" t="s">
        <v>66</v>
      </c>
      <c r="H346" s="36" t="s">
        <v>65</v>
      </c>
      <c r="S346" s="39"/>
      <c r="BC346" s="39"/>
      <c r="BE346" s="39"/>
    </row>
    <row r="347" spans="1:57" x14ac:dyDescent="0.35">
      <c r="A347" s="36">
        <v>1057</v>
      </c>
      <c r="B347" s="36">
        <v>2</v>
      </c>
      <c r="C347" s="36">
        <v>0</v>
      </c>
      <c r="D347" s="36">
        <v>0</v>
      </c>
      <c r="E347" s="36">
        <v>0</v>
      </c>
      <c r="F347" s="36">
        <v>0</v>
      </c>
      <c r="G347" s="36" t="s">
        <v>66</v>
      </c>
      <c r="H347" s="36" t="s">
        <v>65</v>
      </c>
      <c r="S347" s="39"/>
      <c r="BC347" s="39"/>
      <c r="BE347" s="39"/>
    </row>
    <row r="348" spans="1:57" x14ac:dyDescent="0.35">
      <c r="A348" s="36">
        <v>1057</v>
      </c>
      <c r="B348" s="36">
        <v>2</v>
      </c>
      <c r="C348" s="36">
        <v>0</v>
      </c>
      <c r="D348" s="36">
        <v>0</v>
      </c>
      <c r="E348" s="36">
        <v>0</v>
      </c>
      <c r="F348" s="36">
        <v>0</v>
      </c>
      <c r="G348" s="36" t="s">
        <v>64</v>
      </c>
      <c r="H348" s="36" t="s">
        <v>70</v>
      </c>
      <c r="S348" s="39"/>
      <c r="BC348" s="39"/>
      <c r="BE348" s="39"/>
    </row>
    <row r="349" spans="1:57" x14ac:dyDescent="0.35">
      <c r="A349" s="36">
        <v>1057</v>
      </c>
      <c r="B349" s="36">
        <v>2</v>
      </c>
      <c r="C349" s="36">
        <v>0</v>
      </c>
      <c r="D349" s="36">
        <v>0</v>
      </c>
      <c r="E349" s="36">
        <v>0</v>
      </c>
      <c r="F349" s="36">
        <v>0</v>
      </c>
      <c r="G349" s="36" t="s">
        <v>64</v>
      </c>
      <c r="H349" s="36" t="s">
        <v>65</v>
      </c>
      <c r="S349" s="39"/>
      <c r="BC349" s="39"/>
      <c r="BE349" s="39"/>
    </row>
    <row r="350" spans="1:57" x14ac:dyDescent="0.35">
      <c r="A350" s="36">
        <v>1057</v>
      </c>
      <c r="B350" s="36">
        <v>3</v>
      </c>
      <c r="C350" s="36">
        <v>0</v>
      </c>
      <c r="D350" s="36">
        <v>0</v>
      </c>
      <c r="E350" s="36">
        <v>0</v>
      </c>
      <c r="F350" s="36">
        <v>0</v>
      </c>
      <c r="G350" s="36" t="s">
        <v>64</v>
      </c>
      <c r="H350" s="36" t="s">
        <v>65</v>
      </c>
      <c r="S350" s="39"/>
      <c r="BC350" s="39"/>
      <c r="BE350" s="39"/>
    </row>
    <row r="351" spans="1:57" x14ac:dyDescent="0.35">
      <c r="A351" s="36">
        <v>1057</v>
      </c>
      <c r="B351" s="36">
        <v>4</v>
      </c>
      <c r="C351" s="36">
        <v>0</v>
      </c>
      <c r="D351" s="36">
        <v>0</v>
      </c>
      <c r="E351" s="36">
        <v>0</v>
      </c>
      <c r="F351" s="36">
        <v>0</v>
      </c>
      <c r="G351" s="36" t="s">
        <v>66</v>
      </c>
      <c r="H351" s="36" t="s">
        <v>65</v>
      </c>
      <c r="S351" s="39"/>
      <c r="BC351" s="39"/>
      <c r="BE351" s="39"/>
    </row>
    <row r="352" spans="1:57" x14ac:dyDescent="0.35">
      <c r="A352" s="36">
        <v>1057</v>
      </c>
      <c r="B352" s="36">
        <v>2</v>
      </c>
      <c r="C352" s="36">
        <v>0</v>
      </c>
      <c r="D352" s="36">
        <v>0</v>
      </c>
      <c r="E352" s="36">
        <v>0</v>
      </c>
      <c r="F352" s="36">
        <v>0</v>
      </c>
      <c r="G352" s="36" t="s">
        <v>64</v>
      </c>
      <c r="H352" s="36" t="s">
        <v>65</v>
      </c>
      <c r="S352" s="39"/>
      <c r="BC352" s="39"/>
      <c r="BE352" s="39"/>
    </row>
    <row r="353" spans="1:57" x14ac:dyDescent="0.35">
      <c r="A353" s="36">
        <v>1057</v>
      </c>
      <c r="B353" s="36">
        <v>4</v>
      </c>
      <c r="C353" s="36">
        <v>0</v>
      </c>
      <c r="D353" s="36">
        <v>0</v>
      </c>
      <c r="E353" s="36">
        <v>0</v>
      </c>
      <c r="F353" s="36">
        <v>0</v>
      </c>
      <c r="G353" s="36" t="s">
        <v>68</v>
      </c>
      <c r="H353" s="36" t="s">
        <v>65</v>
      </c>
      <c r="S353" s="39"/>
      <c r="BC353" s="39"/>
      <c r="BE353" s="39"/>
    </row>
    <row r="354" spans="1:57" x14ac:dyDescent="0.35">
      <c r="A354" s="36">
        <v>1057</v>
      </c>
      <c r="B354" s="36">
        <v>1</v>
      </c>
      <c r="C354" s="36">
        <v>1</v>
      </c>
      <c r="D354" s="36">
        <v>0</v>
      </c>
      <c r="E354" s="36">
        <v>0</v>
      </c>
      <c r="F354" s="36">
        <v>0</v>
      </c>
      <c r="G354" s="36" t="s">
        <v>67</v>
      </c>
      <c r="H354" s="36" t="s">
        <v>65</v>
      </c>
      <c r="S354" s="39"/>
      <c r="BC354" s="39"/>
      <c r="BE354" s="39"/>
    </row>
    <row r="355" spans="1:57" x14ac:dyDescent="0.35">
      <c r="A355" s="36">
        <v>1057</v>
      </c>
      <c r="B355" s="36">
        <v>0</v>
      </c>
      <c r="C355" s="36">
        <v>0</v>
      </c>
      <c r="D355" s="36">
        <v>2</v>
      </c>
      <c r="E355" s="36">
        <v>0</v>
      </c>
      <c r="F355" s="36">
        <v>0</v>
      </c>
      <c r="G355" s="36" t="s">
        <v>64</v>
      </c>
      <c r="H355" s="36" t="s">
        <v>65</v>
      </c>
      <c r="S355" s="39"/>
      <c r="BC355" s="39"/>
      <c r="BE355" s="39"/>
    </row>
    <row r="356" spans="1:57" x14ac:dyDescent="0.35">
      <c r="A356" s="36">
        <v>1057</v>
      </c>
      <c r="B356" s="36">
        <v>4</v>
      </c>
      <c r="C356" s="36">
        <v>0</v>
      </c>
      <c r="D356" s="36">
        <v>0</v>
      </c>
      <c r="E356" s="36">
        <v>0</v>
      </c>
      <c r="F356" s="36">
        <v>0</v>
      </c>
      <c r="G356" s="36" t="s">
        <v>67</v>
      </c>
      <c r="H356" s="36" t="s">
        <v>65</v>
      </c>
      <c r="S356" s="39"/>
      <c r="BC356" s="39"/>
      <c r="BE356" s="39"/>
    </row>
    <row r="357" spans="1:57" x14ac:dyDescent="0.35">
      <c r="A357" s="36">
        <v>1057</v>
      </c>
      <c r="B357" s="36">
        <v>2</v>
      </c>
      <c r="C357" s="36">
        <v>0</v>
      </c>
      <c r="D357" s="36">
        <v>0</v>
      </c>
      <c r="E357" s="36">
        <v>0</v>
      </c>
      <c r="F357" s="36">
        <v>0</v>
      </c>
      <c r="G357" s="36" t="s">
        <v>64</v>
      </c>
      <c r="H357" s="36" t="s">
        <v>65</v>
      </c>
      <c r="S357" s="39"/>
      <c r="BC357" s="39"/>
      <c r="BE357" s="39"/>
    </row>
    <row r="358" spans="1:57" x14ac:dyDescent="0.35">
      <c r="A358" s="36">
        <v>1057</v>
      </c>
      <c r="B358" s="36">
        <v>2</v>
      </c>
      <c r="C358" s="36">
        <v>0</v>
      </c>
      <c r="D358" s="36">
        <v>0</v>
      </c>
      <c r="E358" s="36">
        <v>0</v>
      </c>
      <c r="F358" s="36">
        <v>1</v>
      </c>
      <c r="G358" s="36" t="s">
        <v>64</v>
      </c>
      <c r="H358" s="36" t="s">
        <v>75</v>
      </c>
      <c r="S358" s="39"/>
      <c r="BC358" s="39"/>
      <c r="BE358" s="39"/>
    </row>
    <row r="359" spans="1:57" x14ac:dyDescent="0.35">
      <c r="A359" s="36">
        <v>1057</v>
      </c>
      <c r="B359" s="36">
        <v>2</v>
      </c>
      <c r="C359" s="36">
        <v>0</v>
      </c>
      <c r="D359" s="36">
        <v>0</v>
      </c>
      <c r="E359" s="36">
        <v>0</v>
      </c>
      <c r="F359" s="36">
        <v>0</v>
      </c>
      <c r="G359" s="36" t="s">
        <v>64</v>
      </c>
      <c r="H359" s="36" t="s">
        <v>65</v>
      </c>
      <c r="S359" s="39"/>
      <c r="BC359" s="39"/>
      <c r="BE359" s="39"/>
    </row>
    <row r="360" spans="1:57" x14ac:dyDescent="0.35">
      <c r="A360" s="36">
        <v>1057</v>
      </c>
      <c r="B360" s="36">
        <v>1</v>
      </c>
      <c r="C360" s="36">
        <v>0</v>
      </c>
      <c r="D360" s="36">
        <v>0</v>
      </c>
      <c r="E360" s="36">
        <v>0</v>
      </c>
      <c r="F360" s="36">
        <v>0</v>
      </c>
      <c r="G360" s="36" t="s">
        <v>64</v>
      </c>
      <c r="H360" s="36" t="s">
        <v>70</v>
      </c>
      <c r="S360" s="39"/>
      <c r="BC360" s="39"/>
      <c r="BE360" s="39"/>
    </row>
    <row r="361" spans="1:57" x14ac:dyDescent="0.35">
      <c r="A361" s="36">
        <v>1057</v>
      </c>
      <c r="B361" s="36">
        <v>4</v>
      </c>
      <c r="C361" s="36">
        <v>0</v>
      </c>
      <c r="D361" s="36">
        <v>0</v>
      </c>
      <c r="E361" s="36">
        <v>0</v>
      </c>
      <c r="F361" s="36">
        <v>0</v>
      </c>
      <c r="G361" s="36" t="s">
        <v>64</v>
      </c>
      <c r="H361" s="36" t="s">
        <v>65</v>
      </c>
      <c r="S361" s="39"/>
      <c r="BC361" s="39"/>
      <c r="BE361" s="39"/>
    </row>
    <row r="362" spans="1:57" x14ac:dyDescent="0.35">
      <c r="A362" s="36">
        <v>1057</v>
      </c>
      <c r="B362" s="36">
        <v>4</v>
      </c>
      <c r="C362" s="36">
        <v>0</v>
      </c>
      <c r="D362" s="36">
        <v>0</v>
      </c>
      <c r="E362" s="36">
        <v>0</v>
      </c>
      <c r="F362" s="36">
        <v>0</v>
      </c>
      <c r="G362" s="36" t="s">
        <v>64</v>
      </c>
      <c r="H362" s="36" t="s">
        <v>65</v>
      </c>
      <c r="S362" s="39"/>
      <c r="BC362" s="39"/>
      <c r="BE362" s="39"/>
    </row>
    <row r="363" spans="1:57" x14ac:dyDescent="0.35">
      <c r="A363" s="36">
        <v>1057</v>
      </c>
      <c r="B363" s="36">
        <v>2</v>
      </c>
      <c r="C363" s="36">
        <v>0</v>
      </c>
      <c r="D363" s="36">
        <v>1</v>
      </c>
      <c r="E363" s="36">
        <v>0</v>
      </c>
      <c r="F363" s="36">
        <v>0</v>
      </c>
      <c r="G363" s="36" t="s">
        <v>64</v>
      </c>
      <c r="H363" s="36" t="s">
        <v>65</v>
      </c>
      <c r="S363" s="39"/>
      <c r="BC363" s="39"/>
      <c r="BE363" s="39"/>
    </row>
    <row r="364" spans="1:57" x14ac:dyDescent="0.35">
      <c r="A364" s="36">
        <v>1057</v>
      </c>
      <c r="B364" s="36">
        <v>2</v>
      </c>
      <c r="C364" s="36">
        <v>0</v>
      </c>
      <c r="D364" s="36">
        <v>0</v>
      </c>
      <c r="E364" s="36">
        <v>0</v>
      </c>
      <c r="F364" s="36">
        <v>0</v>
      </c>
      <c r="G364" s="36" t="s">
        <v>64</v>
      </c>
      <c r="H364" s="36" t="s">
        <v>65</v>
      </c>
      <c r="S364" s="39"/>
      <c r="BC364" s="39"/>
      <c r="BE364" s="39"/>
    </row>
    <row r="365" spans="1:57" x14ac:dyDescent="0.35">
      <c r="A365" s="36">
        <v>1057</v>
      </c>
      <c r="B365" s="36">
        <v>5</v>
      </c>
      <c r="C365" s="36">
        <v>0</v>
      </c>
      <c r="D365" s="36">
        <v>0</v>
      </c>
      <c r="E365" s="36">
        <v>0</v>
      </c>
      <c r="F365" s="36">
        <v>0</v>
      </c>
      <c r="G365" s="36" t="s">
        <v>64</v>
      </c>
      <c r="H365" s="36" t="s">
        <v>65</v>
      </c>
      <c r="S365" s="39"/>
      <c r="BC365" s="39"/>
      <c r="BE365" s="39"/>
    </row>
    <row r="366" spans="1:57" x14ac:dyDescent="0.35">
      <c r="A366" s="36">
        <v>1057</v>
      </c>
      <c r="B366" s="36">
        <v>2</v>
      </c>
      <c r="C366" s="36">
        <v>0</v>
      </c>
      <c r="D366" s="36">
        <v>0</v>
      </c>
      <c r="E366" s="36">
        <v>0</v>
      </c>
      <c r="F366" s="36">
        <v>0</v>
      </c>
      <c r="G366" s="36" t="s">
        <v>66</v>
      </c>
      <c r="H366" s="36" t="s">
        <v>65</v>
      </c>
      <c r="S366" s="39"/>
      <c r="BC366" s="39"/>
      <c r="BE366" s="39"/>
    </row>
    <row r="367" spans="1:57" x14ac:dyDescent="0.35">
      <c r="A367" s="36">
        <v>1057</v>
      </c>
      <c r="B367" s="36">
        <v>1</v>
      </c>
      <c r="C367" s="36">
        <v>2</v>
      </c>
      <c r="D367" s="36">
        <v>0</v>
      </c>
      <c r="E367" s="36">
        <v>0</v>
      </c>
      <c r="F367" s="36">
        <v>0</v>
      </c>
      <c r="G367" s="36" t="s">
        <v>64</v>
      </c>
      <c r="H367" s="36" t="s">
        <v>65</v>
      </c>
      <c r="S367" s="39"/>
      <c r="BC367" s="39"/>
      <c r="BE367" s="39"/>
    </row>
    <row r="368" spans="1:57" x14ac:dyDescent="0.35">
      <c r="A368" s="36">
        <v>1057</v>
      </c>
      <c r="B368" s="36">
        <v>4</v>
      </c>
      <c r="C368" s="36">
        <v>0</v>
      </c>
      <c r="D368" s="36">
        <v>0</v>
      </c>
      <c r="E368" s="36">
        <v>0</v>
      </c>
      <c r="F368" s="36">
        <v>0</v>
      </c>
      <c r="G368" s="36" t="s">
        <v>64</v>
      </c>
      <c r="H368" s="36" t="s">
        <v>65</v>
      </c>
      <c r="S368" s="39"/>
      <c r="BC368" s="39"/>
      <c r="BE368" s="39"/>
    </row>
    <row r="369" spans="1:57" x14ac:dyDescent="0.35">
      <c r="A369" s="36">
        <v>1057</v>
      </c>
      <c r="B369" s="36">
        <v>3</v>
      </c>
      <c r="C369" s="36">
        <v>0</v>
      </c>
      <c r="D369" s="36">
        <v>0</v>
      </c>
      <c r="E369" s="36">
        <v>0</v>
      </c>
      <c r="F369" s="36">
        <v>0</v>
      </c>
      <c r="G369" s="36" t="s">
        <v>64</v>
      </c>
      <c r="H369" s="36" t="s">
        <v>65</v>
      </c>
      <c r="S369" s="39"/>
      <c r="BC369" s="39"/>
      <c r="BE369" s="39"/>
    </row>
    <row r="370" spans="1:57" x14ac:dyDescent="0.35">
      <c r="A370" s="36">
        <v>1057</v>
      </c>
      <c r="B370" s="36">
        <v>2</v>
      </c>
      <c r="C370" s="36">
        <v>0</v>
      </c>
      <c r="D370" s="36">
        <v>0</v>
      </c>
      <c r="E370" s="36">
        <v>0</v>
      </c>
      <c r="F370" s="36">
        <v>0</v>
      </c>
      <c r="G370" s="36" t="s">
        <v>64</v>
      </c>
      <c r="H370" s="36" t="s">
        <v>65</v>
      </c>
      <c r="S370" s="39"/>
      <c r="BC370" s="39"/>
      <c r="BE370" s="39"/>
    </row>
    <row r="371" spans="1:57" x14ac:dyDescent="0.35">
      <c r="A371" s="36">
        <v>1057</v>
      </c>
      <c r="B371" s="36">
        <v>3</v>
      </c>
      <c r="C371" s="36">
        <v>0</v>
      </c>
      <c r="D371" s="36">
        <v>0</v>
      </c>
      <c r="E371" s="36">
        <v>0</v>
      </c>
      <c r="F371" s="36">
        <v>0</v>
      </c>
      <c r="G371" s="36" t="s">
        <v>64</v>
      </c>
      <c r="H371" s="36" t="s">
        <v>75</v>
      </c>
      <c r="S371" s="39"/>
      <c r="BC371" s="39"/>
      <c r="BE371" s="39"/>
    </row>
    <row r="372" spans="1:57" x14ac:dyDescent="0.35">
      <c r="A372" s="36">
        <v>1057</v>
      </c>
      <c r="B372" s="36">
        <v>2</v>
      </c>
      <c r="C372" s="36">
        <v>0</v>
      </c>
      <c r="D372" s="36">
        <v>0</v>
      </c>
      <c r="E372" s="36">
        <v>0</v>
      </c>
      <c r="F372" s="36">
        <v>0</v>
      </c>
      <c r="G372" s="36" t="s">
        <v>64</v>
      </c>
      <c r="H372" s="36" t="s">
        <v>65</v>
      </c>
      <c r="S372" s="39"/>
      <c r="BC372" s="39"/>
      <c r="BE372" s="39"/>
    </row>
    <row r="373" spans="1:57" x14ac:dyDescent="0.35">
      <c r="A373" s="36">
        <v>1057</v>
      </c>
      <c r="B373" s="36">
        <v>3</v>
      </c>
      <c r="C373" s="36">
        <v>0</v>
      </c>
      <c r="D373" s="36">
        <v>0</v>
      </c>
      <c r="E373" s="36">
        <v>0</v>
      </c>
      <c r="F373" s="36">
        <v>0</v>
      </c>
      <c r="G373" s="36" t="s">
        <v>66</v>
      </c>
      <c r="H373" s="36" t="s">
        <v>65</v>
      </c>
      <c r="S373" s="39"/>
      <c r="BC373" s="39"/>
      <c r="BE373" s="39"/>
    </row>
    <row r="374" spans="1:57" x14ac:dyDescent="0.35">
      <c r="A374" s="36">
        <v>1057</v>
      </c>
      <c r="B374" s="36">
        <v>2</v>
      </c>
      <c r="C374" s="36">
        <v>0</v>
      </c>
      <c r="D374" s="36">
        <v>0</v>
      </c>
      <c r="E374" s="36">
        <v>0</v>
      </c>
      <c r="F374" s="36">
        <v>0</v>
      </c>
      <c r="G374" s="36" t="s">
        <v>64</v>
      </c>
      <c r="H374" s="36" t="s">
        <v>65</v>
      </c>
      <c r="S374" s="39"/>
      <c r="BC374" s="39"/>
      <c r="BE374" s="39"/>
    </row>
    <row r="375" spans="1:57" x14ac:dyDescent="0.35">
      <c r="A375" s="36">
        <v>1057</v>
      </c>
      <c r="B375" s="36">
        <v>5</v>
      </c>
      <c r="C375" s="36">
        <v>0</v>
      </c>
      <c r="D375" s="36">
        <v>0</v>
      </c>
      <c r="E375" s="36">
        <v>0</v>
      </c>
      <c r="F375" s="36">
        <v>0</v>
      </c>
      <c r="G375" s="36" t="s">
        <v>64</v>
      </c>
      <c r="H375" s="36" t="s">
        <v>65</v>
      </c>
      <c r="S375" s="39"/>
      <c r="BC375" s="39"/>
      <c r="BE375" s="39"/>
    </row>
    <row r="376" spans="1:57" x14ac:dyDescent="0.35">
      <c r="A376" s="36">
        <v>1057</v>
      </c>
      <c r="B376" s="36">
        <v>1</v>
      </c>
      <c r="C376" s="36">
        <v>0</v>
      </c>
      <c r="D376" s="36">
        <v>0</v>
      </c>
      <c r="E376" s="36">
        <v>0</v>
      </c>
      <c r="F376" s="36">
        <v>0</v>
      </c>
      <c r="G376" s="36" t="s">
        <v>64</v>
      </c>
      <c r="H376" s="36" t="s">
        <v>70</v>
      </c>
      <c r="S376" s="39"/>
      <c r="BC376" s="39"/>
      <c r="BE376" s="39"/>
    </row>
    <row r="377" spans="1:57" x14ac:dyDescent="0.35">
      <c r="A377" s="36">
        <v>1057</v>
      </c>
      <c r="B377" s="36">
        <v>2</v>
      </c>
      <c r="C377" s="36">
        <v>0</v>
      </c>
      <c r="D377" s="36">
        <v>0</v>
      </c>
      <c r="E377" s="36">
        <v>0</v>
      </c>
      <c r="F377" s="36">
        <v>0</v>
      </c>
      <c r="G377" s="36" t="s">
        <v>64</v>
      </c>
      <c r="H377" s="36" t="s">
        <v>65</v>
      </c>
      <c r="S377" s="39"/>
      <c r="BC377" s="39"/>
      <c r="BE377" s="39"/>
    </row>
    <row r="378" spans="1:57" x14ac:dyDescent="0.35">
      <c r="A378" s="36">
        <v>1057</v>
      </c>
      <c r="B378" s="36">
        <v>2</v>
      </c>
      <c r="C378" s="36">
        <v>0</v>
      </c>
      <c r="D378" s="36">
        <v>0</v>
      </c>
      <c r="E378" s="36">
        <v>0</v>
      </c>
      <c r="F378" s="36">
        <v>0</v>
      </c>
      <c r="G378" s="36" t="s">
        <v>66</v>
      </c>
      <c r="H378" s="36" t="s">
        <v>65</v>
      </c>
      <c r="S378" s="39"/>
      <c r="BC378" s="39"/>
      <c r="BE378" s="39"/>
    </row>
    <row r="379" spans="1:57" x14ac:dyDescent="0.35">
      <c r="A379" s="36">
        <v>1057</v>
      </c>
      <c r="B379" s="36">
        <v>2</v>
      </c>
      <c r="C379" s="36">
        <v>0</v>
      </c>
      <c r="D379" s="36">
        <v>0</v>
      </c>
      <c r="E379" s="36">
        <v>0</v>
      </c>
      <c r="F379" s="36">
        <v>0</v>
      </c>
      <c r="G379" s="36" t="s">
        <v>66</v>
      </c>
      <c r="H379" s="36" t="s">
        <v>65</v>
      </c>
      <c r="S379" s="39"/>
      <c r="BC379" s="39"/>
      <c r="BE379" s="39"/>
    </row>
    <row r="380" spans="1:57" x14ac:dyDescent="0.35">
      <c r="A380" s="36">
        <v>1057</v>
      </c>
      <c r="B380" s="36">
        <v>1</v>
      </c>
      <c r="C380" s="36">
        <v>0</v>
      </c>
      <c r="D380" s="36">
        <v>0</v>
      </c>
      <c r="E380" s="36">
        <v>0</v>
      </c>
      <c r="F380" s="36">
        <v>0</v>
      </c>
      <c r="G380" s="36" t="s">
        <v>64</v>
      </c>
      <c r="H380" s="36" t="s">
        <v>70</v>
      </c>
      <c r="S380" s="39"/>
      <c r="BC380" s="39"/>
      <c r="BE380" s="39"/>
    </row>
    <row r="381" spans="1:57" x14ac:dyDescent="0.35">
      <c r="A381" s="36">
        <v>1057</v>
      </c>
      <c r="B381" s="36">
        <v>5</v>
      </c>
      <c r="C381" s="36">
        <v>0</v>
      </c>
      <c r="D381" s="36">
        <v>0</v>
      </c>
      <c r="E381" s="36">
        <v>0</v>
      </c>
      <c r="F381" s="36">
        <v>0</v>
      </c>
      <c r="G381" s="36" t="s">
        <v>64</v>
      </c>
      <c r="H381" s="36" t="s">
        <v>65</v>
      </c>
      <c r="S381" s="39"/>
      <c r="BC381" s="39"/>
      <c r="BE381" s="39"/>
    </row>
    <row r="382" spans="1:57" x14ac:dyDescent="0.35">
      <c r="A382" s="36">
        <v>1057</v>
      </c>
      <c r="B382" s="36">
        <v>4</v>
      </c>
      <c r="C382" s="36">
        <v>0</v>
      </c>
      <c r="D382" s="36">
        <v>0</v>
      </c>
      <c r="E382" s="36">
        <v>0</v>
      </c>
      <c r="F382" s="36">
        <v>0</v>
      </c>
      <c r="G382" s="36" t="s">
        <v>64</v>
      </c>
      <c r="H382" s="36" t="s">
        <v>65</v>
      </c>
      <c r="S382" s="39"/>
      <c r="BC382" s="39"/>
      <c r="BE382" s="39"/>
    </row>
    <row r="383" spans="1:57" x14ac:dyDescent="0.35">
      <c r="A383" s="36">
        <v>1057</v>
      </c>
      <c r="B383" s="36">
        <v>1</v>
      </c>
      <c r="C383" s="36">
        <v>0</v>
      </c>
      <c r="D383" s="36">
        <v>0</v>
      </c>
      <c r="E383" s="36">
        <v>0</v>
      </c>
      <c r="F383" s="36">
        <v>0</v>
      </c>
      <c r="G383" s="36" t="s">
        <v>64</v>
      </c>
      <c r="H383" s="36" t="s">
        <v>65</v>
      </c>
      <c r="S383" s="39"/>
      <c r="BC383" s="39"/>
      <c r="BE383" s="39"/>
    </row>
    <row r="384" spans="1:57" x14ac:dyDescent="0.35">
      <c r="A384" s="36">
        <v>1057</v>
      </c>
      <c r="B384" s="36">
        <v>1</v>
      </c>
      <c r="C384" s="36">
        <v>0</v>
      </c>
      <c r="D384" s="36">
        <v>0</v>
      </c>
      <c r="E384" s="36">
        <v>0</v>
      </c>
      <c r="F384" s="36">
        <v>0</v>
      </c>
      <c r="G384" s="36" t="s">
        <v>64</v>
      </c>
      <c r="H384" s="36" t="s">
        <v>65</v>
      </c>
      <c r="S384" s="39"/>
      <c r="BC384" s="39"/>
      <c r="BE384" s="39"/>
    </row>
    <row r="385" spans="1:57" x14ac:dyDescent="0.35">
      <c r="A385" s="36">
        <v>1057</v>
      </c>
      <c r="B385" s="36">
        <v>2</v>
      </c>
      <c r="C385" s="36">
        <v>0</v>
      </c>
      <c r="D385" s="36">
        <v>0</v>
      </c>
      <c r="E385" s="36">
        <v>0</v>
      </c>
      <c r="F385" s="36">
        <v>0</v>
      </c>
      <c r="G385" s="36" t="s">
        <v>64</v>
      </c>
      <c r="H385" s="36" t="s">
        <v>65</v>
      </c>
      <c r="S385" s="39"/>
      <c r="BC385" s="39"/>
      <c r="BE385" s="39"/>
    </row>
    <row r="386" spans="1:57" x14ac:dyDescent="0.35">
      <c r="A386" s="36">
        <v>1057</v>
      </c>
      <c r="B386" s="36">
        <v>2</v>
      </c>
      <c r="C386" s="36">
        <v>0</v>
      </c>
      <c r="D386" s="36">
        <v>1</v>
      </c>
      <c r="E386" s="36">
        <v>0</v>
      </c>
      <c r="F386" s="36">
        <v>0</v>
      </c>
      <c r="G386" s="36" t="s">
        <v>64</v>
      </c>
      <c r="H386" s="36" t="s">
        <v>65</v>
      </c>
      <c r="S386" s="39"/>
      <c r="BC386" s="39"/>
      <c r="BE386" s="39"/>
    </row>
    <row r="387" spans="1:57" x14ac:dyDescent="0.35">
      <c r="A387" s="36">
        <v>1057</v>
      </c>
      <c r="B387" s="36">
        <v>3</v>
      </c>
      <c r="C387" s="36">
        <v>0</v>
      </c>
      <c r="D387" s="36">
        <v>0</v>
      </c>
      <c r="E387" s="36">
        <v>0</v>
      </c>
      <c r="F387" s="36">
        <v>0</v>
      </c>
      <c r="G387" s="36" t="s">
        <v>64</v>
      </c>
      <c r="H387" s="36" t="s">
        <v>65</v>
      </c>
      <c r="S387" s="39"/>
      <c r="BC387" s="39"/>
      <c r="BE387" s="39"/>
    </row>
    <row r="388" spans="1:57" x14ac:dyDescent="0.35">
      <c r="A388" s="36">
        <v>1057</v>
      </c>
      <c r="B388" s="36">
        <v>2</v>
      </c>
      <c r="C388" s="36">
        <v>0</v>
      </c>
      <c r="D388" s="36">
        <v>0</v>
      </c>
      <c r="E388" s="36">
        <v>0</v>
      </c>
      <c r="F388" s="36">
        <v>0</v>
      </c>
      <c r="G388" s="36" t="s">
        <v>66</v>
      </c>
      <c r="H388" s="36" t="s">
        <v>65</v>
      </c>
      <c r="S388" s="39"/>
      <c r="BC388" s="39"/>
      <c r="BE388" s="39"/>
    </row>
    <row r="389" spans="1:57" x14ac:dyDescent="0.35">
      <c r="A389" s="36">
        <v>1057</v>
      </c>
      <c r="B389" s="36">
        <v>2</v>
      </c>
      <c r="C389" s="36">
        <v>0</v>
      </c>
      <c r="D389" s="36">
        <v>0</v>
      </c>
      <c r="E389" s="36">
        <v>0</v>
      </c>
      <c r="F389" s="36">
        <v>0</v>
      </c>
      <c r="G389" s="36" t="s">
        <v>64</v>
      </c>
      <c r="H389" s="36" t="s">
        <v>65</v>
      </c>
      <c r="S389" s="39"/>
      <c r="BC389" s="39"/>
      <c r="BE389" s="39"/>
    </row>
    <row r="390" spans="1:57" x14ac:dyDescent="0.35">
      <c r="A390" s="36">
        <v>1057</v>
      </c>
      <c r="B390" s="36">
        <v>1</v>
      </c>
      <c r="C390" s="36">
        <v>0</v>
      </c>
      <c r="D390" s="36">
        <v>0</v>
      </c>
      <c r="E390" s="36">
        <v>0</v>
      </c>
      <c r="F390" s="36">
        <v>0</v>
      </c>
      <c r="G390" s="36" t="s">
        <v>64</v>
      </c>
      <c r="H390" s="36" t="s">
        <v>70</v>
      </c>
      <c r="S390" s="39"/>
      <c r="BC390" s="39"/>
      <c r="BE390" s="39"/>
    </row>
    <row r="391" spans="1:57" x14ac:dyDescent="0.35">
      <c r="A391" s="36">
        <v>1057</v>
      </c>
      <c r="B391" s="36">
        <v>4</v>
      </c>
      <c r="C391" s="36">
        <v>0</v>
      </c>
      <c r="D391" s="36">
        <v>0</v>
      </c>
      <c r="E391" s="36">
        <v>0</v>
      </c>
      <c r="F391" s="36">
        <v>0</v>
      </c>
      <c r="G391" s="36" t="s">
        <v>66</v>
      </c>
      <c r="H391" s="36" t="s">
        <v>65</v>
      </c>
      <c r="S391" s="39"/>
      <c r="BC391" s="39"/>
      <c r="BE391" s="39"/>
    </row>
    <row r="392" spans="1:57" x14ac:dyDescent="0.35">
      <c r="A392" s="36">
        <v>1057</v>
      </c>
      <c r="B392" s="36">
        <v>3</v>
      </c>
      <c r="C392" s="36">
        <v>0</v>
      </c>
      <c r="D392" s="36">
        <v>0</v>
      </c>
      <c r="E392" s="36">
        <v>0</v>
      </c>
      <c r="F392" s="36">
        <v>0</v>
      </c>
      <c r="G392" s="36" t="s">
        <v>64</v>
      </c>
      <c r="H392" s="36" t="s">
        <v>71</v>
      </c>
      <c r="S392" s="39"/>
      <c r="BC392" s="39"/>
      <c r="BE392" s="39"/>
    </row>
    <row r="393" spans="1:57" x14ac:dyDescent="0.35">
      <c r="A393" s="36">
        <v>1057</v>
      </c>
      <c r="B393" s="36">
        <v>2</v>
      </c>
      <c r="C393" s="36">
        <v>0</v>
      </c>
      <c r="D393" s="36">
        <v>0</v>
      </c>
      <c r="E393" s="36">
        <v>0</v>
      </c>
      <c r="F393" s="36">
        <v>0</v>
      </c>
      <c r="G393" s="36" t="s">
        <v>64</v>
      </c>
      <c r="H393" s="36" t="s">
        <v>65</v>
      </c>
      <c r="S393" s="39"/>
      <c r="BC393" s="39"/>
      <c r="BE393" s="39"/>
    </row>
    <row r="394" spans="1:57" x14ac:dyDescent="0.35">
      <c r="A394" s="36">
        <v>1057</v>
      </c>
      <c r="B394" s="36">
        <v>3</v>
      </c>
      <c r="C394" s="36">
        <v>0</v>
      </c>
      <c r="D394" s="36">
        <v>0</v>
      </c>
      <c r="E394" s="36">
        <v>0</v>
      </c>
      <c r="F394" s="36">
        <v>0</v>
      </c>
      <c r="G394" s="36" t="s">
        <v>64</v>
      </c>
      <c r="H394" s="36" t="s">
        <v>65</v>
      </c>
      <c r="S394" s="39"/>
      <c r="BC394" s="39"/>
      <c r="BE394" s="39"/>
    </row>
    <row r="395" spans="1:57" x14ac:dyDescent="0.35">
      <c r="A395" s="36">
        <v>1057</v>
      </c>
      <c r="B395" s="36">
        <v>3</v>
      </c>
      <c r="C395" s="36">
        <v>0</v>
      </c>
      <c r="D395" s="36">
        <v>0</v>
      </c>
      <c r="E395" s="36">
        <v>0</v>
      </c>
      <c r="F395" s="36">
        <v>0</v>
      </c>
      <c r="G395" s="36" t="s">
        <v>66</v>
      </c>
      <c r="H395" s="36" t="s">
        <v>65</v>
      </c>
      <c r="S395" s="39"/>
      <c r="BC395" s="39"/>
      <c r="BE395" s="39"/>
    </row>
    <row r="396" spans="1:57" x14ac:dyDescent="0.35">
      <c r="A396" s="36">
        <v>1057</v>
      </c>
      <c r="B396" s="36">
        <v>2</v>
      </c>
      <c r="C396" s="36">
        <v>0</v>
      </c>
      <c r="D396" s="36">
        <v>0</v>
      </c>
      <c r="E396" s="36">
        <v>0</v>
      </c>
      <c r="F396" s="36">
        <v>0</v>
      </c>
      <c r="G396" s="36" t="s">
        <v>68</v>
      </c>
      <c r="H396" s="36" t="s">
        <v>65</v>
      </c>
      <c r="S396" s="39"/>
      <c r="BC396" s="39"/>
      <c r="BE396" s="39"/>
    </row>
    <row r="397" spans="1:57" x14ac:dyDescent="0.35">
      <c r="A397" s="36">
        <v>1057</v>
      </c>
      <c r="B397" s="36">
        <v>1</v>
      </c>
      <c r="C397" s="36">
        <v>0</v>
      </c>
      <c r="D397" s="36">
        <v>0</v>
      </c>
      <c r="E397" s="36">
        <v>0</v>
      </c>
      <c r="F397" s="36">
        <v>1</v>
      </c>
      <c r="G397" s="36" t="s">
        <v>67</v>
      </c>
      <c r="H397" s="36" t="s">
        <v>65</v>
      </c>
      <c r="S397" s="39"/>
      <c r="BC397" s="39"/>
      <c r="BE397" s="39"/>
    </row>
    <row r="398" spans="1:57" x14ac:dyDescent="0.35">
      <c r="A398" s="36">
        <v>1057</v>
      </c>
      <c r="B398" s="36">
        <v>1</v>
      </c>
      <c r="C398" s="36">
        <v>0</v>
      </c>
      <c r="D398" s="36">
        <v>0</v>
      </c>
      <c r="E398" s="36">
        <v>0</v>
      </c>
      <c r="F398" s="36">
        <v>0</v>
      </c>
      <c r="G398" s="36" t="s">
        <v>64</v>
      </c>
      <c r="H398" s="36" t="s">
        <v>65</v>
      </c>
      <c r="S398" s="39"/>
      <c r="BC398" s="39"/>
      <c r="BE398" s="39"/>
    </row>
    <row r="399" spans="1:57" x14ac:dyDescent="0.35">
      <c r="A399" s="36">
        <v>1057</v>
      </c>
      <c r="B399" s="36">
        <v>2</v>
      </c>
      <c r="C399" s="36">
        <v>0</v>
      </c>
      <c r="D399" s="36">
        <v>0</v>
      </c>
      <c r="E399" s="36">
        <v>0</v>
      </c>
      <c r="F399" s="36">
        <v>0</v>
      </c>
      <c r="G399" s="36" t="s">
        <v>64</v>
      </c>
      <c r="H399" s="36" t="s">
        <v>65</v>
      </c>
      <c r="S399" s="39"/>
      <c r="BC399" s="39"/>
      <c r="BE399" s="39"/>
    </row>
    <row r="400" spans="1:57" x14ac:dyDescent="0.35">
      <c r="A400" s="36">
        <v>1057</v>
      </c>
      <c r="B400" s="36">
        <v>4</v>
      </c>
      <c r="C400" s="36">
        <v>0</v>
      </c>
      <c r="D400" s="36">
        <v>0</v>
      </c>
      <c r="E400" s="36">
        <v>0</v>
      </c>
      <c r="F400" s="36">
        <v>0</v>
      </c>
      <c r="G400" s="36" t="s">
        <v>67</v>
      </c>
      <c r="H400" s="36" t="s">
        <v>65</v>
      </c>
      <c r="S400" s="39"/>
      <c r="BC400" s="39"/>
      <c r="BE400" s="39"/>
    </row>
    <row r="401" spans="1:57" x14ac:dyDescent="0.35">
      <c r="A401" s="36">
        <v>1057</v>
      </c>
      <c r="B401" s="36">
        <v>3</v>
      </c>
      <c r="C401" s="36">
        <v>0</v>
      </c>
      <c r="D401" s="36">
        <v>0</v>
      </c>
      <c r="E401" s="36">
        <v>0</v>
      </c>
      <c r="F401" s="36">
        <v>0</v>
      </c>
      <c r="G401" s="36" t="s">
        <v>64</v>
      </c>
      <c r="H401" s="36" t="s">
        <v>70</v>
      </c>
      <c r="S401" s="39"/>
      <c r="BC401" s="39"/>
      <c r="BE401" s="39"/>
    </row>
    <row r="402" spans="1:57" x14ac:dyDescent="0.35">
      <c r="A402" s="36">
        <v>1057</v>
      </c>
      <c r="B402" s="36">
        <v>1</v>
      </c>
      <c r="C402" s="36">
        <v>0</v>
      </c>
      <c r="D402" s="36">
        <v>0</v>
      </c>
      <c r="E402" s="36">
        <v>0</v>
      </c>
      <c r="F402" s="36">
        <v>0</v>
      </c>
      <c r="G402" s="36" t="s">
        <v>64</v>
      </c>
      <c r="H402" s="36" t="s">
        <v>70</v>
      </c>
      <c r="S402" s="39"/>
      <c r="BC402" s="39"/>
      <c r="BE402" s="39"/>
    </row>
    <row r="403" spans="1:57" x14ac:dyDescent="0.35">
      <c r="A403" s="36">
        <v>1057</v>
      </c>
      <c r="B403" s="36">
        <v>2</v>
      </c>
      <c r="C403" s="36">
        <v>0</v>
      </c>
      <c r="D403" s="36">
        <v>0</v>
      </c>
      <c r="E403" s="36">
        <v>0</v>
      </c>
      <c r="F403" s="36">
        <v>0</v>
      </c>
      <c r="G403" s="36" t="s">
        <v>64</v>
      </c>
      <c r="H403" s="36" t="s">
        <v>70</v>
      </c>
      <c r="S403" s="39"/>
      <c r="BC403" s="39"/>
      <c r="BE403" s="39"/>
    </row>
    <row r="404" spans="1:57" x14ac:dyDescent="0.35">
      <c r="A404" s="36">
        <v>1057</v>
      </c>
      <c r="B404" s="36">
        <v>2</v>
      </c>
      <c r="C404" s="36">
        <v>0</v>
      </c>
      <c r="D404" s="36">
        <v>0</v>
      </c>
      <c r="E404" s="36">
        <v>0</v>
      </c>
      <c r="F404" s="36">
        <v>0</v>
      </c>
      <c r="G404" s="36" t="s">
        <v>64</v>
      </c>
      <c r="H404" s="36" t="s">
        <v>65</v>
      </c>
      <c r="S404" s="39"/>
      <c r="BC404" s="39"/>
      <c r="BE404" s="39"/>
    </row>
    <row r="405" spans="1:57" x14ac:dyDescent="0.35">
      <c r="A405" s="36">
        <v>1057</v>
      </c>
      <c r="B405" s="36">
        <v>1</v>
      </c>
      <c r="C405" s="36">
        <v>1</v>
      </c>
      <c r="D405" s="36">
        <v>0</v>
      </c>
      <c r="E405" s="36">
        <v>0</v>
      </c>
      <c r="F405" s="36">
        <v>0</v>
      </c>
      <c r="G405" s="36" t="s">
        <v>64</v>
      </c>
      <c r="H405" s="36" t="s">
        <v>69</v>
      </c>
      <c r="S405" s="39"/>
      <c r="BC405" s="39"/>
      <c r="BE405" s="39"/>
    </row>
    <row r="406" spans="1:57" x14ac:dyDescent="0.35">
      <c r="A406" s="36">
        <v>1057</v>
      </c>
      <c r="B406" s="36">
        <v>2</v>
      </c>
      <c r="C406" s="36">
        <v>0</v>
      </c>
      <c r="D406" s="36">
        <v>0</v>
      </c>
      <c r="E406" s="36">
        <v>0</v>
      </c>
      <c r="F406" s="36">
        <v>0</v>
      </c>
      <c r="G406" s="36" t="s">
        <v>64</v>
      </c>
      <c r="H406" s="36" t="s">
        <v>65</v>
      </c>
      <c r="S406" s="39"/>
      <c r="BC406" s="39"/>
      <c r="BE406" s="39"/>
    </row>
    <row r="407" spans="1:57" x14ac:dyDescent="0.35">
      <c r="A407" s="36">
        <v>1057</v>
      </c>
      <c r="B407" s="36">
        <v>3</v>
      </c>
      <c r="C407" s="36">
        <v>0</v>
      </c>
      <c r="D407" s="36">
        <v>0</v>
      </c>
      <c r="E407" s="36">
        <v>0</v>
      </c>
      <c r="F407" s="36">
        <v>0</v>
      </c>
      <c r="G407" s="36" t="s">
        <v>64</v>
      </c>
      <c r="H407" s="36" t="s">
        <v>65</v>
      </c>
      <c r="S407" s="39"/>
      <c r="BC407" s="39"/>
      <c r="BE407" s="39"/>
    </row>
    <row r="408" spans="1:57" x14ac:dyDescent="0.35">
      <c r="A408" s="36">
        <v>1057</v>
      </c>
      <c r="B408" s="36">
        <v>2</v>
      </c>
      <c r="C408" s="36">
        <v>0</v>
      </c>
      <c r="D408" s="36">
        <v>0</v>
      </c>
      <c r="E408" s="36">
        <v>0</v>
      </c>
      <c r="F408" s="36">
        <v>0</v>
      </c>
      <c r="G408" s="36" t="s">
        <v>64</v>
      </c>
      <c r="H408" s="36" t="s">
        <v>65</v>
      </c>
      <c r="S408" s="39"/>
      <c r="BC408" s="39"/>
      <c r="BE408" s="39"/>
    </row>
    <row r="409" spans="1:57" x14ac:dyDescent="0.35">
      <c r="A409" s="36">
        <v>1057</v>
      </c>
      <c r="B409" s="36">
        <v>0</v>
      </c>
      <c r="C409" s="36">
        <v>2</v>
      </c>
      <c r="D409" s="36">
        <v>0</v>
      </c>
      <c r="E409" s="36">
        <v>0</v>
      </c>
      <c r="F409" s="36">
        <v>0</v>
      </c>
      <c r="G409" s="36" t="s">
        <v>66</v>
      </c>
      <c r="H409" s="36" t="s">
        <v>65</v>
      </c>
      <c r="S409" s="39"/>
      <c r="BC409" s="39"/>
      <c r="BE409" s="39"/>
    </row>
    <row r="410" spans="1:57" x14ac:dyDescent="0.35">
      <c r="A410" s="36">
        <v>1057</v>
      </c>
      <c r="B410" s="36">
        <v>3</v>
      </c>
      <c r="C410" s="36">
        <v>0</v>
      </c>
      <c r="D410" s="36">
        <v>0</v>
      </c>
      <c r="E410" s="36">
        <v>0</v>
      </c>
      <c r="F410" s="36">
        <v>0</v>
      </c>
      <c r="G410" s="36" t="s">
        <v>64</v>
      </c>
      <c r="H410" s="36" t="s">
        <v>65</v>
      </c>
      <c r="S410" s="39"/>
      <c r="BC410" s="39"/>
      <c r="BE410" s="39"/>
    </row>
    <row r="411" spans="1:57" x14ac:dyDescent="0.35">
      <c r="A411" s="36">
        <v>1057</v>
      </c>
      <c r="B411" s="36">
        <v>3</v>
      </c>
      <c r="C411" s="36">
        <v>1</v>
      </c>
      <c r="D411" s="36">
        <v>0</v>
      </c>
      <c r="E411" s="36">
        <v>0</v>
      </c>
      <c r="F411" s="36">
        <v>0</v>
      </c>
      <c r="G411" s="36" t="s">
        <v>64</v>
      </c>
      <c r="H411" s="36" t="s">
        <v>65</v>
      </c>
      <c r="S411" s="39"/>
      <c r="BC411" s="39"/>
      <c r="BE411" s="39"/>
    </row>
    <row r="412" spans="1:57" x14ac:dyDescent="0.35">
      <c r="A412" s="36">
        <v>1057</v>
      </c>
      <c r="B412" s="36">
        <v>1</v>
      </c>
      <c r="C412" s="36">
        <v>1</v>
      </c>
      <c r="D412" s="36">
        <v>0</v>
      </c>
      <c r="E412" s="36">
        <v>0</v>
      </c>
      <c r="F412" s="36">
        <v>0</v>
      </c>
      <c r="G412" s="36" t="s">
        <v>64</v>
      </c>
      <c r="H412" s="36" t="s">
        <v>65</v>
      </c>
      <c r="S412" s="39"/>
      <c r="BC412" s="39"/>
      <c r="BE412" s="39"/>
    </row>
    <row r="413" spans="1:57" x14ac:dyDescent="0.35">
      <c r="A413" s="36">
        <v>1057</v>
      </c>
      <c r="B413" s="36">
        <v>2</v>
      </c>
      <c r="C413" s="36">
        <v>0</v>
      </c>
      <c r="D413" s="36">
        <v>2</v>
      </c>
      <c r="E413" s="36">
        <v>0</v>
      </c>
      <c r="F413" s="36">
        <v>0</v>
      </c>
      <c r="G413" s="36" t="s">
        <v>64</v>
      </c>
      <c r="H413" s="36" t="s">
        <v>65</v>
      </c>
      <c r="S413" s="39"/>
      <c r="BC413" s="39"/>
      <c r="BE413" s="39"/>
    </row>
    <row r="414" spans="1:57" x14ac:dyDescent="0.35">
      <c r="A414" s="36">
        <v>1057</v>
      </c>
      <c r="B414" s="36">
        <v>3</v>
      </c>
      <c r="C414" s="36">
        <v>2</v>
      </c>
      <c r="D414" s="36">
        <v>0</v>
      </c>
      <c r="E414" s="36">
        <v>0</v>
      </c>
      <c r="F414" s="36">
        <v>0</v>
      </c>
      <c r="G414" s="36" t="s">
        <v>66</v>
      </c>
      <c r="H414" s="36" t="s">
        <v>65</v>
      </c>
      <c r="S414" s="39"/>
      <c r="BC414" s="39"/>
      <c r="BE414" s="39"/>
    </row>
    <row r="415" spans="1:57" x14ac:dyDescent="0.35">
      <c r="A415" s="36">
        <v>1057</v>
      </c>
      <c r="B415" s="36">
        <v>3</v>
      </c>
      <c r="C415" s="36">
        <v>0</v>
      </c>
      <c r="D415" s="36">
        <v>0</v>
      </c>
      <c r="E415" s="36">
        <v>0</v>
      </c>
      <c r="F415" s="36">
        <v>0</v>
      </c>
      <c r="G415" s="36" t="s">
        <v>64</v>
      </c>
      <c r="H415" s="36" t="s">
        <v>71</v>
      </c>
      <c r="S415" s="39"/>
      <c r="BC415" s="39"/>
      <c r="BE415" s="39"/>
    </row>
    <row r="416" spans="1:57" x14ac:dyDescent="0.35">
      <c r="A416" s="36">
        <v>1057</v>
      </c>
      <c r="B416" s="36">
        <v>1</v>
      </c>
      <c r="C416" s="36">
        <v>0</v>
      </c>
      <c r="D416" s="36">
        <v>0</v>
      </c>
      <c r="E416" s="36">
        <v>0</v>
      </c>
      <c r="F416" s="36">
        <v>0</v>
      </c>
      <c r="G416" s="36" t="s">
        <v>64</v>
      </c>
      <c r="H416" s="36" t="s">
        <v>70</v>
      </c>
      <c r="S416" s="39"/>
      <c r="BC416" s="39"/>
      <c r="BE416" s="39"/>
    </row>
    <row r="417" spans="1:57" x14ac:dyDescent="0.35">
      <c r="A417" s="36">
        <v>1057</v>
      </c>
      <c r="B417" s="36">
        <v>1</v>
      </c>
      <c r="C417" s="36">
        <v>0</v>
      </c>
      <c r="D417" s="36">
        <v>0</v>
      </c>
      <c r="E417" s="36">
        <v>1</v>
      </c>
      <c r="F417" s="36">
        <v>0</v>
      </c>
      <c r="G417" s="36" t="s">
        <v>68</v>
      </c>
      <c r="H417" s="36" t="s">
        <v>65</v>
      </c>
      <c r="S417" s="39"/>
      <c r="BC417" s="39"/>
      <c r="BE417" s="39"/>
    </row>
    <row r="418" spans="1:57" x14ac:dyDescent="0.35">
      <c r="A418" s="36">
        <v>1057</v>
      </c>
      <c r="B418" s="36">
        <v>2</v>
      </c>
      <c r="C418" s="36">
        <v>0</v>
      </c>
      <c r="D418" s="36">
        <v>0</v>
      </c>
      <c r="E418" s="36">
        <v>0</v>
      </c>
      <c r="F418" s="36">
        <v>0</v>
      </c>
      <c r="G418" s="36" t="s">
        <v>66</v>
      </c>
      <c r="H418" s="36" t="s">
        <v>65</v>
      </c>
      <c r="S418" s="39"/>
      <c r="BC418" s="39"/>
      <c r="BE418" s="39"/>
    </row>
    <row r="419" spans="1:57" x14ac:dyDescent="0.35">
      <c r="A419" s="36">
        <v>1057</v>
      </c>
      <c r="B419" s="36">
        <v>1</v>
      </c>
      <c r="C419" s="36">
        <v>0</v>
      </c>
      <c r="D419" s="36">
        <v>0</v>
      </c>
      <c r="E419" s="36">
        <v>0</v>
      </c>
      <c r="F419" s="36">
        <v>0</v>
      </c>
      <c r="G419" s="36" t="s">
        <v>64</v>
      </c>
      <c r="H419" s="36" t="s">
        <v>65</v>
      </c>
      <c r="S419" s="39"/>
      <c r="BC419" s="39"/>
      <c r="BE419" s="39"/>
    </row>
    <row r="420" spans="1:57" x14ac:dyDescent="0.35">
      <c r="A420" s="36">
        <v>1057</v>
      </c>
      <c r="B420" s="36">
        <v>3</v>
      </c>
      <c r="C420" s="36">
        <v>0</v>
      </c>
      <c r="D420" s="36">
        <v>0</v>
      </c>
      <c r="E420" s="36">
        <v>0</v>
      </c>
      <c r="F420" s="36">
        <v>0</v>
      </c>
      <c r="G420" s="36" t="s">
        <v>66</v>
      </c>
      <c r="H420" s="36" t="s">
        <v>65</v>
      </c>
      <c r="S420" s="39"/>
      <c r="BC420" s="39"/>
      <c r="BE420" s="39"/>
    </row>
    <row r="421" spans="1:57" x14ac:dyDescent="0.35">
      <c r="A421" s="36">
        <v>1057</v>
      </c>
      <c r="B421" s="36">
        <v>1</v>
      </c>
      <c r="C421" s="36">
        <v>0</v>
      </c>
      <c r="D421" s="36">
        <v>0</v>
      </c>
      <c r="E421" s="36">
        <v>0</v>
      </c>
      <c r="F421" s="36">
        <v>0</v>
      </c>
      <c r="G421" s="36" t="s">
        <v>64</v>
      </c>
      <c r="H421" s="36" t="s">
        <v>70</v>
      </c>
      <c r="S421" s="39"/>
      <c r="BC421" s="39"/>
      <c r="BE421" s="39"/>
    </row>
    <row r="422" spans="1:57" x14ac:dyDescent="0.35">
      <c r="A422" s="36">
        <v>1057</v>
      </c>
      <c r="B422" s="36">
        <v>3</v>
      </c>
      <c r="C422" s="36">
        <v>0</v>
      </c>
      <c r="D422" s="36">
        <v>0</v>
      </c>
      <c r="E422" s="36">
        <v>0</v>
      </c>
      <c r="F422" s="36">
        <v>0</v>
      </c>
      <c r="G422" s="36" t="s">
        <v>64</v>
      </c>
      <c r="H422" s="36" t="s">
        <v>65</v>
      </c>
      <c r="S422" s="39"/>
      <c r="BC422" s="39"/>
      <c r="BE422" s="39"/>
    </row>
    <row r="423" spans="1:57" x14ac:dyDescent="0.35">
      <c r="A423" s="36">
        <v>1057</v>
      </c>
      <c r="B423" s="36">
        <v>2</v>
      </c>
      <c r="C423" s="36">
        <v>0</v>
      </c>
      <c r="D423" s="36">
        <v>2</v>
      </c>
      <c r="E423" s="36">
        <v>0</v>
      </c>
      <c r="F423" s="36">
        <v>0</v>
      </c>
      <c r="G423" s="36" t="s">
        <v>64</v>
      </c>
      <c r="H423" s="36" t="s">
        <v>65</v>
      </c>
      <c r="S423" s="39"/>
      <c r="BC423" s="39"/>
      <c r="BE423" s="39"/>
    </row>
    <row r="424" spans="1:57" x14ac:dyDescent="0.35">
      <c r="A424" s="36">
        <v>1057</v>
      </c>
      <c r="B424" s="36">
        <v>2</v>
      </c>
      <c r="C424" s="36">
        <v>0</v>
      </c>
      <c r="D424" s="36">
        <v>0</v>
      </c>
      <c r="E424" s="36">
        <v>0</v>
      </c>
      <c r="F424" s="36">
        <v>0</v>
      </c>
      <c r="G424" s="36" t="s">
        <v>64</v>
      </c>
      <c r="H424" s="36" t="s">
        <v>65</v>
      </c>
      <c r="S424" s="39"/>
      <c r="BC424" s="39"/>
      <c r="BE424" s="39"/>
    </row>
    <row r="425" spans="1:57" x14ac:dyDescent="0.35">
      <c r="A425" s="36">
        <v>1057</v>
      </c>
      <c r="B425" s="36">
        <v>4</v>
      </c>
      <c r="C425" s="36">
        <v>0</v>
      </c>
      <c r="D425" s="36">
        <v>0</v>
      </c>
      <c r="E425" s="36">
        <v>0</v>
      </c>
      <c r="F425" s="36">
        <v>0</v>
      </c>
      <c r="G425" s="36" t="s">
        <v>66</v>
      </c>
      <c r="H425" s="36" t="s">
        <v>65</v>
      </c>
      <c r="S425" s="39"/>
      <c r="BC425" s="39"/>
      <c r="BE425" s="39"/>
    </row>
    <row r="426" spans="1:57" x14ac:dyDescent="0.35">
      <c r="A426" s="36">
        <v>1057</v>
      </c>
      <c r="B426" s="36">
        <v>2</v>
      </c>
      <c r="C426" s="36">
        <v>0</v>
      </c>
      <c r="D426" s="36">
        <v>0</v>
      </c>
      <c r="E426" s="36">
        <v>0</v>
      </c>
      <c r="F426" s="36">
        <v>0</v>
      </c>
      <c r="G426" s="36" t="s">
        <v>64</v>
      </c>
      <c r="H426" s="36" t="s">
        <v>65</v>
      </c>
      <c r="S426" s="39"/>
      <c r="BC426" s="39"/>
      <c r="BE426" s="39"/>
    </row>
    <row r="427" spans="1:57" x14ac:dyDescent="0.35">
      <c r="A427" s="36">
        <v>1057</v>
      </c>
      <c r="B427" s="36">
        <v>0</v>
      </c>
      <c r="C427" s="36">
        <v>3</v>
      </c>
      <c r="D427" s="36">
        <v>0</v>
      </c>
      <c r="E427" s="36">
        <v>0</v>
      </c>
      <c r="F427" s="36">
        <v>0</v>
      </c>
      <c r="G427" s="36" t="s">
        <v>64</v>
      </c>
      <c r="H427" s="36" t="s">
        <v>65</v>
      </c>
      <c r="S427" s="39"/>
      <c r="BC427" s="39"/>
      <c r="BE427" s="39"/>
    </row>
    <row r="428" spans="1:57" x14ac:dyDescent="0.35">
      <c r="A428" s="36">
        <v>1057</v>
      </c>
      <c r="B428" s="36">
        <v>3</v>
      </c>
      <c r="C428" s="36">
        <v>0</v>
      </c>
      <c r="D428" s="36">
        <v>0</v>
      </c>
      <c r="E428" s="36">
        <v>0</v>
      </c>
      <c r="F428" s="36">
        <v>0</v>
      </c>
      <c r="G428" s="36" t="s">
        <v>66</v>
      </c>
      <c r="H428" s="36" t="s">
        <v>65</v>
      </c>
      <c r="S428" s="39"/>
      <c r="BC428" s="39"/>
      <c r="BE428" s="39"/>
    </row>
    <row r="429" spans="1:57" x14ac:dyDescent="0.35">
      <c r="A429" s="36">
        <v>1057</v>
      </c>
      <c r="B429" s="36">
        <v>3</v>
      </c>
      <c r="C429" s="36">
        <v>0</v>
      </c>
      <c r="D429" s="36">
        <v>0</v>
      </c>
      <c r="E429" s="36">
        <v>0</v>
      </c>
      <c r="F429" s="36">
        <v>0</v>
      </c>
      <c r="G429" s="36" t="s">
        <v>66</v>
      </c>
      <c r="H429" s="36" t="s">
        <v>65</v>
      </c>
      <c r="S429" s="39"/>
      <c r="BC429" s="39"/>
      <c r="BE429" s="39"/>
    </row>
    <row r="430" spans="1:57" x14ac:dyDescent="0.35">
      <c r="A430" s="36">
        <v>1057</v>
      </c>
      <c r="B430" s="36">
        <v>3</v>
      </c>
      <c r="C430" s="36">
        <v>0</v>
      </c>
      <c r="D430" s="36">
        <v>0</v>
      </c>
      <c r="E430" s="36">
        <v>0</v>
      </c>
      <c r="F430" s="36">
        <v>0</v>
      </c>
      <c r="G430" s="36" t="s">
        <v>66</v>
      </c>
      <c r="H430" s="36" t="s">
        <v>65</v>
      </c>
      <c r="S430" s="39"/>
      <c r="BC430" s="39"/>
      <c r="BE430" s="39"/>
    </row>
    <row r="431" spans="1:57" x14ac:dyDescent="0.35">
      <c r="A431" s="36">
        <v>1057</v>
      </c>
      <c r="B431" s="36">
        <v>1</v>
      </c>
      <c r="C431" s="36">
        <v>0</v>
      </c>
      <c r="D431" s="36">
        <v>0</v>
      </c>
      <c r="E431" s="36">
        <v>0</v>
      </c>
      <c r="F431" s="36">
        <v>0</v>
      </c>
      <c r="G431" s="36" t="s">
        <v>64</v>
      </c>
      <c r="H431" s="36" t="s">
        <v>70</v>
      </c>
      <c r="S431" s="39"/>
      <c r="BC431" s="39"/>
      <c r="BE431" s="39"/>
    </row>
    <row r="432" spans="1:57" x14ac:dyDescent="0.35">
      <c r="A432" s="36">
        <v>1057</v>
      </c>
      <c r="B432" s="36">
        <v>3</v>
      </c>
      <c r="C432" s="36">
        <v>0</v>
      </c>
      <c r="D432" s="36">
        <v>0</v>
      </c>
      <c r="E432" s="36">
        <v>0</v>
      </c>
      <c r="F432" s="36">
        <v>0</v>
      </c>
      <c r="G432" s="36" t="s">
        <v>64</v>
      </c>
      <c r="H432" s="36" t="s">
        <v>65</v>
      </c>
      <c r="S432" s="39"/>
      <c r="BC432" s="39"/>
      <c r="BE432" s="39"/>
    </row>
    <row r="433" spans="1:57" x14ac:dyDescent="0.35">
      <c r="A433" s="36">
        <v>1057</v>
      </c>
      <c r="B433" s="36">
        <v>4</v>
      </c>
      <c r="C433" s="36">
        <v>0</v>
      </c>
      <c r="D433" s="36">
        <v>0</v>
      </c>
      <c r="E433" s="36">
        <v>0</v>
      </c>
      <c r="F433" s="36">
        <v>0</v>
      </c>
      <c r="G433" s="36" t="s">
        <v>64</v>
      </c>
      <c r="H433" s="36" t="s">
        <v>65</v>
      </c>
      <c r="S433" s="39"/>
      <c r="BC433" s="39"/>
      <c r="BE433" s="39"/>
    </row>
    <row r="434" spans="1:57" x14ac:dyDescent="0.35">
      <c r="A434" s="36">
        <v>1057</v>
      </c>
      <c r="B434" s="36">
        <v>6</v>
      </c>
      <c r="C434" s="36">
        <v>0</v>
      </c>
      <c r="D434" s="36">
        <v>0</v>
      </c>
      <c r="E434" s="36">
        <v>0</v>
      </c>
      <c r="F434" s="36">
        <v>0</v>
      </c>
      <c r="G434" s="36" t="s">
        <v>64</v>
      </c>
      <c r="H434" s="36" t="s">
        <v>65</v>
      </c>
      <c r="S434" s="39"/>
      <c r="BC434" s="39"/>
      <c r="BE434" s="39"/>
    </row>
    <row r="435" spans="1:57" x14ac:dyDescent="0.35">
      <c r="A435" s="36">
        <v>1057</v>
      </c>
      <c r="B435" s="36">
        <v>1</v>
      </c>
      <c r="C435" s="36">
        <v>0</v>
      </c>
      <c r="D435" s="36">
        <v>0</v>
      </c>
      <c r="E435" s="36">
        <v>0</v>
      </c>
      <c r="F435" s="36">
        <v>0</v>
      </c>
      <c r="G435" s="36" t="s">
        <v>64</v>
      </c>
      <c r="H435" s="36" t="s">
        <v>65</v>
      </c>
      <c r="S435" s="39"/>
      <c r="BC435" s="39"/>
      <c r="BE435" s="39"/>
    </row>
    <row r="436" spans="1:57" x14ac:dyDescent="0.35">
      <c r="A436" s="36">
        <v>1057</v>
      </c>
      <c r="B436" s="36">
        <v>2</v>
      </c>
      <c r="C436" s="36">
        <v>0</v>
      </c>
      <c r="D436" s="36">
        <v>0</v>
      </c>
      <c r="E436" s="36">
        <v>0</v>
      </c>
      <c r="F436" s="36">
        <v>0</v>
      </c>
      <c r="G436" s="36" t="s">
        <v>68</v>
      </c>
      <c r="H436" s="36" t="s">
        <v>65</v>
      </c>
      <c r="S436" s="39"/>
      <c r="BC436" s="39"/>
      <c r="BE436" s="39"/>
    </row>
    <row r="437" spans="1:57" x14ac:dyDescent="0.35">
      <c r="A437" s="36">
        <v>1057</v>
      </c>
      <c r="B437" s="36">
        <v>3</v>
      </c>
      <c r="C437" s="36">
        <v>0</v>
      </c>
      <c r="D437" s="36">
        <v>0</v>
      </c>
      <c r="E437" s="36">
        <v>0</v>
      </c>
      <c r="F437" s="36">
        <v>0</v>
      </c>
      <c r="G437" s="36" t="s">
        <v>64</v>
      </c>
      <c r="H437" s="36" t="s">
        <v>65</v>
      </c>
      <c r="S437" s="39"/>
      <c r="BC437" s="39"/>
      <c r="BE437" s="39"/>
    </row>
    <row r="438" spans="1:57" x14ac:dyDescent="0.35">
      <c r="A438" s="36">
        <v>1057</v>
      </c>
      <c r="B438" s="36">
        <v>4</v>
      </c>
      <c r="C438" s="36">
        <v>0</v>
      </c>
      <c r="D438" s="36">
        <v>0</v>
      </c>
      <c r="E438" s="36">
        <v>0</v>
      </c>
      <c r="F438" s="36">
        <v>0</v>
      </c>
      <c r="G438" s="36" t="s">
        <v>64</v>
      </c>
      <c r="H438" s="36" t="s">
        <v>65</v>
      </c>
      <c r="S438" s="39"/>
      <c r="BC438" s="39"/>
      <c r="BE438" s="39"/>
    </row>
    <row r="439" spans="1:57" x14ac:dyDescent="0.35">
      <c r="A439" s="36">
        <v>1057</v>
      </c>
      <c r="B439" s="36">
        <v>2</v>
      </c>
      <c r="C439" s="36">
        <v>1</v>
      </c>
      <c r="D439" s="36">
        <v>0</v>
      </c>
      <c r="E439" s="36">
        <v>0</v>
      </c>
      <c r="F439" s="36">
        <v>0</v>
      </c>
      <c r="G439" s="36" t="s">
        <v>64</v>
      </c>
      <c r="H439" s="36" t="s">
        <v>65</v>
      </c>
      <c r="S439" s="39"/>
      <c r="BC439" s="39"/>
      <c r="BE439" s="39"/>
    </row>
    <row r="440" spans="1:57" x14ac:dyDescent="0.35">
      <c r="A440" s="36">
        <v>1057</v>
      </c>
      <c r="B440" s="36">
        <v>2</v>
      </c>
      <c r="C440" s="36">
        <v>0</v>
      </c>
      <c r="D440" s="36">
        <v>0</v>
      </c>
      <c r="E440" s="36">
        <v>0</v>
      </c>
      <c r="F440" s="36">
        <v>0</v>
      </c>
      <c r="G440" s="36" t="s">
        <v>66</v>
      </c>
      <c r="H440" s="36" t="s">
        <v>65</v>
      </c>
      <c r="S440" s="39"/>
      <c r="BC440" s="39"/>
      <c r="BE440" s="39"/>
    </row>
    <row r="441" spans="1:57" x14ac:dyDescent="0.35">
      <c r="A441" s="36">
        <v>1057</v>
      </c>
      <c r="B441" s="36">
        <v>0</v>
      </c>
      <c r="C441" s="36">
        <v>0</v>
      </c>
      <c r="D441" s="36">
        <v>1</v>
      </c>
      <c r="E441" s="36">
        <v>1</v>
      </c>
      <c r="F441" s="36">
        <v>0</v>
      </c>
      <c r="G441" s="36" t="s">
        <v>64</v>
      </c>
      <c r="H441" s="36" t="s">
        <v>70</v>
      </c>
      <c r="S441" s="39"/>
      <c r="BC441" s="39"/>
      <c r="BE441" s="39"/>
    </row>
    <row r="442" spans="1:57" x14ac:dyDescent="0.35">
      <c r="A442" s="36">
        <v>1057</v>
      </c>
      <c r="B442" s="36">
        <v>3</v>
      </c>
      <c r="C442" s="36">
        <v>0</v>
      </c>
      <c r="D442" s="36">
        <v>0</v>
      </c>
      <c r="E442" s="36">
        <v>0</v>
      </c>
      <c r="F442" s="36">
        <v>0</v>
      </c>
      <c r="G442" s="36" t="s">
        <v>68</v>
      </c>
      <c r="H442" s="36" t="s">
        <v>65</v>
      </c>
      <c r="S442" s="39"/>
      <c r="BC442" s="39"/>
      <c r="BE442" s="39"/>
    </row>
    <row r="443" spans="1:57" x14ac:dyDescent="0.35">
      <c r="A443" s="36">
        <v>1057</v>
      </c>
      <c r="B443" s="36">
        <v>1</v>
      </c>
      <c r="C443" s="36">
        <v>0</v>
      </c>
      <c r="D443" s="36">
        <v>0</v>
      </c>
      <c r="E443" s="36">
        <v>0</v>
      </c>
      <c r="F443" s="36">
        <v>0</v>
      </c>
      <c r="G443" s="36" t="s">
        <v>64</v>
      </c>
      <c r="H443" s="36" t="s">
        <v>65</v>
      </c>
      <c r="S443" s="39"/>
      <c r="BC443" s="39"/>
      <c r="BE443" s="39"/>
    </row>
    <row r="444" spans="1:57" x14ac:dyDescent="0.35">
      <c r="A444" s="36">
        <v>1057</v>
      </c>
      <c r="B444" s="36">
        <v>2</v>
      </c>
      <c r="C444" s="36">
        <v>0</v>
      </c>
      <c r="D444" s="36">
        <v>0</v>
      </c>
      <c r="E444" s="36">
        <v>0</v>
      </c>
      <c r="F444" s="36">
        <v>0</v>
      </c>
      <c r="G444" s="36" t="s">
        <v>68</v>
      </c>
      <c r="H444" s="36" t="s">
        <v>65</v>
      </c>
      <c r="S444" s="39"/>
      <c r="BC444" s="39"/>
      <c r="BE444" s="39"/>
    </row>
    <row r="445" spans="1:57" x14ac:dyDescent="0.35">
      <c r="A445" s="36">
        <v>1057</v>
      </c>
      <c r="B445" s="36">
        <v>3</v>
      </c>
      <c r="C445" s="36">
        <v>0</v>
      </c>
      <c r="D445" s="36">
        <v>0</v>
      </c>
      <c r="E445" s="36">
        <v>0</v>
      </c>
      <c r="F445" s="36">
        <v>0</v>
      </c>
      <c r="G445" s="36" t="s">
        <v>64</v>
      </c>
      <c r="H445" s="36" t="s">
        <v>65</v>
      </c>
      <c r="S445" s="39"/>
      <c r="BC445" s="39"/>
      <c r="BE445" s="39"/>
    </row>
    <row r="446" spans="1:57" x14ac:dyDescent="0.35">
      <c r="A446" s="36">
        <v>1057</v>
      </c>
      <c r="B446" s="36">
        <v>2</v>
      </c>
      <c r="C446" s="36">
        <v>0</v>
      </c>
      <c r="D446" s="36">
        <v>0</v>
      </c>
      <c r="E446" s="36">
        <v>0</v>
      </c>
      <c r="F446" s="36">
        <v>0</v>
      </c>
      <c r="G446" s="36" t="s">
        <v>64</v>
      </c>
      <c r="H446" s="36" t="s">
        <v>65</v>
      </c>
      <c r="S446" s="39"/>
      <c r="BC446" s="39"/>
      <c r="BE446" s="39"/>
    </row>
    <row r="447" spans="1:57" x14ac:dyDescent="0.35">
      <c r="A447" s="36">
        <v>1057</v>
      </c>
      <c r="B447" s="36">
        <v>2</v>
      </c>
      <c r="C447" s="36">
        <v>0</v>
      </c>
      <c r="D447" s="36">
        <v>0</v>
      </c>
      <c r="E447" s="36">
        <v>0</v>
      </c>
      <c r="F447" s="36">
        <v>0</v>
      </c>
      <c r="G447" s="36" t="s">
        <v>64</v>
      </c>
      <c r="H447" s="36" t="s">
        <v>65</v>
      </c>
      <c r="S447" s="39"/>
      <c r="BC447" s="39"/>
      <c r="BE447" s="39"/>
    </row>
    <row r="448" spans="1:57" x14ac:dyDescent="0.35">
      <c r="A448" s="36">
        <v>1057</v>
      </c>
      <c r="B448" s="36">
        <v>0</v>
      </c>
      <c r="C448" s="36">
        <v>2</v>
      </c>
      <c r="D448" s="36">
        <v>0</v>
      </c>
      <c r="E448" s="36">
        <v>0</v>
      </c>
      <c r="F448" s="36">
        <v>0</v>
      </c>
      <c r="G448" s="36" t="s">
        <v>64</v>
      </c>
      <c r="H448" s="36" t="s">
        <v>65</v>
      </c>
      <c r="S448" s="39"/>
      <c r="BC448" s="39"/>
      <c r="BE448" s="39"/>
    </row>
    <row r="449" spans="1:57" x14ac:dyDescent="0.35">
      <c r="A449" s="36">
        <v>1057</v>
      </c>
      <c r="B449" s="36">
        <v>4</v>
      </c>
      <c r="C449" s="36">
        <v>0</v>
      </c>
      <c r="D449" s="36">
        <v>0</v>
      </c>
      <c r="E449" s="36">
        <v>0</v>
      </c>
      <c r="F449" s="36">
        <v>0</v>
      </c>
      <c r="G449" s="36" t="s">
        <v>67</v>
      </c>
      <c r="H449" s="36" t="s">
        <v>65</v>
      </c>
      <c r="S449" s="39"/>
      <c r="BC449" s="39"/>
      <c r="BE449" s="39"/>
    </row>
    <row r="450" spans="1:57" x14ac:dyDescent="0.35">
      <c r="A450" s="36">
        <v>1057</v>
      </c>
      <c r="B450" s="36">
        <v>2</v>
      </c>
      <c r="C450" s="36">
        <v>0</v>
      </c>
      <c r="D450" s="36">
        <v>0</v>
      </c>
      <c r="E450" s="36">
        <v>0</v>
      </c>
      <c r="F450" s="36">
        <v>0</v>
      </c>
      <c r="G450" s="36" t="s">
        <v>64</v>
      </c>
      <c r="H450" s="36" t="s">
        <v>65</v>
      </c>
      <c r="S450" s="39"/>
      <c r="BC450" s="39"/>
      <c r="BE450" s="39"/>
    </row>
    <row r="451" spans="1:57" x14ac:dyDescent="0.35">
      <c r="A451" s="36">
        <v>1057</v>
      </c>
      <c r="B451" s="36">
        <v>0</v>
      </c>
      <c r="C451" s="36">
        <v>1</v>
      </c>
      <c r="D451" s="36">
        <v>0</v>
      </c>
      <c r="E451" s="36">
        <v>0</v>
      </c>
      <c r="F451" s="36">
        <v>0</v>
      </c>
      <c r="G451" s="36" t="s">
        <v>64</v>
      </c>
      <c r="H451" s="36" t="s">
        <v>70</v>
      </c>
      <c r="S451" s="39"/>
      <c r="BC451" s="39"/>
      <c r="BE451" s="39"/>
    </row>
    <row r="452" spans="1:57" x14ac:dyDescent="0.35">
      <c r="A452" s="36">
        <v>1057</v>
      </c>
      <c r="B452" s="36">
        <v>3</v>
      </c>
      <c r="C452" s="36">
        <v>0</v>
      </c>
      <c r="D452" s="36">
        <v>0</v>
      </c>
      <c r="E452" s="36">
        <v>0</v>
      </c>
      <c r="F452" s="36">
        <v>0</v>
      </c>
      <c r="G452" s="36" t="s">
        <v>64</v>
      </c>
      <c r="H452" s="36" t="s">
        <v>65</v>
      </c>
      <c r="S452" s="39"/>
      <c r="BC452" s="39"/>
      <c r="BE452" s="39"/>
    </row>
    <row r="453" spans="1:57" x14ac:dyDescent="0.35">
      <c r="A453" s="36">
        <v>1057</v>
      </c>
      <c r="B453" s="36">
        <v>3</v>
      </c>
      <c r="C453" s="36">
        <v>0</v>
      </c>
      <c r="D453" s="36">
        <v>0</v>
      </c>
      <c r="E453" s="36">
        <v>0</v>
      </c>
      <c r="F453" s="36">
        <v>0</v>
      </c>
      <c r="G453" s="36" t="s">
        <v>64</v>
      </c>
      <c r="H453" s="36" t="s">
        <v>65</v>
      </c>
      <c r="S453" s="39"/>
      <c r="BC453" s="39"/>
      <c r="BE453" s="39"/>
    </row>
    <row r="454" spans="1:57" x14ac:dyDescent="0.35">
      <c r="A454" s="36">
        <v>1057</v>
      </c>
      <c r="B454" s="36">
        <v>1</v>
      </c>
      <c r="C454" s="36">
        <v>1</v>
      </c>
      <c r="D454" s="36">
        <v>0</v>
      </c>
      <c r="E454" s="36">
        <v>0</v>
      </c>
      <c r="F454" s="36">
        <v>0</v>
      </c>
      <c r="G454" s="36" t="s">
        <v>64</v>
      </c>
      <c r="H454" s="36" t="s">
        <v>65</v>
      </c>
      <c r="S454" s="39"/>
      <c r="BC454" s="39"/>
      <c r="BE454" s="39"/>
    </row>
    <row r="455" spans="1:57" x14ac:dyDescent="0.35">
      <c r="A455" s="36">
        <v>1057</v>
      </c>
      <c r="B455" s="36">
        <v>4</v>
      </c>
      <c r="C455" s="36">
        <v>0</v>
      </c>
      <c r="D455" s="36">
        <v>0</v>
      </c>
      <c r="E455" s="36">
        <v>0</v>
      </c>
      <c r="F455" s="36">
        <v>0</v>
      </c>
      <c r="G455" s="36" t="s">
        <v>66</v>
      </c>
      <c r="H455" s="36" t="s">
        <v>65</v>
      </c>
      <c r="S455" s="39"/>
      <c r="BC455" s="39"/>
      <c r="BE455" s="39"/>
    </row>
    <row r="456" spans="1:57" x14ac:dyDescent="0.35">
      <c r="A456" s="36">
        <v>1057</v>
      </c>
      <c r="B456" s="36">
        <v>5</v>
      </c>
      <c r="C456" s="36">
        <v>0</v>
      </c>
      <c r="D456" s="36">
        <v>0</v>
      </c>
      <c r="E456" s="36">
        <v>0</v>
      </c>
      <c r="F456" s="36">
        <v>0</v>
      </c>
      <c r="G456" s="36" t="s">
        <v>64</v>
      </c>
      <c r="H456" s="36" t="s">
        <v>65</v>
      </c>
      <c r="S456" s="39"/>
      <c r="BC456" s="39"/>
      <c r="BE456" s="39"/>
    </row>
    <row r="457" spans="1:57" x14ac:dyDescent="0.35">
      <c r="A457" s="36">
        <v>1057</v>
      </c>
      <c r="B457" s="36">
        <v>2</v>
      </c>
      <c r="C457" s="36">
        <v>0</v>
      </c>
      <c r="D457" s="36">
        <v>0</v>
      </c>
      <c r="E457" s="36">
        <v>0</v>
      </c>
      <c r="F457" s="36">
        <v>0</v>
      </c>
      <c r="G457" s="36" t="s">
        <v>64</v>
      </c>
      <c r="H457" s="36" t="s">
        <v>65</v>
      </c>
      <c r="S457" s="39"/>
      <c r="BC457" s="39"/>
      <c r="BE457" s="39"/>
    </row>
    <row r="458" spans="1:57" x14ac:dyDescent="0.35">
      <c r="A458" s="36">
        <v>1057</v>
      </c>
      <c r="B458" s="36">
        <v>2</v>
      </c>
      <c r="C458" s="36">
        <v>0</v>
      </c>
      <c r="D458" s="36">
        <v>1</v>
      </c>
      <c r="E458" s="36">
        <v>0</v>
      </c>
      <c r="F458" s="36">
        <v>0</v>
      </c>
      <c r="G458" s="36" t="s">
        <v>64</v>
      </c>
      <c r="H458" s="36" t="s">
        <v>65</v>
      </c>
      <c r="S458" s="39"/>
      <c r="BC458" s="39"/>
      <c r="BE458" s="39"/>
    </row>
    <row r="459" spans="1:57" x14ac:dyDescent="0.35">
      <c r="A459" s="36">
        <v>1057</v>
      </c>
      <c r="B459" s="36">
        <v>0</v>
      </c>
      <c r="C459" s="36">
        <v>0</v>
      </c>
      <c r="D459" s="36">
        <v>0</v>
      </c>
      <c r="E459" s="36">
        <v>1</v>
      </c>
      <c r="F459" s="36">
        <v>0</v>
      </c>
      <c r="G459" s="36" t="s">
        <v>64</v>
      </c>
      <c r="H459" s="36" t="s">
        <v>70</v>
      </c>
      <c r="S459" s="39"/>
      <c r="BC459" s="39"/>
      <c r="BE459" s="39"/>
    </row>
    <row r="460" spans="1:57" x14ac:dyDescent="0.35">
      <c r="A460" s="36">
        <v>1057</v>
      </c>
      <c r="B460" s="36">
        <v>2</v>
      </c>
      <c r="C460" s="36">
        <v>0</v>
      </c>
      <c r="D460" s="36">
        <v>0</v>
      </c>
      <c r="E460" s="36">
        <v>0</v>
      </c>
      <c r="F460" s="36">
        <v>0</v>
      </c>
      <c r="G460" s="36" t="s">
        <v>64</v>
      </c>
      <c r="H460" s="36" t="s">
        <v>65</v>
      </c>
      <c r="S460" s="39"/>
      <c r="BC460" s="39"/>
      <c r="BE460" s="39"/>
    </row>
    <row r="461" spans="1:57" x14ac:dyDescent="0.35">
      <c r="A461" s="36">
        <v>1057</v>
      </c>
      <c r="B461" s="36">
        <v>2</v>
      </c>
      <c r="C461" s="36">
        <v>0</v>
      </c>
      <c r="D461" s="36">
        <v>0</v>
      </c>
      <c r="E461" s="36">
        <v>0</v>
      </c>
      <c r="F461" s="36">
        <v>0</v>
      </c>
      <c r="G461" s="36" t="s">
        <v>64</v>
      </c>
      <c r="H461" s="36" t="s">
        <v>65</v>
      </c>
      <c r="S461" s="39"/>
      <c r="BC461" s="39"/>
      <c r="BE461" s="39"/>
    </row>
    <row r="462" spans="1:57" x14ac:dyDescent="0.35">
      <c r="A462" s="36">
        <v>1057</v>
      </c>
      <c r="B462" s="36">
        <v>2</v>
      </c>
      <c r="C462" s="36">
        <v>0</v>
      </c>
      <c r="D462" s="36">
        <v>0</v>
      </c>
      <c r="E462" s="36">
        <v>0</v>
      </c>
      <c r="F462" s="36">
        <v>0</v>
      </c>
      <c r="G462" s="36" t="s">
        <v>64</v>
      </c>
      <c r="H462" s="36" t="s">
        <v>65</v>
      </c>
      <c r="S462" s="39"/>
      <c r="BC462" s="39"/>
      <c r="BE462" s="39"/>
    </row>
    <row r="463" spans="1:57" x14ac:dyDescent="0.35">
      <c r="A463" s="36">
        <v>1057</v>
      </c>
      <c r="B463" s="36">
        <v>2</v>
      </c>
      <c r="C463" s="36">
        <v>0</v>
      </c>
      <c r="D463" s="36">
        <v>0</v>
      </c>
      <c r="E463" s="36">
        <v>0</v>
      </c>
      <c r="F463" s="36">
        <v>0</v>
      </c>
      <c r="G463" s="36" t="s">
        <v>64</v>
      </c>
      <c r="H463" s="36" t="s">
        <v>65</v>
      </c>
      <c r="S463" s="39"/>
      <c r="BC463" s="39"/>
      <c r="BE463" s="39"/>
    </row>
    <row r="464" spans="1:57" x14ac:dyDescent="0.35">
      <c r="A464" s="36">
        <v>1057</v>
      </c>
      <c r="B464" s="36">
        <v>3</v>
      </c>
      <c r="C464" s="36">
        <v>1</v>
      </c>
      <c r="D464" s="36">
        <v>1</v>
      </c>
      <c r="E464" s="36">
        <v>1</v>
      </c>
      <c r="F464" s="36">
        <v>0</v>
      </c>
      <c r="G464" s="36" t="s">
        <v>64</v>
      </c>
      <c r="H464" s="36" t="s">
        <v>65</v>
      </c>
      <c r="S464" s="39"/>
      <c r="BC464" s="39"/>
      <c r="BE464" s="39"/>
    </row>
    <row r="465" spans="1:57" x14ac:dyDescent="0.35">
      <c r="A465" s="36">
        <v>1057</v>
      </c>
      <c r="B465" s="36">
        <v>2</v>
      </c>
      <c r="C465" s="36">
        <v>0</v>
      </c>
      <c r="D465" s="36">
        <v>0</v>
      </c>
      <c r="E465" s="36">
        <v>0</v>
      </c>
      <c r="F465" s="36">
        <v>0</v>
      </c>
      <c r="G465" s="36" t="s">
        <v>64</v>
      </c>
      <c r="H465" s="36" t="s">
        <v>65</v>
      </c>
      <c r="S465" s="39"/>
      <c r="BC465" s="39"/>
      <c r="BE465" s="39"/>
    </row>
    <row r="466" spans="1:57" x14ac:dyDescent="0.35">
      <c r="A466" s="36">
        <v>1057</v>
      </c>
      <c r="B466" s="36">
        <v>2</v>
      </c>
      <c r="C466" s="36">
        <v>0</v>
      </c>
      <c r="D466" s="36">
        <v>0</v>
      </c>
      <c r="E466" s="36">
        <v>0</v>
      </c>
      <c r="F466" s="36">
        <v>0</v>
      </c>
      <c r="G466" s="36" t="s">
        <v>64</v>
      </c>
      <c r="H466" s="36" t="s">
        <v>70</v>
      </c>
      <c r="S466" s="39"/>
      <c r="BC466" s="39"/>
      <c r="BE466" s="39"/>
    </row>
    <row r="467" spans="1:57" x14ac:dyDescent="0.35">
      <c r="A467" s="36">
        <v>1057</v>
      </c>
      <c r="B467" s="36">
        <v>2</v>
      </c>
      <c r="C467" s="36">
        <v>0</v>
      </c>
      <c r="D467" s="36">
        <v>0</v>
      </c>
      <c r="E467" s="36">
        <v>0</v>
      </c>
      <c r="F467" s="36">
        <v>0</v>
      </c>
      <c r="G467" s="36" t="s">
        <v>67</v>
      </c>
      <c r="H467" s="36" t="s">
        <v>65</v>
      </c>
      <c r="S467" s="39"/>
      <c r="BC467" s="39"/>
      <c r="BE467" s="39"/>
    </row>
    <row r="468" spans="1:57" x14ac:dyDescent="0.35">
      <c r="A468" s="36">
        <v>1057</v>
      </c>
      <c r="B468" s="36">
        <v>0</v>
      </c>
      <c r="C468" s="36">
        <v>0</v>
      </c>
      <c r="D468" s="36">
        <v>0</v>
      </c>
      <c r="E468" s="36">
        <v>0</v>
      </c>
      <c r="F468" s="36">
        <v>0</v>
      </c>
      <c r="G468" s="36" t="s">
        <v>64</v>
      </c>
      <c r="H468" s="36" t="s">
        <v>70</v>
      </c>
      <c r="S468" s="39"/>
      <c r="BC468" s="39"/>
      <c r="BE468" s="39"/>
    </row>
    <row r="469" spans="1:57" x14ac:dyDescent="0.35">
      <c r="A469" s="36">
        <v>1057</v>
      </c>
      <c r="B469" s="36">
        <v>3</v>
      </c>
      <c r="C469" s="36">
        <v>0</v>
      </c>
      <c r="D469" s="36">
        <v>0</v>
      </c>
      <c r="E469" s="36">
        <v>0</v>
      </c>
      <c r="F469" s="36">
        <v>0</v>
      </c>
      <c r="G469" s="36" t="s">
        <v>64</v>
      </c>
      <c r="H469" s="36" t="s">
        <v>65</v>
      </c>
      <c r="S469" s="39"/>
      <c r="BC469" s="39"/>
      <c r="BE469" s="39"/>
    </row>
    <row r="470" spans="1:57" x14ac:dyDescent="0.35">
      <c r="A470" s="36">
        <v>1057</v>
      </c>
      <c r="B470" s="36">
        <v>2</v>
      </c>
      <c r="C470" s="36">
        <v>0</v>
      </c>
      <c r="D470" s="36">
        <v>0</v>
      </c>
      <c r="E470" s="36">
        <v>0</v>
      </c>
      <c r="F470" s="36">
        <v>0</v>
      </c>
      <c r="G470" s="36" t="s">
        <v>64</v>
      </c>
      <c r="H470" s="36" t="s">
        <v>65</v>
      </c>
      <c r="S470" s="39"/>
      <c r="BC470" s="39"/>
      <c r="BE470" s="39"/>
    </row>
    <row r="471" spans="1:57" x14ac:dyDescent="0.35">
      <c r="A471" s="36">
        <v>1057</v>
      </c>
      <c r="B471" s="36">
        <v>2</v>
      </c>
      <c r="C471" s="36">
        <v>0</v>
      </c>
      <c r="D471" s="36">
        <v>0</v>
      </c>
      <c r="E471" s="36">
        <v>0</v>
      </c>
      <c r="F471" s="36">
        <v>0</v>
      </c>
      <c r="G471" s="36" t="s">
        <v>68</v>
      </c>
      <c r="H471" s="36" t="s">
        <v>65</v>
      </c>
      <c r="S471" s="39"/>
      <c r="BC471" s="39"/>
      <c r="BE471" s="39"/>
    </row>
    <row r="472" spans="1:57" x14ac:dyDescent="0.35">
      <c r="A472" s="36">
        <v>1057</v>
      </c>
      <c r="B472" s="36">
        <v>2</v>
      </c>
      <c r="C472" s="36">
        <v>0</v>
      </c>
      <c r="D472" s="36">
        <v>0</v>
      </c>
      <c r="E472" s="36">
        <v>0</v>
      </c>
      <c r="F472" s="36">
        <v>0</v>
      </c>
      <c r="G472" s="36" t="s">
        <v>66</v>
      </c>
      <c r="H472" s="36" t="s">
        <v>65</v>
      </c>
      <c r="S472" s="39"/>
      <c r="BC472" s="39"/>
      <c r="BE472" s="39"/>
    </row>
    <row r="473" spans="1:57" x14ac:dyDescent="0.35">
      <c r="A473" s="36">
        <v>1057</v>
      </c>
      <c r="B473" s="36">
        <v>1</v>
      </c>
      <c r="C473" s="36">
        <v>0</v>
      </c>
      <c r="D473" s="36">
        <v>0</v>
      </c>
      <c r="E473" s="36">
        <v>0</v>
      </c>
      <c r="F473" s="36">
        <v>0</v>
      </c>
      <c r="G473" s="36" t="s">
        <v>64</v>
      </c>
      <c r="H473" s="36" t="s">
        <v>70</v>
      </c>
      <c r="S473" s="39"/>
      <c r="BC473" s="39"/>
      <c r="BE473" s="39"/>
    </row>
    <row r="474" spans="1:57" x14ac:dyDescent="0.35">
      <c r="A474" s="36">
        <v>1057</v>
      </c>
      <c r="B474" s="36">
        <v>2</v>
      </c>
      <c r="C474" s="36">
        <v>0</v>
      </c>
      <c r="D474" s="36">
        <v>0</v>
      </c>
      <c r="E474" s="36">
        <v>0</v>
      </c>
      <c r="F474" s="36">
        <v>0</v>
      </c>
      <c r="G474" s="36" t="s">
        <v>64</v>
      </c>
      <c r="H474" s="36" t="s">
        <v>65</v>
      </c>
      <c r="S474" s="39"/>
      <c r="BC474" s="39"/>
      <c r="BE474" s="39"/>
    </row>
    <row r="475" spans="1:57" x14ac:dyDescent="0.35">
      <c r="A475" s="36">
        <v>1057</v>
      </c>
      <c r="B475" s="36">
        <v>0</v>
      </c>
      <c r="C475" s="36">
        <v>0</v>
      </c>
      <c r="D475" s="36">
        <v>1</v>
      </c>
      <c r="E475" s="36">
        <v>0</v>
      </c>
      <c r="F475" s="36">
        <v>0</v>
      </c>
      <c r="G475" s="36" t="s">
        <v>64</v>
      </c>
      <c r="H475" s="36" t="s">
        <v>70</v>
      </c>
      <c r="S475" s="39"/>
      <c r="BC475" s="39"/>
      <c r="BE475" s="39"/>
    </row>
    <row r="476" spans="1:57" x14ac:dyDescent="0.35">
      <c r="A476" s="36">
        <v>1057</v>
      </c>
      <c r="B476" s="36">
        <v>1</v>
      </c>
      <c r="C476" s="36">
        <v>0</v>
      </c>
      <c r="D476" s="36">
        <v>1</v>
      </c>
      <c r="E476" s="36">
        <v>0</v>
      </c>
      <c r="F476" s="36">
        <v>0</v>
      </c>
      <c r="G476" s="36" t="s">
        <v>64</v>
      </c>
      <c r="H476" s="36" t="s">
        <v>65</v>
      </c>
      <c r="S476" s="39"/>
      <c r="BC476" s="39"/>
      <c r="BE476" s="39"/>
    </row>
    <row r="477" spans="1:57" x14ac:dyDescent="0.35">
      <c r="A477" s="36">
        <v>1057</v>
      </c>
      <c r="B477" s="36">
        <v>2</v>
      </c>
      <c r="C477" s="36">
        <v>2</v>
      </c>
      <c r="D477" s="36">
        <v>0</v>
      </c>
      <c r="E477" s="36">
        <v>0</v>
      </c>
      <c r="F477" s="36">
        <v>0</v>
      </c>
      <c r="G477" s="36" t="s">
        <v>66</v>
      </c>
      <c r="H477" s="36" t="s">
        <v>65</v>
      </c>
      <c r="S477" s="39"/>
      <c r="BC477" s="39"/>
      <c r="BE477" s="39"/>
    </row>
    <row r="478" spans="1:57" x14ac:dyDescent="0.35">
      <c r="A478" s="36">
        <v>1057</v>
      </c>
      <c r="B478" s="36">
        <v>3</v>
      </c>
      <c r="C478" s="36">
        <v>0</v>
      </c>
      <c r="D478" s="36">
        <v>0</v>
      </c>
      <c r="E478" s="36">
        <v>0</v>
      </c>
      <c r="F478" s="36">
        <v>0</v>
      </c>
      <c r="G478" s="36" t="s">
        <v>66</v>
      </c>
      <c r="H478" s="36" t="s">
        <v>65</v>
      </c>
      <c r="S478" s="39"/>
      <c r="BC478" s="39"/>
      <c r="BE478" s="39"/>
    </row>
    <row r="479" spans="1:57" x14ac:dyDescent="0.35">
      <c r="A479" s="36">
        <v>1057</v>
      </c>
      <c r="B479" s="36">
        <v>0</v>
      </c>
      <c r="C479" s="36">
        <v>1</v>
      </c>
      <c r="D479" s="36">
        <v>0</v>
      </c>
      <c r="E479" s="36">
        <v>0</v>
      </c>
      <c r="F479" s="36">
        <v>0</v>
      </c>
      <c r="G479" s="36" t="s">
        <v>64</v>
      </c>
      <c r="H479" s="36" t="s">
        <v>70</v>
      </c>
      <c r="S479" s="39"/>
      <c r="BC479" s="39"/>
      <c r="BE479" s="39"/>
    </row>
    <row r="480" spans="1:57" x14ac:dyDescent="0.35">
      <c r="A480" s="36">
        <v>1057</v>
      </c>
      <c r="B480" s="36">
        <v>5</v>
      </c>
      <c r="C480" s="36">
        <v>0</v>
      </c>
      <c r="D480" s="36">
        <v>0</v>
      </c>
      <c r="E480" s="36">
        <v>0</v>
      </c>
      <c r="F480" s="36">
        <v>0</v>
      </c>
      <c r="G480" s="36" t="s">
        <v>64</v>
      </c>
      <c r="H480" s="36" t="s">
        <v>65</v>
      </c>
      <c r="S480" s="39"/>
      <c r="BC480" s="39"/>
      <c r="BE480" s="39"/>
    </row>
    <row r="481" spans="1:57" x14ac:dyDescent="0.35">
      <c r="A481" s="36">
        <v>1057</v>
      </c>
      <c r="B481" s="36">
        <v>2</v>
      </c>
      <c r="C481" s="36">
        <v>0</v>
      </c>
      <c r="D481" s="36">
        <v>0</v>
      </c>
      <c r="E481" s="36">
        <v>0</v>
      </c>
      <c r="F481" s="36">
        <v>0</v>
      </c>
      <c r="G481" s="36" t="s">
        <v>64</v>
      </c>
      <c r="H481" s="36" t="s">
        <v>65</v>
      </c>
      <c r="S481" s="39"/>
      <c r="BC481" s="39"/>
      <c r="BE481" s="39"/>
    </row>
    <row r="482" spans="1:57" x14ac:dyDescent="0.35">
      <c r="A482" s="36">
        <v>1057</v>
      </c>
      <c r="B482" s="36">
        <v>2</v>
      </c>
      <c r="C482" s="36">
        <v>0</v>
      </c>
      <c r="D482" s="36">
        <v>0</v>
      </c>
      <c r="E482" s="36">
        <v>0</v>
      </c>
      <c r="F482" s="36">
        <v>0</v>
      </c>
      <c r="G482" s="36" t="s">
        <v>64</v>
      </c>
      <c r="H482" s="36" t="s">
        <v>70</v>
      </c>
      <c r="S482" s="39"/>
      <c r="BC482" s="39"/>
      <c r="BE482" s="39"/>
    </row>
    <row r="483" spans="1:57" x14ac:dyDescent="0.35">
      <c r="A483" s="36">
        <v>1057</v>
      </c>
      <c r="B483" s="36">
        <v>2</v>
      </c>
      <c r="C483" s="36">
        <v>0</v>
      </c>
      <c r="D483" s="36">
        <v>0</v>
      </c>
      <c r="E483" s="36">
        <v>0</v>
      </c>
      <c r="F483" s="36">
        <v>0</v>
      </c>
      <c r="G483" s="36" t="s">
        <v>64</v>
      </c>
      <c r="H483" s="36" t="s">
        <v>65</v>
      </c>
      <c r="S483" s="39"/>
      <c r="BC483" s="39"/>
      <c r="BE483" s="39"/>
    </row>
    <row r="484" spans="1:57" x14ac:dyDescent="0.35">
      <c r="A484" s="36">
        <v>1057</v>
      </c>
      <c r="B484" s="36">
        <v>0</v>
      </c>
      <c r="C484" s="36">
        <v>0</v>
      </c>
      <c r="D484" s="36">
        <v>7</v>
      </c>
      <c r="E484" s="36">
        <v>0</v>
      </c>
      <c r="F484" s="36">
        <v>0</v>
      </c>
      <c r="G484" s="36" t="s">
        <v>64</v>
      </c>
      <c r="H484" s="36" t="s">
        <v>65</v>
      </c>
      <c r="S484" s="39"/>
      <c r="BC484" s="39"/>
      <c r="BE484" s="39"/>
    </row>
    <row r="485" spans="1:57" x14ac:dyDescent="0.35">
      <c r="A485" s="36">
        <v>1057</v>
      </c>
      <c r="B485" s="36">
        <v>2</v>
      </c>
      <c r="C485" s="36">
        <v>0</v>
      </c>
      <c r="D485" s="36">
        <v>0</v>
      </c>
      <c r="E485" s="36">
        <v>0</v>
      </c>
      <c r="F485" s="36">
        <v>0</v>
      </c>
      <c r="G485" s="36" t="s">
        <v>64</v>
      </c>
      <c r="H485" s="36" t="s">
        <v>70</v>
      </c>
      <c r="S485" s="39"/>
      <c r="BC485" s="39"/>
      <c r="BE485" s="39"/>
    </row>
    <row r="486" spans="1:57" x14ac:dyDescent="0.35">
      <c r="A486" s="36">
        <v>1057</v>
      </c>
      <c r="B486" s="36">
        <v>3</v>
      </c>
      <c r="C486" s="36">
        <v>0</v>
      </c>
      <c r="D486" s="36">
        <v>0</v>
      </c>
      <c r="E486" s="36">
        <v>0</v>
      </c>
      <c r="F486" s="36">
        <v>0</v>
      </c>
      <c r="G486" s="36" t="s">
        <v>66</v>
      </c>
      <c r="H486" s="36" t="s">
        <v>65</v>
      </c>
      <c r="S486" s="39"/>
      <c r="BC486" s="39"/>
      <c r="BE486" s="39"/>
    </row>
    <row r="487" spans="1:57" x14ac:dyDescent="0.35">
      <c r="A487" s="36">
        <v>1057</v>
      </c>
      <c r="B487" s="36">
        <v>2</v>
      </c>
      <c r="C487" s="36">
        <v>0</v>
      </c>
      <c r="D487" s="36">
        <v>0</v>
      </c>
      <c r="E487" s="36">
        <v>0</v>
      </c>
      <c r="F487" s="36">
        <v>0</v>
      </c>
      <c r="G487" s="36" t="s">
        <v>64</v>
      </c>
      <c r="H487" s="36" t="s">
        <v>65</v>
      </c>
      <c r="S487" s="39"/>
      <c r="BC487" s="39"/>
      <c r="BE487" s="39"/>
    </row>
    <row r="488" spans="1:57" x14ac:dyDescent="0.35">
      <c r="A488" s="36">
        <v>1057</v>
      </c>
      <c r="B488" s="36">
        <v>4</v>
      </c>
      <c r="C488" s="36">
        <v>0</v>
      </c>
      <c r="D488" s="36">
        <v>0</v>
      </c>
      <c r="E488" s="36">
        <v>0</v>
      </c>
      <c r="F488" s="36">
        <v>0</v>
      </c>
      <c r="G488" s="36" t="s">
        <v>66</v>
      </c>
      <c r="H488" s="36" t="s">
        <v>65</v>
      </c>
      <c r="S488" s="39"/>
      <c r="BC488" s="39"/>
      <c r="BE488" s="39"/>
    </row>
    <row r="489" spans="1:57" x14ac:dyDescent="0.35">
      <c r="A489" s="36">
        <v>1057</v>
      </c>
      <c r="B489" s="36">
        <v>2</v>
      </c>
      <c r="C489" s="36">
        <v>0</v>
      </c>
      <c r="D489" s="36">
        <v>0</v>
      </c>
      <c r="E489" s="36">
        <v>0</v>
      </c>
      <c r="F489" s="36">
        <v>0</v>
      </c>
      <c r="G489" s="36" t="s">
        <v>68</v>
      </c>
      <c r="H489" s="36" t="s">
        <v>65</v>
      </c>
      <c r="S489" s="39"/>
      <c r="BC489" s="39"/>
      <c r="BE489" s="39"/>
    </row>
    <row r="490" spans="1:57" x14ac:dyDescent="0.35">
      <c r="A490" s="36">
        <v>1057</v>
      </c>
      <c r="B490" s="36">
        <v>6</v>
      </c>
      <c r="C490" s="36">
        <v>0</v>
      </c>
      <c r="D490" s="36">
        <v>0</v>
      </c>
      <c r="E490" s="36">
        <v>0</v>
      </c>
      <c r="F490" s="36">
        <v>0</v>
      </c>
      <c r="G490" s="36" t="s">
        <v>64</v>
      </c>
      <c r="H490" s="36" t="s">
        <v>65</v>
      </c>
      <c r="S490" s="39"/>
      <c r="BC490" s="39"/>
      <c r="BE490" s="39"/>
    </row>
    <row r="491" spans="1:57" x14ac:dyDescent="0.35">
      <c r="A491" s="36">
        <v>1057</v>
      </c>
      <c r="B491" s="36">
        <v>4</v>
      </c>
      <c r="C491" s="36">
        <v>0</v>
      </c>
      <c r="D491" s="36">
        <v>0</v>
      </c>
      <c r="E491" s="36">
        <v>0</v>
      </c>
      <c r="F491" s="36">
        <v>0</v>
      </c>
      <c r="G491" s="36" t="s">
        <v>64</v>
      </c>
      <c r="H491" s="36" t="s">
        <v>65</v>
      </c>
      <c r="S491" s="39"/>
      <c r="BC491" s="39"/>
      <c r="BE491" s="39"/>
    </row>
    <row r="492" spans="1:57" x14ac:dyDescent="0.35">
      <c r="A492" s="36">
        <v>1057</v>
      </c>
      <c r="B492" s="36">
        <v>2</v>
      </c>
      <c r="C492" s="36">
        <v>0</v>
      </c>
      <c r="D492" s="36">
        <v>0</v>
      </c>
      <c r="E492" s="36">
        <v>0</v>
      </c>
      <c r="F492" s="36">
        <v>0</v>
      </c>
      <c r="G492" s="36" t="s">
        <v>66</v>
      </c>
      <c r="H492" s="36" t="s">
        <v>65</v>
      </c>
      <c r="S492" s="39"/>
      <c r="BC492" s="39"/>
      <c r="BE492" s="39"/>
    </row>
    <row r="493" spans="1:57" x14ac:dyDescent="0.35">
      <c r="A493" s="36">
        <v>1057</v>
      </c>
      <c r="B493" s="36">
        <v>2</v>
      </c>
      <c r="C493" s="36">
        <v>0</v>
      </c>
      <c r="D493" s="36">
        <v>0</v>
      </c>
      <c r="E493" s="36">
        <v>0</v>
      </c>
      <c r="F493" s="36">
        <v>0</v>
      </c>
      <c r="G493" s="36" t="s">
        <v>66</v>
      </c>
      <c r="H493" s="36" t="s">
        <v>65</v>
      </c>
      <c r="S493" s="39"/>
      <c r="BC493" s="39"/>
      <c r="BE493" s="39"/>
    </row>
    <row r="494" spans="1:57" x14ac:dyDescent="0.35">
      <c r="A494" s="36">
        <v>1057</v>
      </c>
      <c r="B494" s="36">
        <v>4</v>
      </c>
      <c r="C494" s="36">
        <v>0</v>
      </c>
      <c r="D494" s="36">
        <v>0</v>
      </c>
      <c r="E494" s="36">
        <v>0</v>
      </c>
      <c r="F494" s="36">
        <v>0</v>
      </c>
      <c r="G494" s="36" t="s">
        <v>66</v>
      </c>
      <c r="H494" s="36" t="s">
        <v>65</v>
      </c>
      <c r="S494" s="39"/>
      <c r="BC494" s="39"/>
      <c r="BE494" s="39"/>
    </row>
    <row r="495" spans="1:57" x14ac:dyDescent="0.35">
      <c r="A495" s="36">
        <v>1057</v>
      </c>
      <c r="B495" s="36">
        <v>3</v>
      </c>
      <c r="C495" s="36">
        <v>0</v>
      </c>
      <c r="D495" s="36">
        <v>0</v>
      </c>
      <c r="E495" s="36">
        <v>0</v>
      </c>
      <c r="F495" s="36">
        <v>0</v>
      </c>
      <c r="G495" s="36" t="s">
        <v>66</v>
      </c>
      <c r="H495" s="36" t="s">
        <v>65</v>
      </c>
      <c r="S495" s="39"/>
      <c r="BC495" s="39"/>
      <c r="BE495" s="39"/>
    </row>
    <row r="496" spans="1:57" x14ac:dyDescent="0.35">
      <c r="A496" s="36">
        <v>1057</v>
      </c>
      <c r="B496" s="36">
        <v>1</v>
      </c>
      <c r="C496" s="36">
        <v>0</v>
      </c>
      <c r="D496" s="36">
        <v>0</v>
      </c>
      <c r="E496" s="36">
        <v>0</v>
      </c>
      <c r="F496" s="36">
        <v>0</v>
      </c>
      <c r="G496" s="36" t="s">
        <v>64</v>
      </c>
      <c r="H496" s="36" t="s">
        <v>69</v>
      </c>
      <c r="S496" s="39"/>
      <c r="BC496" s="39"/>
      <c r="BE496" s="39"/>
    </row>
    <row r="497" spans="1:57" x14ac:dyDescent="0.35">
      <c r="A497" s="36">
        <v>1057</v>
      </c>
      <c r="B497" s="36">
        <v>4</v>
      </c>
      <c r="C497" s="36">
        <v>0</v>
      </c>
      <c r="D497" s="36">
        <v>0</v>
      </c>
      <c r="E497" s="36">
        <v>0</v>
      </c>
      <c r="F497" s="36">
        <v>0</v>
      </c>
      <c r="G497" s="36" t="s">
        <v>66</v>
      </c>
      <c r="H497" s="36" t="s">
        <v>65</v>
      </c>
      <c r="S497" s="39"/>
      <c r="BC497" s="39"/>
      <c r="BE497" s="39"/>
    </row>
    <row r="498" spans="1:57" x14ac:dyDescent="0.35">
      <c r="A498" s="36">
        <v>1057</v>
      </c>
      <c r="B498" s="36">
        <v>3</v>
      </c>
      <c r="C498" s="36">
        <v>0</v>
      </c>
      <c r="D498" s="36">
        <v>0</v>
      </c>
      <c r="E498" s="36">
        <v>0</v>
      </c>
      <c r="F498" s="36">
        <v>0</v>
      </c>
      <c r="G498" s="36" t="s">
        <v>64</v>
      </c>
      <c r="H498" s="36" t="s">
        <v>65</v>
      </c>
      <c r="S498" s="39"/>
      <c r="BC498" s="39"/>
      <c r="BE498" s="39"/>
    </row>
    <row r="499" spans="1:57" x14ac:dyDescent="0.35">
      <c r="A499" s="36">
        <v>1057</v>
      </c>
      <c r="B499" s="36">
        <v>1</v>
      </c>
      <c r="C499" s="36">
        <v>0</v>
      </c>
      <c r="D499" s="36">
        <v>0</v>
      </c>
      <c r="E499" s="36">
        <v>0</v>
      </c>
      <c r="F499" s="36">
        <v>0</v>
      </c>
      <c r="G499" s="36" t="s">
        <v>64</v>
      </c>
      <c r="H499" s="36" t="s">
        <v>65</v>
      </c>
      <c r="S499" s="39"/>
      <c r="BC499" s="39"/>
      <c r="BE499" s="39"/>
    </row>
    <row r="500" spans="1:57" x14ac:dyDescent="0.35">
      <c r="A500" s="36">
        <v>1057</v>
      </c>
      <c r="B500" s="36">
        <v>2</v>
      </c>
      <c r="C500" s="36">
        <v>0</v>
      </c>
      <c r="D500" s="36">
        <v>0</v>
      </c>
      <c r="E500" s="36">
        <v>0</v>
      </c>
      <c r="F500" s="36">
        <v>0</v>
      </c>
      <c r="G500" s="36" t="s">
        <v>66</v>
      </c>
      <c r="H500" s="36" t="s">
        <v>65</v>
      </c>
      <c r="S500" s="39"/>
      <c r="BC500" s="39"/>
      <c r="BE500" s="39"/>
    </row>
    <row r="501" spans="1:57" x14ac:dyDescent="0.35">
      <c r="A501" s="36">
        <v>1057</v>
      </c>
      <c r="B501" s="36">
        <v>3</v>
      </c>
      <c r="C501" s="36">
        <v>0</v>
      </c>
      <c r="D501" s="36">
        <v>1</v>
      </c>
      <c r="E501" s="36">
        <v>0</v>
      </c>
      <c r="F501" s="36">
        <v>0</v>
      </c>
      <c r="G501" s="36" t="s">
        <v>64</v>
      </c>
      <c r="H501" s="36" t="s">
        <v>65</v>
      </c>
      <c r="S501" s="39"/>
      <c r="BC501" s="39"/>
      <c r="BE501" s="39"/>
    </row>
    <row r="502" spans="1:57" x14ac:dyDescent="0.35">
      <c r="A502" s="36">
        <v>1057</v>
      </c>
      <c r="B502" s="36">
        <v>5</v>
      </c>
      <c r="C502" s="36">
        <v>0</v>
      </c>
      <c r="D502" s="36">
        <v>0</v>
      </c>
      <c r="E502" s="36">
        <v>0</v>
      </c>
      <c r="F502" s="36">
        <v>0</v>
      </c>
      <c r="G502" s="36" t="s">
        <v>64</v>
      </c>
      <c r="H502" s="36" t="s">
        <v>65</v>
      </c>
      <c r="S502" s="39"/>
      <c r="BC502" s="39"/>
      <c r="BE502" s="39"/>
    </row>
    <row r="503" spans="1:57" x14ac:dyDescent="0.35">
      <c r="A503" s="36">
        <v>1057</v>
      </c>
      <c r="B503" s="36">
        <v>2</v>
      </c>
      <c r="C503" s="36">
        <v>0</v>
      </c>
      <c r="D503" s="36">
        <v>0</v>
      </c>
      <c r="E503" s="36">
        <v>0</v>
      </c>
      <c r="F503" s="36">
        <v>0</v>
      </c>
      <c r="G503" s="36" t="s">
        <v>64</v>
      </c>
      <c r="H503" s="36" t="s">
        <v>70</v>
      </c>
      <c r="S503" s="39"/>
      <c r="BC503" s="39"/>
      <c r="BE503" s="39"/>
    </row>
    <row r="504" spans="1:57" x14ac:dyDescent="0.35">
      <c r="A504" s="36">
        <v>1057</v>
      </c>
      <c r="B504" s="36">
        <v>3</v>
      </c>
      <c r="C504" s="36">
        <v>0</v>
      </c>
      <c r="D504" s="36">
        <v>0</v>
      </c>
      <c r="E504" s="36">
        <v>0</v>
      </c>
      <c r="F504" s="36">
        <v>0</v>
      </c>
      <c r="G504" s="36" t="s">
        <v>68</v>
      </c>
      <c r="H504" s="36" t="s">
        <v>65</v>
      </c>
      <c r="S504" s="39"/>
      <c r="BC504" s="39"/>
      <c r="BE504" s="39"/>
    </row>
    <row r="505" spans="1:57" x14ac:dyDescent="0.35">
      <c r="A505" s="36">
        <v>1057</v>
      </c>
      <c r="B505" s="36">
        <v>1</v>
      </c>
      <c r="C505" s="36">
        <v>0</v>
      </c>
      <c r="D505" s="36">
        <v>0</v>
      </c>
      <c r="E505" s="36">
        <v>0</v>
      </c>
      <c r="F505" s="36">
        <v>0</v>
      </c>
      <c r="G505" s="36" t="s">
        <v>66</v>
      </c>
      <c r="H505" s="36" t="s">
        <v>65</v>
      </c>
      <c r="S505" s="39"/>
      <c r="BC505" s="39"/>
      <c r="BE505" s="39"/>
    </row>
    <row r="506" spans="1:57" x14ac:dyDescent="0.35">
      <c r="A506" s="36">
        <v>1057</v>
      </c>
      <c r="B506" s="36">
        <v>1</v>
      </c>
      <c r="C506" s="36">
        <v>0</v>
      </c>
      <c r="D506" s="36">
        <v>0</v>
      </c>
      <c r="E506" s="36">
        <v>0</v>
      </c>
      <c r="F506" s="36">
        <v>0</v>
      </c>
      <c r="G506" s="36" t="s">
        <v>64</v>
      </c>
      <c r="H506" s="36" t="s">
        <v>65</v>
      </c>
      <c r="S506" s="39"/>
      <c r="BC506" s="39"/>
      <c r="BE506" s="39"/>
    </row>
    <row r="507" spans="1:57" x14ac:dyDescent="0.35">
      <c r="A507" s="36">
        <v>1057</v>
      </c>
      <c r="B507" s="36">
        <v>2</v>
      </c>
      <c r="C507" s="36">
        <v>0</v>
      </c>
      <c r="D507" s="36">
        <v>0</v>
      </c>
      <c r="E507" s="36">
        <v>0</v>
      </c>
      <c r="F507" s="36">
        <v>0</v>
      </c>
      <c r="G507" s="36" t="s">
        <v>64</v>
      </c>
      <c r="H507" s="36" t="s">
        <v>65</v>
      </c>
      <c r="S507" s="39"/>
      <c r="BC507" s="39"/>
      <c r="BE507" s="39"/>
    </row>
    <row r="508" spans="1:57" x14ac:dyDescent="0.35">
      <c r="A508" s="36">
        <v>1057</v>
      </c>
      <c r="B508" s="36">
        <v>2</v>
      </c>
      <c r="C508" s="36">
        <v>0</v>
      </c>
      <c r="D508" s="36">
        <v>0</v>
      </c>
      <c r="E508" s="36">
        <v>0</v>
      </c>
      <c r="F508" s="36">
        <v>0</v>
      </c>
      <c r="G508" s="36" t="s">
        <v>66</v>
      </c>
      <c r="H508" s="36" t="s">
        <v>65</v>
      </c>
      <c r="S508" s="39"/>
      <c r="BC508" s="39"/>
      <c r="BE508" s="39"/>
    </row>
    <row r="509" spans="1:57" x14ac:dyDescent="0.35">
      <c r="A509" s="36">
        <v>1057</v>
      </c>
      <c r="B509" s="36">
        <v>2</v>
      </c>
      <c r="C509" s="36">
        <v>0</v>
      </c>
      <c r="D509" s="36">
        <v>0</v>
      </c>
      <c r="E509" s="36">
        <v>0</v>
      </c>
      <c r="F509" s="36">
        <v>0</v>
      </c>
      <c r="G509" s="36" t="s">
        <v>68</v>
      </c>
      <c r="H509" s="36" t="s">
        <v>65</v>
      </c>
      <c r="S509" s="39"/>
      <c r="BC509" s="39"/>
      <c r="BE509" s="39"/>
    </row>
    <row r="510" spans="1:57" x14ac:dyDescent="0.35">
      <c r="A510" s="36">
        <v>1057</v>
      </c>
      <c r="B510" s="36">
        <v>2</v>
      </c>
      <c r="C510" s="36">
        <v>0</v>
      </c>
      <c r="D510" s="36">
        <v>0</v>
      </c>
      <c r="E510" s="36">
        <v>0</v>
      </c>
      <c r="F510" s="36">
        <v>0</v>
      </c>
      <c r="G510" s="36" t="s">
        <v>64</v>
      </c>
      <c r="H510" s="36" t="s">
        <v>70</v>
      </c>
      <c r="S510" s="39"/>
      <c r="BC510" s="39"/>
      <c r="BE510" s="39"/>
    </row>
    <row r="511" spans="1:57" x14ac:dyDescent="0.35">
      <c r="A511" s="36">
        <v>1057</v>
      </c>
      <c r="B511" s="36">
        <v>2</v>
      </c>
      <c r="C511" s="36">
        <v>0</v>
      </c>
      <c r="D511" s="36">
        <v>0</v>
      </c>
      <c r="E511" s="36">
        <v>0</v>
      </c>
      <c r="F511" s="36">
        <v>0</v>
      </c>
      <c r="G511" s="36" t="s">
        <v>64</v>
      </c>
      <c r="H511" s="36" t="s">
        <v>65</v>
      </c>
      <c r="S511" s="39"/>
      <c r="BC511" s="39"/>
      <c r="BE511" s="39"/>
    </row>
    <row r="512" spans="1:57" x14ac:dyDescent="0.35">
      <c r="A512" s="36">
        <v>1057</v>
      </c>
      <c r="B512" s="36">
        <v>2</v>
      </c>
      <c r="C512" s="36">
        <v>0</v>
      </c>
      <c r="D512" s="36">
        <v>0</v>
      </c>
      <c r="E512" s="36">
        <v>0</v>
      </c>
      <c r="F512" s="36">
        <v>0</v>
      </c>
      <c r="G512" s="36" t="s">
        <v>66</v>
      </c>
      <c r="H512" s="36" t="s">
        <v>65</v>
      </c>
      <c r="S512" s="39"/>
      <c r="BC512" s="39"/>
      <c r="BE512" s="39"/>
    </row>
    <row r="513" spans="1:57" x14ac:dyDescent="0.35">
      <c r="A513" s="36">
        <v>1057</v>
      </c>
      <c r="B513" s="36">
        <v>4</v>
      </c>
      <c r="C513" s="36">
        <v>0</v>
      </c>
      <c r="D513" s="36">
        <v>0</v>
      </c>
      <c r="E513" s="36">
        <v>0</v>
      </c>
      <c r="F513" s="36">
        <v>0</v>
      </c>
      <c r="G513" s="36" t="s">
        <v>64</v>
      </c>
      <c r="H513" s="36" t="s">
        <v>65</v>
      </c>
      <c r="S513" s="39"/>
      <c r="BC513" s="39"/>
      <c r="BE513" s="39"/>
    </row>
    <row r="514" spans="1:57" x14ac:dyDescent="0.35">
      <c r="A514" s="36">
        <v>1057</v>
      </c>
      <c r="B514" s="36">
        <v>1</v>
      </c>
      <c r="C514" s="36">
        <v>3</v>
      </c>
      <c r="D514" s="36">
        <v>0</v>
      </c>
      <c r="E514" s="36">
        <v>0</v>
      </c>
      <c r="F514" s="36">
        <v>0</v>
      </c>
      <c r="G514" s="36" t="s">
        <v>64</v>
      </c>
      <c r="H514" s="36" t="s">
        <v>65</v>
      </c>
      <c r="S514" s="39"/>
      <c r="BC514" s="39"/>
      <c r="BE514" s="39"/>
    </row>
    <row r="515" spans="1:57" x14ac:dyDescent="0.35">
      <c r="A515" s="36">
        <v>1057</v>
      </c>
      <c r="B515" s="36">
        <v>2</v>
      </c>
      <c r="C515" s="36">
        <v>0</v>
      </c>
      <c r="D515" s="36">
        <v>0</v>
      </c>
      <c r="E515" s="36">
        <v>0</v>
      </c>
      <c r="F515" s="36">
        <v>0</v>
      </c>
      <c r="G515" s="36" t="s">
        <v>64</v>
      </c>
      <c r="H515" s="36" t="s">
        <v>65</v>
      </c>
      <c r="S515" s="39"/>
      <c r="BC515" s="39"/>
      <c r="BE515" s="39"/>
    </row>
    <row r="516" spans="1:57" x14ac:dyDescent="0.35">
      <c r="A516" s="36">
        <v>1057</v>
      </c>
      <c r="B516" s="36">
        <v>3</v>
      </c>
      <c r="C516" s="36">
        <v>0</v>
      </c>
      <c r="D516" s="36">
        <v>0</v>
      </c>
      <c r="E516" s="36">
        <v>0</v>
      </c>
      <c r="F516" s="36">
        <v>0</v>
      </c>
      <c r="G516" s="36" t="s">
        <v>66</v>
      </c>
      <c r="H516" s="36" t="s">
        <v>65</v>
      </c>
      <c r="S516" s="39"/>
      <c r="BC516" s="39"/>
      <c r="BE516" s="39"/>
    </row>
    <row r="517" spans="1:57" x14ac:dyDescent="0.35">
      <c r="A517" s="36">
        <v>1057</v>
      </c>
      <c r="B517" s="36">
        <v>2</v>
      </c>
      <c r="C517" s="36">
        <v>0</v>
      </c>
      <c r="D517" s="36">
        <v>0</v>
      </c>
      <c r="E517" s="36">
        <v>0</v>
      </c>
      <c r="F517" s="36">
        <v>0</v>
      </c>
      <c r="G517" s="36" t="s">
        <v>64</v>
      </c>
      <c r="H517" s="36" t="s">
        <v>65</v>
      </c>
      <c r="S517" s="39"/>
      <c r="BC517" s="39"/>
      <c r="BE517" s="39"/>
    </row>
    <row r="518" spans="1:57" x14ac:dyDescent="0.35">
      <c r="A518" s="36">
        <v>1057</v>
      </c>
      <c r="B518" s="36">
        <v>1</v>
      </c>
      <c r="C518" s="36">
        <v>0</v>
      </c>
      <c r="D518" s="36">
        <v>0</v>
      </c>
      <c r="E518" s="36">
        <v>0</v>
      </c>
      <c r="F518" s="36">
        <v>0</v>
      </c>
      <c r="G518" s="36" t="s">
        <v>64</v>
      </c>
      <c r="H518" s="36" t="s">
        <v>65</v>
      </c>
      <c r="S518" s="39"/>
      <c r="BC518" s="39"/>
      <c r="BE518" s="39"/>
    </row>
    <row r="519" spans="1:57" x14ac:dyDescent="0.35">
      <c r="A519" s="36">
        <v>1057</v>
      </c>
      <c r="B519" s="36">
        <v>2</v>
      </c>
      <c r="C519" s="36">
        <v>0</v>
      </c>
      <c r="D519" s="36">
        <v>0</v>
      </c>
      <c r="E519" s="36">
        <v>0</v>
      </c>
      <c r="F519" s="36">
        <v>0</v>
      </c>
      <c r="G519" s="36" t="s">
        <v>67</v>
      </c>
      <c r="H519" s="36" t="s">
        <v>65</v>
      </c>
      <c r="S519" s="39"/>
      <c r="BC519" s="39"/>
      <c r="BE519" s="39"/>
    </row>
    <row r="520" spans="1:57" x14ac:dyDescent="0.35">
      <c r="A520" s="36">
        <v>1057</v>
      </c>
      <c r="B520" s="36">
        <v>2</v>
      </c>
      <c r="C520" s="36">
        <v>0</v>
      </c>
      <c r="D520" s="36">
        <v>0</v>
      </c>
      <c r="E520" s="36">
        <v>0</v>
      </c>
      <c r="F520" s="36">
        <v>0</v>
      </c>
      <c r="G520" s="36" t="s">
        <v>67</v>
      </c>
      <c r="H520" s="36" t="s">
        <v>65</v>
      </c>
      <c r="S520" s="39"/>
      <c r="BC520" s="39"/>
      <c r="BE520" s="39"/>
    </row>
    <row r="521" spans="1:57" x14ac:dyDescent="0.35">
      <c r="A521" s="36">
        <v>1057</v>
      </c>
      <c r="B521" s="36">
        <v>2</v>
      </c>
      <c r="C521" s="36">
        <v>0</v>
      </c>
      <c r="D521" s="36">
        <v>0</v>
      </c>
      <c r="E521" s="36">
        <v>0</v>
      </c>
      <c r="F521" s="36">
        <v>0</v>
      </c>
      <c r="G521" s="36" t="s">
        <v>66</v>
      </c>
      <c r="H521" s="36" t="s">
        <v>65</v>
      </c>
      <c r="S521" s="39"/>
      <c r="BC521" s="39"/>
      <c r="BE521" s="39"/>
    </row>
    <row r="522" spans="1:57" x14ac:dyDescent="0.35">
      <c r="A522" s="36">
        <v>1057</v>
      </c>
      <c r="B522" s="36">
        <v>2</v>
      </c>
      <c r="C522" s="36">
        <v>0</v>
      </c>
      <c r="D522" s="36">
        <v>0</v>
      </c>
      <c r="E522" s="36">
        <v>0</v>
      </c>
      <c r="F522" s="36">
        <v>0</v>
      </c>
      <c r="G522" s="36" t="s">
        <v>68</v>
      </c>
      <c r="H522" s="36" t="s">
        <v>65</v>
      </c>
      <c r="S522" s="39"/>
      <c r="BC522" s="39"/>
      <c r="BE522" s="39"/>
    </row>
    <row r="523" spans="1:57" x14ac:dyDescent="0.35">
      <c r="A523" s="36">
        <v>1057</v>
      </c>
      <c r="B523" s="36">
        <v>1</v>
      </c>
      <c r="C523" s="36">
        <v>1</v>
      </c>
      <c r="D523" s="36">
        <v>0</v>
      </c>
      <c r="E523" s="36">
        <v>0</v>
      </c>
      <c r="F523" s="36">
        <v>0</v>
      </c>
      <c r="G523" s="36" t="s">
        <v>66</v>
      </c>
      <c r="H523" s="36" t="s">
        <v>65</v>
      </c>
      <c r="S523" s="39"/>
      <c r="BC523" s="39"/>
      <c r="BE523" s="39"/>
    </row>
    <row r="524" spans="1:57" x14ac:dyDescent="0.35">
      <c r="A524" s="36">
        <v>1057</v>
      </c>
      <c r="B524" s="36">
        <v>0</v>
      </c>
      <c r="C524" s="36">
        <v>0</v>
      </c>
      <c r="D524" s="36">
        <v>0</v>
      </c>
      <c r="E524" s="36">
        <v>0</v>
      </c>
      <c r="F524" s="36">
        <v>0</v>
      </c>
      <c r="G524" s="36" t="s">
        <v>67</v>
      </c>
      <c r="H524" s="36" t="s">
        <v>65</v>
      </c>
      <c r="S524" s="39"/>
      <c r="BC524" s="39"/>
      <c r="BE524" s="39"/>
    </row>
    <row r="525" spans="1:57" x14ac:dyDescent="0.35">
      <c r="A525" s="36">
        <v>1057</v>
      </c>
      <c r="B525" s="36">
        <v>2</v>
      </c>
      <c r="C525" s="36">
        <v>0</v>
      </c>
      <c r="D525" s="36">
        <v>0</v>
      </c>
      <c r="E525" s="36">
        <v>0</v>
      </c>
      <c r="F525" s="36">
        <v>0</v>
      </c>
      <c r="G525" s="36" t="s">
        <v>66</v>
      </c>
      <c r="H525" s="36" t="s">
        <v>65</v>
      </c>
      <c r="S525" s="39"/>
      <c r="BC525" s="39"/>
      <c r="BE525" s="39"/>
    </row>
    <row r="526" spans="1:57" x14ac:dyDescent="0.35">
      <c r="A526" s="36">
        <v>1057</v>
      </c>
      <c r="B526" s="36">
        <v>2</v>
      </c>
      <c r="C526" s="36">
        <v>0</v>
      </c>
      <c r="D526" s="36">
        <v>0</v>
      </c>
      <c r="E526" s="36">
        <v>0</v>
      </c>
      <c r="F526" s="36">
        <v>0</v>
      </c>
      <c r="G526" s="36" t="s">
        <v>64</v>
      </c>
      <c r="H526" s="36" t="s">
        <v>65</v>
      </c>
      <c r="S526" s="39"/>
      <c r="BC526" s="39"/>
      <c r="BE526" s="39"/>
    </row>
    <row r="527" spans="1:57" x14ac:dyDescent="0.35">
      <c r="A527" s="36">
        <v>1057</v>
      </c>
      <c r="B527" s="36">
        <v>1</v>
      </c>
      <c r="C527" s="36">
        <v>0</v>
      </c>
      <c r="D527" s="36">
        <v>0</v>
      </c>
      <c r="E527" s="36">
        <v>0</v>
      </c>
      <c r="F527" s="36">
        <v>0</v>
      </c>
      <c r="G527" s="36" t="s">
        <v>64</v>
      </c>
      <c r="H527" s="36" t="s">
        <v>69</v>
      </c>
      <c r="S527" s="39"/>
      <c r="BC527" s="39"/>
      <c r="BE527" s="39"/>
    </row>
    <row r="528" spans="1:57" x14ac:dyDescent="0.35">
      <c r="A528" s="36">
        <v>1057</v>
      </c>
      <c r="B528" s="36">
        <v>2</v>
      </c>
      <c r="C528" s="36">
        <v>0</v>
      </c>
      <c r="D528" s="36">
        <v>0</v>
      </c>
      <c r="E528" s="36">
        <v>0</v>
      </c>
      <c r="F528" s="36">
        <v>0</v>
      </c>
      <c r="G528" s="36" t="s">
        <v>64</v>
      </c>
      <c r="H528" s="36" t="s">
        <v>65</v>
      </c>
      <c r="S528" s="39"/>
      <c r="BC528" s="39"/>
      <c r="BE528" s="39"/>
    </row>
    <row r="529" spans="1:57" x14ac:dyDescent="0.35">
      <c r="A529" s="36">
        <v>1057</v>
      </c>
      <c r="B529" s="36">
        <v>5</v>
      </c>
      <c r="C529" s="36">
        <v>0</v>
      </c>
      <c r="D529" s="36">
        <v>0</v>
      </c>
      <c r="E529" s="36">
        <v>0</v>
      </c>
      <c r="F529" s="36">
        <v>0</v>
      </c>
      <c r="G529" s="36" t="s">
        <v>66</v>
      </c>
      <c r="H529" s="36" t="s">
        <v>65</v>
      </c>
      <c r="S529" s="39"/>
      <c r="BC529" s="39"/>
      <c r="BE529" s="39"/>
    </row>
    <row r="530" spans="1:57" x14ac:dyDescent="0.35">
      <c r="A530" s="36">
        <v>1057</v>
      </c>
      <c r="B530" s="36">
        <v>2</v>
      </c>
      <c r="C530" s="36">
        <v>0</v>
      </c>
      <c r="D530" s="36">
        <v>0</v>
      </c>
      <c r="E530" s="36">
        <v>0</v>
      </c>
      <c r="F530" s="36">
        <v>0</v>
      </c>
      <c r="G530" s="36" t="s">
        <v>64</v>
      </c>
      <c r="H530" s="36" t="s">
        <v>65</v>
      </c>
      <c r="S530" s="39"/>
      <c r="BC530" s="39"/>
      <c r="BE530" s="39"/>
    </row>
    <row r="531" spans="1:57" x14ac:dyDescent="0.35">
      <c r="A531" s="36">
        <v>1057</v>
      </c>
      <c r="B531" s="36">
        <v>2</v>
      </c>
      <c r="C531" s="36">
        <v>0</v>
      </c>
      <c r="D531" s="36">
        <v>0</v>
      </c>
      <c r="E531" s="36">
        <v>0</v>
      </c>
      <c r="F531" s="36">
        <v>0</v>
      </c>
      <c r="G531" s="36" t="s">
        <v>66</v>
      </c>
      <c r="H531" s="36" t="s">
        <v>65</v>
      </c>
      <c r="S531" s="39"/>
      <c r="BC531" s="39"/>
      <c r="BE531" s="39"/>
    </row>
    <row r="532" spans="1:57" x14ac:dyDescent="0.35">
      <c r="A532" s="36">
        <v>1057</v>
      </c>
      <c r="B532" s="36">
        <v>0</v>
      </c>
      <c r="C532" s="36">
        <v>3</v>
      </c>
      <c r="D532" s="36">
        <v>0</v>
      </c>
      <c r="E532" s="36">
        <v>0</v>
      </c>
      <c r="F532" s="36">
        <v>0</v>
      </c>
      <c r="G532" s="36" t="s">
        <v>64</v>
      </c>
      <c r="H532" s="36" t="s">
        <v>70</v>
      </c>
      <c r="S532" s="39"/>
      <c r="BC532" s="39"/>
      <c r="BE532" s="39"/>
    </row>
    <row r="533" spans="1:57" x14ac:dyDescent="0.35">
      <c r="A533" s="36">
        <v>1057</v>
      </c>
      <c r="B533" s="36">
        <v>2</v>
      </c>
      <c r="C533" s="36">
        <v>0</v>
      </c>
      <c r="D533" s="36">
        <v>0</v>
      </c>
      <c r="E533" s="36">
        <v>0</v>
      </c>
      <c r="F533" s="36">
        <v>0</v>
      </c>
      <c r="G533" s="36" t="s">
        <v>66</v>
      </c>
      <c r="H533" s="36" t="s">
        <v>65</v>
      </c>
      <c r="S533" s="39"/>
      <c r="BC533" s="39"/>
      <c r="BE533" s="39"/>
    </row>
    <row r="534" spans="1:57" x14ac:dyDescent="0.35">
      <c r="A534" s="36">
        <v>1057</v>
      </c>
      <c r="B534" s="36">
        <v>3</v>
      </c>
      <c r="C534" s="36">
        <v>0</v>
      </c>
      <c r="D534" s="36">
        <v>0</v>
      </c>
      <c r="E534" s="36">
        <v>0</v>
      </c>
      <c r="F534" s="36">
        <v>0</v>
      </c>
      <c r="G534" s="36" t="s">
        <v>64</v>
      </c>
      <c r="H534" s="36" t="s">
        <v>65</v>
      </c>
      <c r="S534" s="39"/>
      <c r="BC534" s="39"/>
      <c r="BE534" s="39"/>
    </row>
    <row r="535" spans="1:57" x14ac:dyDescent="0.35">
      <c r="A535" s="36">
        <v>1057</v>
      </c>
      <c r="B535" s="36">
        <v>4</v>
      </c>
      <c r="C535" s="36">
        <v>0</v>
      </c>
      <c r="D535" s="36">
        <v>0</v>
      </c>
      <c r="E535" s="36">
        <v>0</v>
      </c>
      <c r="F535" s="36">
        <v>0</v>
      </c>
      <c r="G535" s="36" t="s">
        <v>66</v>
      </c>
      <c r="H535" s="36" t="s">
        <v>65</v>
      </c>
      <c r="S535" s="39"/>
      <c r="BC535" s="39"/>
      <c r="BE535" s="39"/>
    </row>
    <row r="536" spans="1:57" x14ac:dyDescent="0.35">
      <c r="A536" s="36">
        <v>1057</v>
      </c>
      <c r="B536" s="36">
        <v>0</v>
      </c>
      <c r="C536" s="36">
        <v>1</v>
      </c>
      <c r="D536" s="36">
        <v>0</v>
      </c>
      <c r="E536" s="36">
        <v>0</v>
      </c>
      <c r="F536" s="36">
        <v>0</v>
      </c>
      <c r="G536" s="36" t="s">
        <v>64</v>
      </c>
      <c r="H536" s="36" t="s">
        <v>70</v>
      </c>
      <c r="S536" s="39"/>
      <c r="BC536" s="39"/>
      <c r="BE536" s="39"/>
    </row>
    <row r="537" spans="1:57" x14ac:dyDescent="0.35">
      <c r="A537" s="36">
        <v>1057</v>
      </c>
      <c r="B537" s="36">
        <v>1</v>
      </c>
      <c r="C537" s="36">
        <v>0</v>
      </c>
      <c r="D537" s="36">
        <v>0</v>
      </c>
      <c r="E537" s="36">
        <v>0</v>
      </c>
      <c r="F537" s="36">
        <v>0</v>
      </c>
      <c r="G537" s="36" t="s">
        <v>66</v>
      </c>
      <c r="H537" s="36" t="s">
        <v>70</v>
      </c>
      <c r="S537" s="39"/>
      <c r="BC537" s="39"/>
      <c r="BE537" s="39"/>
    </row>
    <row r="538" spans="1:57" x14ac:dyDescent="0.35">
      <c r="A538" s="36">
        <v>1057</v>
      </c>
      <c r="B538" s="36">
        <v>0</v>
      </c>
      <c r="C538" s="36">
        <v>2</v>
      </c>
      <c r="D538" s="36">
        <v>0</v>
      </c>
      <c r="E538" s="36">
        <v>0</v>
      </c>
      <c r="F538" s="36">
        <v>0</v>
      </c>
      <c r="G538" s="36" t="s">
        <v>64</v>
      </c>
      <c r="H538" s="36" t="s">
        <v>65</v>
      </c>
      <c r="S538" s="39"/>
      <c r="BC538" s="39"/>
      <c r="BE538" s="39"/>
    </row>
    <row r="539" spans="1:57" x14ac:dyDescent="0.35">
      <c r="A539" s="36">
        <v>1057</v>
      </c>
      <c r="B539" s="36">
        <v>4</v>
      </c>
      <c r="C539" s="36">
        <v>0</v>
      </c>
      <c r="D539" s="36">
        <v>0</v>
      </c>
      <c r="E539" s="36">
        <v>0</v>
      </c>
      <c r="F539" s="36">
        <v>0</v>
      </c>
      <c r="G539" s="36" t="s">
        <v>66</v>
      </c>
      <c r="H539" s="36" t="s">
        <v>65</v>
      </c>
      <c r="S539" s="39"/>
      <c r="BC539" s="39"/>
      <c r="BE539" s="39"/>
    </row>
    <row r="540" spans="1:57" x14ac:dyDescent="0.35">
      <c r="A540" s="36">
        <v>1057</v>
      </c>
      <c r="B540" s="36">
        <v>2</v>
      </c>
      <c r="C540" s="36">
        <v>0</v>
      </c>
      <c r="D540" s="36">
        <v>0</v>
      </c>
      <c r="E540" s="36">
        <v>0</v>
      </c>
      <c r="F540" s="36">
        <v>0</v>
      </c>
      <c r="G540" s="36" t="s">
        <v>68</v>
      </c>
      <c r="H540" s="36" t="s">
        <v>65</v>
      </c>
      <c r="S540" s="39"/>
      <c r="BC540" s="39"/>
      <c r="BE540" s="39"/>
    </row>
    <row r="541" spans="1:57" x14ac:dyDescent="0.35">
      <c r="A541" s="36">
        <v>1057</v>
      </c>
      <c r="B541" s="36">
        <v>4</v>
      </c>
      <c r="C541" s="36">
        <v>0</v>
      </c>
      <c r="D541" s="36">
        <v>0</v>
      </c>
      <c r="E541" s="36">
        <v>0</v>
      </c>
      <c r="F541" s="36">
        <v>0</v>
      </c>
      <c r="G541" s="36" t="s">
        <v>66</v>
      </c>
      <c r="H541" s="36" t="s">
        <v>65</v>
      </c>
      <c r="S541" s="39"/>
      <c r="BC541" s="39"/>
      <c r="BE541" s="39"/>
    </row>
    <row r="542" spans="1:57" x14ac:dyDescent="0.35">
      <c r="A542" s="36">
        <v>1057</v>
      </c>
      <c r="B542" s="36">
        <v>2</v>
      </c>
      <c r="C542" s="36">
        <v>0</v>
      </c>
      <c r="D542" s="36">
        <v>0</v>
      </c>
      <c r="E542" s="36">
        <v>0</v>
      </c>
      <c r="F542" s="36">
        <v>0</v>
      </c>
      <c r="G542" s="36" t="s">
        <v>64</v>
      </c>
      <c r="H542" s="36" t="s">
        <v>65</v>
      </c>
      <c r="S542" s="39"/>
      <c r="BC542" s="39"/>
      <c r="BE542" s="39"/>
    </row>
    <row r="543" spans="1:57" x14ac:dyDescent="0.35">
      <c r="A543" s="36">
        <v>1057</v>
      </c>
      <c r="B543" s="36">
        <v>0</v>
      </c>
      <c r="C543" s="36">
        <v>1</v>
      </c>
      <c r="D543" s="36">
        <v>0</v>
      </c>
      <c r="E543" s="36">
        <v>0</v>
      </c>
      <c r="F543" s="36">
        <v>0</v>
      </c>
      <c r="G543" s="36" t="s">
        <v>64</v>
      </c>
      <c r="H543" s="36" t="s">
        <v>65</v>
      </c>
      <c r="S543" s="39"/>
      <c r="BC543" s="39"/>
      <c r="BE543" s="39"/>
    </row>
    <row r="544" spans="1:57" x14ac:dyDescent="0.35">
      <c r="A544" s="36">
        <v>1057</v>
      </c>
      <c r="B544" s="36">
        <v>2</v>
      </c>
      <c r="C544" s="36">
        <v>0</v>
      </c>
      <c r="D544" s="36">
        <v>0</v>
      </c>
      <c r="E544" s="36">
        <v>0</v>
      </c>
      <c r="F544" s="36">
        <v>0</v>
      </c>
      <c r="G544" s="36" t="s">
        <v>66</v>
      </c>
      <c r="H544" s="36" t="s">
        <v>65</v>
      </c>
      <c r="S544" s="39"/>
      <c r="BC544" s="39"/>
      <c r="BE544" s="39"/>
    </row>
    <row r="545" spans="1:57" x14ac:dyDescent="0.35">
      <c r="A545" s="36">
        <v>1057</v>
      </c>
      <c r="B545" s="36">
        <v>1</v>
      </c>
      <c r="C545" s="36">
        <v>0</v>
      </c>
      <c r="D545" s="36">
        <v>0</v>
      </c>
      <c r="E545" s="36">
        <v>0</v>
      </c>
      <c r="F545" s="36">
        <v>0</v>
      </c>
      <c r="G545" s="36" t="s">
        <v>66</v>
      </c>
      <c r="H545" s="36" t="s">
        <v>65</v>
      </c>
      <c r="S545" s="39"/>
      <c r="BC545" s="39"/>
      <c r="BE545" s="39"/>
    </row>
    <row r="546" spans="1:57" x14ac:dyDescent="0.35">
      <c r="A546" s="36">
        <v>1057</v>
      </c>
      <c r="B546" s="36">
        <v>3</v>
      </c>
      <c r="C546" s="36">
        <v>0</v>
      </c>
      <c r="D546" s="36">
        <v>0</v>
      </c>
      <c r="E546" s="36">
        <v>0</v>
      </c>
      <c r="F546" s="36">
        <v>0</v>
      </c>
      <c r="G546" s="36" t="s">
        <v>66</v>
      </c>
      <c r="H546" s="36" t="s">
        <v>65</v>
      </c>
      <c r="S546" s="39"/>
      <c r="BC546" s="39"/>
      <c r="BE546" s="39"/>
    </row>
    <row r="547" spans="1:57" x14ac:dyDescent="0.35">
      <c r="A547" s="36">
        <v>1057</v>
      </c>
      <c r="B547" s="36">
        <v>2</v>
      </c>
      <c r="C547" s="36">
        <v>0</v>
      </c>
      <c r="D547" s="36">
        <v>0</v>
      </c>
      <c r="E547" s="36">
        <v>0</v>
      </c>
      <c r="F547" s="36">
        <v>0</v>
      </c>
      <c r="G547" s="36" t="s">
        <v>67</v>
      </c>
      <c r="H547" s="36" t="s">
        <v>65</v>
      </c>
      <c r="S547" s="39"/>
      <c r="BC547" s="39"/>
      <c r="BE547" s="39"/>
    </row>
    <row r="548" spans="1:57" x14ac:dyDescent="0.35">
      <c r="A548" s="36">
        <v>1057</v>
      </c>
      <c r="B548" s="36">
        <v>2</v>
      </c>
      <c r="C548" s="36">
        <v>0</v>
      </c>
      <c r="D548" s="36">
        <v>0</v>
      </c>
      <c r="E548" s="36">
        <v>0</v>
      </c>
      <c r="F548" s="36">
        <v>0</v>
      </c>
      <c r="G548" s="36" t="s">
        <v>64</v>
      </c>
      <c r="H548" s="36" t="s">
        <v>65</v>
      </c>
      <c r="S548" s="39"/>
      <c r="BC548" s="39"/>
      <c r="BE548" s="39"/>
    </row>
    <row r="549" spans="1:57" x14ac:dyDescent="0.35">
      <c r="A549" s="36">
        <v>1057</v>
      </c>
      <c r="B549" s="36">
        <v>4</v>
      </c>
      <c r="C549" s="36">
        <v>0</v>
      </c>
      <c r="D549" s="36">
        <v>0</v>
      </c>
      <c r="E549" s="36">
        <v>0</v>
      </c>
      <c r="F549" s="36">
        <v>0</v>
      </c>
      <c r="G549" s="36" t="s">
        <v>68</v>
      </c>
      <c r="H549" s="36" t="s">
        <v>65</v>
      </c>
      <c r="S549" s="39"/>
      <c r="BC549" s="39"/>
      <c r="BE549" s="39"/>
    </row>
    <row r="550" spans="1:57" x14ac:dyDescent="0.35">
      <c r="A550" s="36">
        <v>1057</v>
      </c>
      <c r="B550" s="36">
        <v>3</v>
      </c>
      <c r="C550" s="36">
        <v>0</v>
      </c>
      <c r="D550" s="36">
        <v>0</v>
      </c>
      <c r="E550" s="36">
        <v>0</v>
      </c>
      <c r="F550" s="36">
        <v>0</v>
      </c>
      <c r="G550" s="36" t="s">
        <v>64</v>
      </c>
      <c r="H550" s="36" t="s">
        <v>65</v>
      </c>
      <c r="S550" s="39"/>
      <c r="BC550" s="39"/>
      <c r="BE550" s="39"/>
    </row>
    <row r="551" spans="1:57" x14ac:dyDescent="0.35">
      <c r="A551" s="36">
        <v>1057</v>
      </c>
      <c r="B551" s="36">
        <v>5</v>
      </c>
      <c r="C551" s="36">
        <v>0</v>
      </c>
      <c r="D551" s="36">
        <v>0</v>
      </c>
      <c r="E551" s="36">
        <v>0</v>
      </c>
      <c r="F551" s="36">
        <v>0</v>
      </c>
      <c r="G551" s="36" t="s">
        <v>66</v>
      </c>
      <c r="H551" s="36" t="s">
        <v>65</v>
      </c>
      <c r="S551" s="39"/>
      <c r="BC551" s="39"/>
      <c r="BE551" s="39"/>
    </row>
    <row r="552" spans="1:57" x14ac:dyDescent="0.35">
      <c r="A552" s="36">
        <v>1057</v>
      </c>
      <c r="B552" s="36">
        <v>3</v>
      </c>
      <c r="C552" s="36">
        <v>0</v>
      </c>
      <c r="D552" s="36">
        <v>0</v>
      </c>
      <c r="E552" s="36">
        <v>0</v>
      </c>
      <c r="F552" s="36">
        <v>0</v>
      </c>
      <c r="G552" s="36" t="s">
        <v>66</v>
      </c>
      <c r="H552" s="36" t="s">
        <v>65</v>
      </c>
      <c r="S552" s="39"/>
      <c r="BC552" s="39"/>
      <c r="BE552" s="39"/>
    </row>
    <row r="553" spans="1:57" x14ac:dyDescent="0.35">
      <c r="A553" s="36">
        <v>1057</v>
      </c>
      <c r="B553" s="36">
        <v>4</v>
      </c>
      <c r="C553" s="36">
        <v>0</v>
      </c>
      <c r="D553" s="36">
        <v>0</v>
      </c>
      <c r="E553" s="36">
        <v>0</v>
      </c>
      <c r="F553" s="36">
        <v>0</v>
      </c>
      <c r="G553" s="36" t="s">
        <v>64</v>
      </c>
      <c r="H553" s="36" t="s">
        <v>65</v>
      </c>
      <c r="S553" s="39"/>
      <c r="BC553" s="39"/>
      <c r="BE553" s="39"/>
    </row>
    <row r="554" spans="1:57" x14ac:dyDescent="0.35">
      <c r="A554" s="36">
        <v>1057</v>
      </c>
      <c r="B554" s="36">
        <v>2</v>
      </c>
      <c r="C554" s="36">
        <v>0</v>
      </c>
      <c r="D554" s="36">
        <v>0</v>
      </c>
      <c r="E554" s="36">
        <v>0</v>
      </c>
      <c r="F554" s="36">
        <v>0</v>
      </c>
      <c r="G554" s="36" t="s">
        <v>64</v>
      </c>
      <c r="H554" s="36" t="s">
        <v>65</v>
      </c>
      <c r="S554" s="39"/>
      <c r="BC554" s="39"/>
      <c r="BE554" s="39"/>
    </row>
    <row r="555" spans="1:57" x14ac:dyDescent="0.35">
      <c r="A555" s="36">
        <v>1057</v>
      </c>
      <c r="B555" s="36">
        <v>2</v>
      </c>
      <c r="C555" s="36">
        <v>0</v>
      </c>
      <c r="D555" s="36">
        <v>0</v>
      </c>
      <c r="E555" s="36">
        <v>0</v>
      </c>
      <c r="F555" s="36">
        <v>0</v>
      </c>
      <c r="G555" s="36" t="s">
        <v>66</v>
      </c>
      <c r="H555" s="36" t="s">
        <v>65</v>
      </c>
      <c r="S555" s="39"/>
      <c r="BC555" s="39"/>
      <c r="BE555" s="39"/>
    </row>
    <row r="556" spans="1:57" x14ac:dyDescent="0.35">
      <c r="A556" s="36">
        <v>1057</v>
      </c>
      <c r="B556" s="36">
        <v>2</v>
      </c>
      <c r="C556" s="36">
        <v>0</v>
      </c>
      <c r="D556" s="36">
        <v>0</v>
      </c>
      <c r="E556" s="36">
        <v>0</v>
      </c>
      <c r="F556" s="36">
        <v>0</v>
      </c>
      <c r="G556" s="36" t="s">
        <v>67</v>
      </c>
      <c r="H556" s="36" t="s">
        <v>65</v>
      </c>
      <c r="S556" s="39"/>
      <c r="BC556" s="39"/>
      <c r="BE556" s="39"/>
    </row>
    <row r="557" spans="1:57" x14ac:dyDescent="0.35">
      <c r="A557" s="36">
        <v>1057</v>
      </c>
      <c r="B557" s="36">
        <v>2</v>
      </c>
      <c r="C557" s="36">
        <v>0</v>
      </c>
      <c r="D557" s="36">
        <v>0</v>
      </c>
      <c r="E557" s="36">
        <v>0</v>
      </c>
      <c r="F557" s="36">
        <v>0</v>
      </c>
      <c r="G557" s="36" t="s">
        <v>66</v>
      </c>
      <c r="H557" s="36" t="s">
        <v>65</v>
      </c>
      <c r="S557" s="39"/>
      <c r="BC557" s="39"/>
      <c r="BE557" s="39"/>
    </row>
    <row r="558" spans="1:57" x14ac:dyDescent="0.35">
      <c r="A558" s="36">
        <v>1057</v>
      </c>
      <c r="B558" s="36">
        <v>0</v>
      </c>
      <c r="C558" s="36">
        <v>0</v>
      </c>
      <c r="D558" s="36">
        <v>3</v>
      </c>
      <c r="E558" s="36">
        <v>0</v>
      </c>
      <c r="F558" s="36">
        <v>0</v>
      </c>
      <c r="G558" s="36" t="s">
        <v>64</v>
      </c>
      <c r="H558" s="36" t="s">
        <v>69</v>
      </c>
      <c r="S558" s="39"/>
      <c r="BC558" s="39"/>
      <c r="BE558" s="39"/>
    </row>
    <row r="559" spans="1:57" x14ac:dyDescent="0.35">
      <c r="A559" s="36">
        <v>1057</v>
      </c>
      <c r="B559" s="36">
        <v>3</v>
      </c>
      <c r="C559" s="36">
        <v>0</v>
      </c>
      <c r="D559" s="36">
        <v>0</v>
      </c>
      <c r="E559" s="36">
        <v>0</v>
      </c>
      <c r="F559" s="36">
        <v>0</v>
      </c>
      <c r="G559" s="36" t="s">
        <v>64</v>
      </c>
      <c r="H559" s="36" t="s">
        <v>69</v>
      </c>
      <c r="S559" s="39"/>
      <c r="BC559" s="39"/>
      <c r="BE559" s="39"/>
    </row>
    <row r="560" spans="1:57" x14ac:dyDescent="0.35">
      <c r="A560" s="36">
        <v>1057</v>
      </c>
      <c r="B560" s="36">
        <v>1</v>
      </c>
      <c r="C560" s="36">
        <v>0</v>
      </c>
      <c r="D560" s="36">
        <v>0</v>
      </c>
      <c r="E560" s="36">
        <v>0</v>
      </c>
      <c r="F560" s="36">
        <v>0</v>
      </c>
      <c r="G560" s="36" t="s">
        <v>64</v>
      </c>
      <c r="H560" s="36" t="s">
        <v>70</v>
      </c>
      <c r="S560" s="39"/>
      <c r="BC560" s="39"/>
      <c r="BE560" s="39"/>
    </row>
    <row r="561" spans="1:57" x14ac:dyDescent="0.35">
      <c r="A561" s="36">
        <v>1057</v>
      </c>
      <c r="B561" s="36">
        <v>2</v>
      </c>
      <c r="C561" s="36">
        <v>0</v>
      </c>
      <c r="D561" s="36">
        <v>0</v>
      </c>
      <c r="E561" s="36">
        <v>0</v>
      </c>
      <c r="F561" s="36">
        <v>0</v>
      </c>
      <c r="G561" s="36" t="s">
        <v>64</v>
      </c>
      <c r="H561" s="36" t="s">
        <v>65</v>
      </c>
      <c r="S561" s="39"/>
      <c r="BC561" s="39"/>
      <c r="BE561" s="39"/>
    </row>
    <row r="562" spans="1:57" x14ac:dyDescent="0.35">
      <c r="A562" s="36">
        <v>1057</v>
      </c>
      <c r="B562" s="36">
        <v>5</v>
      </c>
      <c r="C562" s="36">
        <v>0</v>
      </c>
      <c r="D562" s="36">
        <v>0</v>
      </c>
      <c r="E562" s="36">
        <v>0</v>
      </c>
      <c r="F562" s="36">
        <v>0</v>
      </c>
      <c r="G562" s="36" t="s">
        <v>64</v>
      </c>
      <c r="H562" s="36" t="s">
        <v>65</v>
      </c>
      <c r="S562" s="39"/>
      <c r="BC562" s="39"/>
      <c r="BE562" s="39"/>
    </row>
    <row r="563" spans="1:57" x14ac:dyDescent="0.35">
      <c r="A563" s="36">
        <v>1057</v>
      </c>
      <c r="B563" s="36">
        <v>12</v>
      </c>
      <c r="C563" s="36">
        <v>0</v>
      </c>
      <c r="D563" s="36">
        <v>0</v>
      </c>
      <c r="E563" s="36">
        <v>0</v>
      </c>
      <c r="F563" s="36">
        <v>0</v>
      </c>
      <c r="G563" s="36" t="s">
        <v>64</v>
      </c>
      <c r="H563" s="36" t="s">
        <v>65</v>
      </c>
      <c r="S563" s="39"/>
      <c r="BC563" s="39"/>
      <c r="BE563" s="39"/>
    </row>
    <row r="564" spans="1:57" x14ac:dyDescent="0.35">
      <c r="A564" s="36">
        <v>1057</v>
      </c>
      <c r="B564" s="36">
        <v>10</v>
      </c>
      <c r="C564" s="36">
        <v>0</v>
      </c>
      <c r="D564" s="36">
        <v>0</v>
      </c>
      <c r="E564" s="36">
        <v>0</v>
      </c>
      <c r="F564" s="36">
        <v>0</v>
      </c>
      <c r="G564" s="36" t="s">
        <v>64</v>
      </c>
      <c r="H564" s="36" t="s">
        <v>65</v>
      </c>
      <c r="S564" s="39"/>
      <c r="BC564" s="39"/>
      <c r="BE564" s="39"/>
    </row>
    <row r="565" spans="1:57" x14ac:dyDescent="0.35">
      <c r="A565" s="36">
        <v>1057</v>
      </c>
      <c r="B565" s="36">
        <v>3</v>
      </c>
      <c r="C565" s="36">
        <v>0</v>
      </c>
      <c r="D565" s="36">
        <v>0</v>
      </c>
      <c r="E565" s="36">
        <v>0</v>
      </c>
      <c r="F565" s="36">
        <v>0</v>
      </c>
      <c r="G565" s="36" t="s">
        <v>67</v>
      </c>
      <c r="H565" s="36" t="s">
        <v>65</v>
      </c>
      <c r="S565" s="39"/>
      <c r="BC565" s="39"/>
      <c r="BE565" s="39"/>
    </row>
    <row r="566" spans="1:57" x14ac:dyDescent="0.35">
      <c r="A566" s="36">
        <v>1057</v>
      </c>
      <c r="B566" s="36">
        <v>0</v>
      </c>
      <c r="C566" s="36">
        <v>0</v>
      </c>
      <c r="D566" s="36">
        <v>1</v>
      </c>
      <c r="E566" s="36">
        <v>0</v>
      </c>
      <c r="F566" s="36">
        <v>0</v>
      </c>
      <c r="G566" s="36" t="s">
        <v>64</v>
      </c>
      <c r="H566" s="36" t="s">
        <v>70</v>
      </c>
      <c r="S566" s="39"/>
      <c r="BC566" s="39"/>
      <c r="BE566" s="39"/>
    </row>
    <row r="567" spans="1:57" x14ac:dyDescent="0.35">
      <c r="A567" s="36">
        <v>1057</v>
      </c>
      <c r="B567" s="36">
        <v>2</v>
      </c>
      <c r="C567" s="36">
        <v>0</v>
      </c>
      <c r="D567" s="36">
        <v>0</v>
      </c>
      <c r="E567" s="36">
        <v>0</v>
      </c>
      <c r="F567" s="36">
        <v>0</v>
      </c>
      <c r="G567" s="36" t="s">
        <v>64</v>
      </c>
      <c r="H567" s="36" t="s">
        <v>65</v>
      </c>
      <c r="S567" s="39"/>
      <c r="BC567" s="39"/>
      <c r="BE567" s="39"/>
    </row>
    <row r="568" spans="1:57" x14ac:dyDescent="0.35">
      <c r="A568" s="36">
        <v>1057</v>
      </c>
      <c r="B568" s="36">
        <v>4</v>
      </c>
      <c r="C568" s="36">
        <v>0</v>
      </c>
      <c r="D568" s="36">
        <v>0</v>
      </c>
      <c r="E568" s="36">
        <v>0</v>
      </c>
      <c r="F568" s="36">
        <v>0</v>
      </c>
      <c r="G568" s="36" t="s">
        <v>66</v>
      </c>
      <c r="H568" s="36" t="s">
        <v>65</v>
      </c>
      <c r="S568" s="39"/>
      <c r="BC568" s="39"/>
      <c r="BE568" s="39"/>
    </row>
    <row r="569" spans="1:57" x14ac:dyDescent="0.35">
      <c r="A569" s="36">
        <v>1057</v>
      </c>
      <c r="B569" s="36">
        <v>3</v>
      </c>
      <c r="C569" s="36">
        <v>0</v>
      </c>
      <c r="D569" s="36">
        <v>3</v>
      </c>
      <c r="E569" s="36">
        <v>0</v>
      </c>
      <c r="F569" s="36">
        <v>0</v>
      </c>
      <c r="G569" s="36" t="s">
        <v>64</v>
      </c>
      <c r="H569" s="36" t="s">
        <v>65</v>
      </c>
      <c r="S569" s="39"/>
      <c r="BC569" s="39"/>
      <c r="BE569" s="39"/>
    </row>
    <row r="570" spans="1:57" x14ac:dyDescent="0.35">
      <c r="A570" s="36">
        <v>1057</v>
      </c>
      <c r="B570" s="36">
        <v>3</v>
      </c>
      <c r="C570" s="36">
        <v>0</v>
      </c>
      <c r="D570" s="36">
        <v>0</v>
      </c>
      <c r="E570" s="36">
        <v>0</v>
      </c>
      <c r="F570" s="36">
        <v>0</v>
      </c>
      <c r="G570" s="36" t="s">
        <v>64</v>
      </c>
      <c r="H570" s="36" t="s">
        <v>65</v>
      </c>
      <c r="S570" s="39"/>
      <c r="BC570" s="39"/>
      <c r="BE570" s="39"/>
    </row>
    <row r="571" spans="1:57" x14ac:dyDescent="0.35">
      <c r="A571" s="36">
        <v>1057</v>
      </c>
      <c r="B571" s="36">
        <v>2</v>
      </c>
      <c r="C571" s="36">
        <v>0</v>
      </c>
      <c r="D571" s="36">
        <v>0</v>
      </c>
      <c r="E571" s="36">
        <v>0</v>
      </c>
      <c r="F571" s="36">
        <v>0</v>
      </c>
      <c r="G571" s="36" t="s">
        <v>66</v>
      </c>
      <c r="H571" s="36" t="s">
        <v>65</v>
      </c>
      <c r="S571" s="39"/>
      <c r="BC571" s="39"/>
      <c r="BE571" s="39"/>
    </row>
    <row r="572" spans="1:57" x14ac:dyDescent="0.35">
      <c r="A572" s="36">
        <v>1057</v>
      </c>
      <c r="B572" s="36">
        <v>3</v>
      </c>
      <c r="C572" s="36">
        <v>0</v>
      </c>
      <c r="D572" s="36">
        <v>0</v>
      </c>
      <c r="E572" s="36">
        <v>0</v>
      </c>
      <c r="F572" s="36">
        <v>0</v>
      </c>
      <c r="G572" s="36" t="s">
        <v>64</v>
      </c>
      <c r="H572" s="36" t="s">
        <v>65</v>
      </c>
      <c r="S572" s="39"/>
      <c r="BC572" s="39"/>
      <c r="BE572" s="39"/>
    </row>
    <row r="573" spans="1:57" x14ac:dyDescent="0.35">
      <c r="A573" s="36">
        <v>1057</v>
      </c>
      <c r="B573" s="36">
        <v>4</v>
      </c>
      <c r="C573" s="36">
        <v>0</v>
      </c>
      <c r="D573" s="36">
        <v>0</v>
      </c>
      <c r="E573" s="36">
        <v>0</v>
      </c>
      <c r="F573" s="36">
        <v>0</v>
      </c>
      <c r="G573" s="36" t="s">
        <v>64</v>
      </c>
      <c r="H573" s="36" t="s">
        <v>65</v>
      </c>
      <c r="S573" s="39"/>
      <c r="BC573" s="39"/>
      <c r="BE573" s="39"/>
    </row>
    <row r="574" spans="1:57" x14ac:dyDescent="0.35">
      <c r="A574" s="36">
        <v>1057</v>
      </c>
      <c r="B574" s="36">
        <v>1</v>
      </c>
      <c r="C574" s="36">
        <v>0</v>
      </c>
      <c r="D574" s="36">
        <v>0</v>
      </c>
      <c r="E574" s="36">
        <v>0</v>
      </c>
      <c r="F574" s="36">
        <v>0</v>
      </c>
      <c r="G574" s="36" t="s">
        <v>64</v>
      </c>
      <c r="H574" s="36" t="s">
        <v>65</v>
      </c>
      <c r="S574" s="39"/>
      <c r="BC574" s="39"/>
      <c r="BE574" s="39"/>
    </row>
    <row r="575" spans="1:57" x14ac:dyDescent="0.35">
      <c r="A575" s="36">
        <v>1057</v>
      </c>
      <c r="B575" s="36">
        <v>1</v>
      </c>
      <c r="C575" s="36">
        <v>0</v>
      </c>
      <c r="D575" s="36">
        <v>0</v>
      </c>
      <c r="E575" s="36">
        <v>0</v>
      </c>
      <c r="F575" s="36">
        <v>1</v>
      </c>
      <c r="G575" s="36" t="s">
        <v>64</v>
      </c>
      <c r="H575" s="36" t="s">
        <v>70</v>
      </c>
      <c r="S575" s="39"/>
      <c r="BC575" s="39"/>
      <c r="BE575" s="39"/>
    </row>
    <row r="576" spans="1:57" x14ac:dyDescent="0.35">
      <c r="A576" s="36">
        <v>1057</v>
      </c>
      <c r="B576" s="36">
        <v>4</v>
      </c>
      <c r="C576" s="36">
        <v>0</v>
      </c>
      <c r="D576" s="36">
        <v>0</v>
      </c>
      <c r="E576" s="36">
        <v>0</v>
      </c>
      <c r="F576" s="36">
        <v>0</v>
      </c>
      <c r="G576" s="36" t="s">
        <v>64</v>
      </c>
      <c r="H576" s="36" t="s">
        <v>70</v>
      </c>
      <c r="S576" s="39"/>
      <c r="BC576" s="39"/>
      <c r="BE576" s="39"/>
    </row>
    <row r="577" spans="1:57" x14ac:dyDescent="0.35">
      <c r="A577" s="36">
        <v>1057</v>
      </c>
      <c r="B577" s="36">
        <v>3</v>
      </c>
      <c r="C577" s="36">
        <v>0</v>
      </c>
      <c r="D577" s="36">
        <v>0</v>
      </c>
      <c r="E577" s="36">
        <v>0</v>
      </c>
      <c r="F577" s="36">
        <v>0</v>
      </c>
      <c r="G577" s="36" t="s">
        <v>64</v>
      </c>
      <c r="H577" s="36" t="s">
        <v>65</v>
      </c>
      <c r="S577" s="39"/>
      <c r="BC577" s="39"/>
      <c r="BE577" s="39"/>
    </row>
    <row r="578" spans="1:57" x14ac:dyDescent="0.35">
      <c r="A578" s="36">
        <v>1057</v>
      </c>
      <c r="B578" s="36">
        <v>1</v>
      </c>
      <c r="C578" s="36">
        <v>0</v>
      </c>
      <c r="D578" s="36">
        <v>0</v>
      </c>
      <c r="E578" s="36">
        <v>0</v>
      </c>
      <c r="F578" s="36">
        <v>0</v>
      </c>
      <c r="G578" s="36" t="s">
        <v>66</v>
      </c>
      <c r="H578" s="36" t="s">
        <v>65</v>
      </c>
      <c r="S578" s="39"/>
      <c r="BC578" s="39"/>
      <c r="BE578" s="39"/>
    </row>
    <row r="579" spans="1:57" x14ac:dyDescent="0.35">
      <c r="A579" s="36">
        <v>1057</v>
      </c>
      <c r="B579" s="36">
        <v>1</v>
      </c>
      <c r="C579" s="36">
        <v>2</v>
      </c>
      <c r="D579" s="36">
        <v>0</v>
      </c>
      <c r="E579" s="36">
        <v>0</v>
      </c>
      <c r="F579" s="36">
        <v>0</v>
      </c>
      <c r="G579" s="36" t="s">
        <v>64</v>
      </c>
      <c r="H579" s="36" t="s">
        <v>65</v>
      </c>
      <c r="S579" s="39"/>
      <c r="BC579" s="39"/>
      <c r="BE579" s="39"/>
    </row>
    <row r="580" spans="1:57" x14ac:dyDescent="0.35">
      <c r="A580" s="36">
        <v>1057</v>
      </c>
      <c r="B580" s="36">
        <v>2</v>
      </c>
      <c r="C580" s="36">
        <v>0</v>
      </c>
      <c r="D580" s="36">
        <v>0</v>
      </c>
      <c r="E580" s="36">
        <v>0</v>
      </c>
      <c r="F580" s="36">
        <v>0</v>
      </c>
      <c r="G580" s="36" t="s">
        <v>64</v>
      </c>
      <c r="H580" s="36" t="s">
        <v>65</v>
      </c>
      <c r="S580" s="39"/>
      <c r="BC580" s="39"/>
      <c r="BE580" s="39"/>
    </row>
    <row r="581" spans="1:57" x14ac:dyDescent="0.35">
      <c r="A581" s="36">
        <v>1057</v>
      </c>
      <c r="B581" s="36">
        <v>2</v>
      </c>
      <c r="C581" s="36">
        <v>0</v>
      </c>
      <c r="D581" s="36">
        <v>0</v>
      </c>
      <c r="E581" s="36">
        <v>0</v>
      </c>
      <c r="F581" s="36">
        <v>0</v>
      </c>
      <c r="G581" s="36" t="s">
        <v>64</v>
      </c>
      <c r="H581" s="36" t="s">
        <v>65</v>
      </c>
      <c r="S581" s="39"/>
      <c r="BC581" s="39"/>
      <c r="BE581" s="39"/>
    </row>
    <row r="582" spans="1:57" x14ac:dyDescent="0.35">
      <c r="A582" s="36">
        <v>1057</v>
      </c>
      <c r="B582" s="36">
        <v>3</v>
      </c>
      <c r="C582" s="36">
        <v>0</v>
      </c>
      <c r="D582" s="36">
        <v>0</v>
      </c>
      <c r="E582" s="36">
        <v>0</v>
      </c>
      <c r="F582" s="36">
        <v>0</v>
      </c>
      <c r="G582" s="36" t="s">
        <v>64</v>
      </c>
      <c r="H582" s="36" t="s">
        <v>65</v>
      </c>
      <c r="S582" s="39"/>
      <c r="BC582" s="39"/>
      <c r="BE582" s="39"/>
    </row>
    <row r="583" spans="1:57" x14ac:dyDescent="0.35">
      <c r="A583" s="36">
        <v>1057</v>
      </c>
      <c r="B583" s="36">
        <v>1</v>
      </c>
      <c r="C583" s="36">
        <v>0</v>
      </c>
      <c r="D583" s="36">
        <v>0</v>
      </c>
      <c r="E583" s="36">
        <v>0</v>
      </c>
      <c r="F583" s="36">
        <v>0</v>
      </c>
      <c r="G583" s="36" t="s">
        <v>66</v>
      </c>
      <c r="H583" s="36" t="s">
        <v>65</v>
      </c>
      <c r="S583" s="39"/>
      <c r="BC583" s="39"/>
      <c r="BE583" s="39"/>
    </row>
    <row r="584" spans="1:57" x14ac:dyDescent="0.35">
      <c r="A584" s="36">
        <v>1057</v>
      </c>
      <c r="B584" s="36">
        <v>1</v>
      </c>
      <c r="C584" s="36">
        <v>0</v>
      </c>
      <c r="D584" s="36">
        <v>0</v>
      </c>
      <c r="E584" s="36">
        <v>0</v>
      </c>
      <c r="F584" s="36">
        <v>0</v>
      </c>
      <c r="G584" s="36" t="s">
        <v>64</v>
      </c>
      <c r="H584" s="36" t="s">
        <v>70</v>
      </c>
      <c r="S584" s="39"/>
      <c r="BC584" s="39"/>
      <c r="BE584" s="39"/>
    </row>
    <row r="585" spans="1:57" x14ac:dyDescent="0.35">
      <c r="A585" s="36">
        <v>1057</v>
      </c>
      <c r="B585" s="36">
        <v>3</v>
      </c>
      <c r="C585" s="36">
        <v>0</v>
      </c>
      <c r="D585" s="36">
        <v>0</v>
      </c>
      <c r="E585" s="36">
        <v>0</v>
      </c>
      <c r="F585" s="36">
        <v>0</v>
      </c>
      <c r="G585" s="36" t="s">
        <v>64</v>
      </c>
      <c r="H585" s="36" t="s">
        <v>65</v>
      </c>
      <c r="S585" s="39"/>
      <c r="BC585" s="39"/>
      <c r="BE585" s="39"/>
    </row>
    <row r="586" spans="1:57" x14ac:dyDescent="0.35">
      <c r="A586" s="36">
        <v>1057</v>
      </c>
      <c r="B586" s="36">
        <v>3</v>
      </c>
      <c r="C586" s="36">
        <v>0</v>
      </c>
      <c r="D586" s="36">
        <v>0</v>
      </c>
      <c r="E586" s="36">
        <v>0</v>
      </c>
      <c r="F586" s="36">
        <v>0</v>
      </c>
      <c r="G586" s="36" t="s">
        <v>64</v>
      </c>
      <c r="H586" s="36" t="s">
        <v>65</v>
      </c>
      <c r="S586" s="39"/>
      <c r="BC586" s="39"/>
      <c r="BE586" s="39"/>
    </row>
    <row r="587" spans="1:57" x14ac:dyDescent="0.35">
      <c r="A587" s="36">
        <v>1057</v>
      </c>
      <c r="B587" s="36">
        <v>3</v>
      </c>
      <c r="C587" s="36">
        <v>0</v>
      </c>
      <c r="D587" s="36">
        <v>0</v>
      </c>
      <c r="E587" s="36">
        <v>0</v>
      </c>
      <c r="F587" s="36">
        <v>0</v>
      </c>
      <c r="G587" s="36" t="s">
        <v>64</v>
      </c>
      <c r="H587" s="36" t="s">
        <v>65</v>
      </c>
      <c r="S587" s="39"/>
      <c r="BC587" s="39"/>
      <c r="BE587" s="39"/>
    </row>
    <row r="588" spans="1:57" x14ac:dyDescent="0.35">
      <c r="A588" s="36">
        <v>1057</v>
      </c>
      <c r="B588" s="36">
        <v>3</v>
      </c>
      <c r="C588" s="36">
        <v>0</v>
      </c>
      <c r="D588" s="36">
        <v>0</v>
      </c>
      <c r="E588" s="36">
        <v>0</v>
      </c>
      <c r="F588" s="36">
        <v>0</v>
      </c>
      <c r="G588" s="36" t="s">
        <v>64</v>
      </c>
      <c r="H588" s="36" t="s">
        <v>65</v>
      </c>
      <c r="S588" s="39"/>
      <c r="BC588" s="39"/>
      <c r="BE588" s="39"/>
    </row>
    <row r="589" spans="1:57" x14ac:dyDescent="0.35">
      <c r="A589" s="36">
        <v>1057</v>
      </c>
      <c r="B589" s="36">
        <v>1</v>
      </c>
      <c r="C589" s="36">
        <v>1</v>
      </c>
      <c r="D589" s="36">
        <v>1</v>
      </c>
      <c r="E589" s="36">
        <v>0</v>
      </c>
      <c r="F589" s="36">
        <v>0</v>
      </c>
      <c r="G589" s="36" t="s">
        <v>66</v>
      </c>
      <c r="H589" s="36" t="s">
        <v>65</v>
      </c>
      <c r="S589" s="39"/>
      <c r="BC589" s="39"/>
      <c r="BE589" s="39"/>
    </row>
    <row r="590" spans="1:57" x14ac:dyDescent="0.35">
      <c r="A590" s="36">
        <v>1057</v>
      </c>
      <c r="B590" s="36">
        <v>2</v>
      </c>
      <c r="C590" s="36">
        <v>0</v>
      </c>
      <c r="D590" s="36">
        <v>0</v>
      </c>
      <c r="E590" s="36">
        <v>0</v>
      </c>
      <c r="F590" s="36">
        <v>0</v>
      </c>
      <c r="G590" s="36" t="s">
        <v>66</v>
      </c>
      <c r="H590" s="36" t="s">
        <v>65</v>
      </c>
      <c r="S590" s="39"/>
      <c r="BC590" s="39"/>
      <c r="BE590" s="39"/>
    </row>
    <row r="591" spans="1:57" x14ac:dyDescent="0.35">
      <c r="A591" s="36">
        <v>1057</v>
      </c>
      <c r="B591" s="36">
        <v>4</v>
      </c>
      <c r="C591" s="36">
        <v>0</v>
      </c>
      <c r="D591" s="36">
        <v>0</v>
      </c>
      <c r="E591" s="36">
        <v>0</v>
      </c>
      <c r="F591" s="36">
        <v>0</v>
      </c>
      <c r="G591" s="36" t="s">
        <v>64</v>
      </c>
      <c r="H591" s="36" t="s">
        <v>65</v>
      </c>
      <c r="S591" s="39"/>
      <c r="BC591" s="39"/>
      <c r="BE591" s="39"/>
    </row>
    <row r="592" spans="1:57" x14ac:dyDescent="0.35">
      <c r="A592" s="36">
        <v>1057</v>
      </c>
      <c r="B592" s="36">
        <v>2</v>
      </c>
      <c r="C592" s="36">
        <v>0</v>
      </c>
      <c r="D592" s="36">
        <v>0</v>
      </c>
      <c r="E592" s="36">
        <v>0</v>
      </c>
      <c r="F592" s="36">
        <v>0</v>
      </c>
      <c r="G592" s="36" t="s">
        <v>66</v>
      </c>
      <c r="H592" s="36" t="s">
        <v>65</v>
      </c>
      <c r="S592" s="39"/>
      <c r="BC592" s="39"/>
      <c r="BE592" s="39"/>
    </row>
    <row r="593" spans="1:57" x14ac:dyDescent="0.35">
      <c r="A593" s="36">
        <v>1057</v>
      </c>
      <c r="B593" s="36">
        <v>6</v>
      </c>
      <c r="C593" s="36">
        <v>0</v>
      </c>
      <c r="D593" s="36">
        <v>0</v>
      </c>
      <c r="E593" s="36">
        <v>0</v>
      </c>
      <c r="F593" s="36">
        <v>0</v>
      </c>
      <c r="G593" s="36" t="s">
        <v>64</v>
      </c>
      <c r="H593" s="36" t="s">
        <v>65</v>
      </c>
      <c r="S593" s="39"/>
      <c r="BC593" s="39"/>
      <c r="BE593" s="39"/>
    </row>
    <row r="594" spans="1:57" x14ac:dyDescent="0.35">
      <c r="A594" s="36">
        <v>1057</v>
      </c>
      <c r="B594" s="36">
        <v>2</v>
      </c>
      <c r="C594" s="36">
        <v>0</v>
      </c>
      <c r="D594" s="36">
        <v>0</v>
      </c>
      <c r="E594" s="36">
        <v>0</v>
      </c>
      <c r="F594" s="36">
        <v>0</v>
      </c>
      <c r="G594" s="36" t="s">
        <v>64</v>
      </c>
      <c r="H594" s="36" t="s">
        <v>65</v>
      </c>
      <c r="S594" s="39"/>
      <c r="BC594" s="39"/>
      <c r="BE594" s="39"/>
    </row>
    <row r="595" spans="1:57" x14ac:dyDescent="0.35">
      <c r="A595" s="36">
        <v>1057</v>
      </c>
      <c r="B595" s="36">
        <v>5</v>
      </c>
      <c r="C595" s="36">
        <v>0</v>
      </c>
      <c r="D595" s="36">
        <v>0</v>
      </c>
      <c r="E595" s="36">
        <v>0</v>
      </c>
      <c r="F595" s="36">
        <v>0</v>
      </c>
      <c r="G595" s="36" t="s">
        <v>64</v>
      </c>
      <c r="H595" s="36" t="s">
        <v>65</v>
      </c>
      <c r="S595" s="39"/>
      <c r="BC595" s="39"/>
      <c r="BE595" s="39"/>
    </row>
    <row r="596" spans="1:57" x14ac:dyDescent="0.35">
      <c r="A596" s="36">
        <v>1057</v>
      </c>
      <c r="B596" s="36">
        <v>4</v>
      </c>
      <c r="C596" s="36">
        <v>0</v>
      </c>
      <c r="D596" s="36">
        <v>0</v>
      </c>
      <c r="E596" s="36">
        <v>0</v>
      </c>
      <c r="F596" s="36">
        <v>0</v>
      </c>
      <c r="G596" s="36" t="s">
        <v>64</v>
      </c>
      <c r="H596" s="36" t="s">
        <v>65</v>
      </c>
      <c r="S596" s="39"/>
      <c r="BC596" s="39"/>
      <c r="BE596" s="39"/>
    </row>
    <row r="597" spans="1:57" x14ac:dyDescent="0.35">
      <c r="A597" s="36">
        <v>1057</v>
      </c>
      <c r="B597" s="36">
        <v>1</v>
      </c>
      <c r="C597" s="36">
        <v>1</v>
      </c>
      <c r="D597" s="36">
        <v>1</v>
      </c>
      <c r="E597" s="36">
        <v>0</v>
      </c>
      <c r="F597" s="36">
        <v>0</v>
      </c>
      <c r="G597" s="36" t="s">
        <v>64</v>
      </c>
      <c r="H597" s="36" t="s">
        <v>65</v>
      </c>
      <c r="S597" s="39"/>
      <c r="BC597" s="39"/>
      <c r="BE597" s="39"/>
    </row>
    <row r="598" spans="1:57" x14ac:dyDescent="0.35">
      <c r="A598" s="36">
        <v>1057</v>
      </c>
      <c r="B598" s="36">
        <v>2</v>
      </c>
      <c r="C598" s="36">
        <v>1</v>
      </c>
      <c r="D598" s="36">
        <v>0</v>
      </c>
      <c r="E598" s="36">
        <v>0</v>
      </c>
      <c r="F598" s="36">
        <v>0</v>
      </c>
      <c r="G598" s="36" t="s">
        <v>67</v>
      </c>
      <c r="H598" s="36" t="s">
        <v>65</v>
      </c>
      <c r="S598" s="39"/>
      <c r="BC598" s="39"/>
      <c r="BE598" s="39"/>
    </row>
    <row r="599" spans="1:57" x14ac:dyDescent="0.35">
      <c r="A599" s="36">
        <v>1057</v>
      </c>
      <c r="B599" s="36">
        <v>2</v>
      </c>
      <c r="C599" s="36">
        <v>0</v>
      </c>
      <c r="D599" s="36">
        <v>0</v>
      </c>
      <c r="E599" s="36">
        <v>0</v>
      </c>
      <c r="F599" s="36">
        <v>0</v>
      </c>
      <c r="G599" s="36" t="s">
        <v>64</v>
      </c>
      <c r="H599" s="36" t="s">
        <v>65</v>
      </c>
      <c r="S599" s="39"/>
      <c r="BC599" s="39"/>
      <c r="BE599" s="39"/>
    </row>
    <row r="600" spans="1:57" x14ac:dyDescent="0.35">
      <c r="A600" s="36">
        <v>1057</v>
      </c>
      <c r="B600" s="36">
        <v>2</v>
      </c>
      <c r="C600" s="36">
        <v>0</v>
      </c>
      <c r="D600" s="36">
        <v>0</v>
      </c>
      <c r="E600" s="36">
        <v>0</v>
      </c>
      <c r="F600" s="36">
        <v>0</v>
      </c>
      <c r="G600" s="36" t="s">
        <v>66</v>
      </c>
      <c r="H600" s="36" t="s">
        <v>65</v>
      </c>
      <c r="S600" s="39"/>
      <c r="BC600" s="39"/>
      <c r="BE600" s="39"/>
    </row>
    <row r="601" spans="1:57" x14ac:dyDescent="0.35">
      <c r="A601" s="36">
        <v>1057</v>
      </c>
      <c r="B601" s="36">
        <v>2</v>
      </c>
      <c r="C601" s="36">
        <v>0</v>
      </c>
      <c r="D601" s="36">
        <v>0</v>
      </c>
      <c r="E601" s="36">
        <v>0</v>
      </c>
      <c r="F601" s="36">
        <v>0</v>
      </c>
      <c r="G601" s="36" t="s">
        <v>64</v>
      </c>
      <c r="H601" s="36" t="s">
        <v>65</v>
      </c>
      <c r="S601" s="39"/>
      <c r="BC601" s="39"/>
      <c r="BE601" s="39"/>
    </row>
    <row r="602" spans="1:57" x14ac:dyDescent="0.35">
      <c r="A602" s="36">
        <v>1057</v>
      </c>
      <c r="B602" s="36">
        <v>4</v>
      </c>
      <c r="C602" s="36">
        <v>0</v>
      </c>
      <c r="D602" s="36">
        <v>0</v>
      </c>
      <c r="E602" s="36">
        <v>0</v>
      </c>
      <c r="F602" s="36">
        <v>0</v>
      </c>
      <c r="G602" s="36" t="s">
        <v>66</v>
      </c>
      <c r="H602" s="36" t="s">
        <v>65</v>
      </c>
      <c r="S602" s="39"/>
      <c r="BC602" s="39"/>
      <c r="BE602" s="39"/>
    </row>
    <row r="603" spans="1:57" x14ac:dyDescent="0.35">
      <c r="A603" s="36">
        <v>1057</v>
      </c>
      <c r="B603" s="36">
        <v>2</v>
      </c>
      <c r="C603" s="36">
        <v>0</v>
      </c>
      <c r="D603" s="36">
        <v>0</v>
      </c>
      <c r="E603" s="36">
        <v>0</v>
      </c>
      <c r="F603" s="36">
        <v>0</v>
      </c>
      <c r="G603" s="36" t="s">
        <v>64</v>
      </c>
      <c r="H603" s="36" t="s">
        <v>65</v>
      </c>
      <c r="S603" s="39"/>
      <c r="BC603" s="39"/>
      <c r="BE603" s="39"/>
    </row>
    <row r="604" spans="1:57" x14ac:dyDescent="0.35">
      <c r="A604" s="36">
        <v>1057</v>
      </c>
      <c r="B604" s="36">
        <v>4</v>
      </c>
      <c r="C604" s="36">
        <v>0</v>
      </c>
      <c r="D604" s="36">
        <v>0</v>
      </c>
      <c r="E604" s="36">
        <v>0</v>
      </c>
      <c r="F604" s="36">
        <v>0</v>
      </c>
      <c r="G604" s="36" t="s">
        <v>64</v>
      </c>
      <c r="H604" s="36" t="s">
        <v>65</v>
      </c>
      <c r="S604" s="39"/>
      <c r="BC604" s="39"/>
      <c r="BE604" s="39"/>
    </row>
    <row r="605" spans="1:57" x14ac:dyDescent="0.35">
      <c r="A605" s="36">
        <v>1057</v>
      </c>
      <c r="B605" s="36">
        <v>4</v>
      </c>
      <c r="C605" s="36">
        <v>0</v>
      </c>
      <c r="D605" s="36">
        <v>0</v>
      </c>
      <c r="E605" s="36">
        <v>0</v>
      </c>
      <c r="F605" s="36">
        <v>0</v>
      </c>
      <c r="G605" s="36" t="s">
        <v>66</v>
      </c>
      <c r="H605" s="36" t="s">
        <v>65</v>
      </c>
      <c r="S605" s="39"/>
      <c r="BC605" s="39"/>
      <c r="BE605" s="39"/>
    </row>
    <row r="606" spans="1:57" x14ac:dyDescent="0.35">
      <c r="A606" s="36">
        <v>1057</v>
      </c>
      <c r="B606" s="36">
        <v>2</v>
      </c>
      <c r="C606" s="36">
        <v>0</v>
      </c>
      <c r="D606" s="36">
        <v>0</v>
      </c>
      <c r="E606" s="36">
        <v>0</v>
      </c>
      <c r="F606" s="36">
        <v>0</v>
      </c>
      <c r="G606" s="36" t="s">
        <v>64</v>
      </c>
      <c r="H606" s="36" t="s">
        <v>65</v>
      </c>
      <c r="S606" s="39"/>
      <c r="BC606" s="39"/>
      <c r="BE606" s="39"/>
    </row>
    <row r="607" spans="1:57" x14ac:dyDescent="0.35">
      <c r="A607" s="36">
        <v>1057</v>
      </c>
      <c r="B607" s="36">
        <v>3</v>
      </c>
      <c r="C607" s="36">
        <v>0</v>
      </c>
      <c r="D607" s="36">
        <v>0</v>
      </c>
      <c r="E607" s="36">
        <v>0</v>
      </c>
      <c r="F607" s="36">
        <v>0</v>
      </c>
      <c r="G607" s="36" t="s">
        <v>64</v>
      </c>
      <c r="H607" s="36" t="s">
        <v>65</v>
      </c>
      <c r="S607" s="39"/>
      <c r="BC607" s="39"/>
      <c r="BE607" s="39"/>
    </row>
    <row r="608" spans="1:57" x14ac:dyDescent="0.35">
      <c r="A608" s="36">
        <v>1057</v>
      </c>
      <c r="B608" s="36">
        <v>1</v>
      </c>
      <c r="C608" s="36">
        <v>0</v>
      </c>
      <c r="D608" s="36">
        <v>1</v>
      </c>
      <c r="E608" s="36">
        <v>0</v>
      </c>
      <c r="F608" s="36">
        <v>0</v>
      </c>
      <c r="G608" s="36" t="s">
        <v>64</v>
      </c>
      <c r="H608" s="36" t="s">
        <v>65</v>
      </c>
      <c r="S608" s="39"/>
      <c r="BC608" s="39"/>
      <c r="BE608" s="39"/>
    </row>
    <row r="609" spans="1:57" x14ac:dyDescent="0.35">
      <c r="A609" s="36">
        <v>1057</v>
      </c>
      <c r="B609" s="36">
        <v>3</v>
      </c>
      <c r="C609" s="36">
        <v>0</v>
      </c>
      <c r="D609" s="36">
        <v>0</v>
      </c>
      <c r="E609" s="36">
        <v>0</v>
      </c>
      <c r="F609" s="36">
        <v>0</v>
      </c>
      <c r="G609" s="36" t="s">
        <v>64</v>
      </c>
      <c r="H609" s="36" t="s">
        <v>65</v>
      </c>
      <c r="S609" s="39"/>
      <c r="BC609" s="39"/>
      <c r="BE609" s="39"/>
    </row>
    <row r="610" spans="1:57" x14ac:dyDescent="0.35">
      <c r="A610" s="36">
        <v>1057</v>
      </c>
      <c r="B610" s="36">
        <v>2</v>
      </c>
      <c r="C610" s="36">
        <v>0</v>
      </c>
      <c r="D610" s="36">
        <v>0</v>
      </c>
      <c r="E610" s="36">
        <v>0</v>
      </c>
      <c r="F610" s="36">
        <v>0</v>
      </c>
      <c r="G610" s="36" t="s">
        <v>68</v>
      </c>
      <c r="H610" s="36" t="s">
        <v>65</v>
      </c>
      <c r="S610" s="39"/>
      <c r="BC610" s="39"/>
      <c r="BE610" s="39"/>
    </row>
    <row r="611" spans="1:57" x14ac:dyDescent="0.35">
      <c r="A611" s="36">
        <v>1057</v>
      </c>
      <c r="B611" s="36">
        <v>2</v>
      </c>
      <c r="C611" s="36">
        <v>0</v>
      </c>
      <c r="D611" s="36">
        <v>0</v>
      </c>
      <c r="E611" s="36">
        <v>0</v>
      </c>
      <c r="F611" s="36">
        <v>0</v>
      </c>
      <c r="G611" s="36" t="s">
        <v>64</v>
      </c>
      <c r="H611" s="36" t="s">
        <v>70</v>
      </c>
      <c r="S611" s="39"/>
      <c r="BC611" s="39"/>
      <c r="BE611" s="39"/>
    </row>
    <row r="612" spans="1:57" x14ac:dyDescent="0.35">
      <c r="A612" s="36">
        <v>1057</v>
      </c>
      <c r="B612" s="36">
        <v>2</v>
      </c>
      <c r="C612" s="36">
        <v>0</v>
      </c>
      <c r="D612" s="36">
        <v>0</v>
      </c>
      <c r="E612" s="36">
        <v>0</v>
      </c>
      <c r="F612" s="36">
        <v>0</v>
      </c>
      <c r="G612" s="36" t="s">
        <v>66</v>
      </c>
      <c r="H612" s="36" t="s">
        <v>65</v>
      </c>
      <c r="S612" s="39"/>
      <c r="BC612" s="39"/>
      <c r="BE612" s="39"/>
    </row>
    <row r="613" spans="1:57" x14ac:dyDescent="0.35">
      <c r="A613" s="36">
        <v>1057</v>
      </c>
      <c r="B613" s="36">
        <v>3</v>
      </c>
      <c r="C613" s="36">
        <v>0</v>
      </c>
      <c r="D613" s="36">
        <v>0</v>
      </c>
      <c r="E613" s="36">
        <v>0</v>
      </c>
      <c r="F613" s="36">
        <v>0</v>
      </c>
      <c r="G613" s="36" t="s">
        <v>64</v>
      </c>
      <c r="H613" s="36" t="s">
        <v>65</v>
      </c>
      <c r="S613" s="39"/>
      <c r="BC613" s="39"/>
      <c r="BE613" s="39"/>
    </row>
    <row r="614" spans="1:57" x14ac:dyDescent="0.35">
      <c r="A614" s="36">
        <v>1057</v>
      </c>
      <c r="B614" s="36">
        <v>2</v>
      </c>
      <c r="C614" s="36">
        <v>0</v>
      </c>
      <c r="D614" s="36">
        <v>0</v>
      </c>
      <c r="E614" s="36">
        <v>0</v>
      </c>
      <c r="F614" s="36">
        <v>0</v>
      </c>
      <c r="G614" s="36" t="s">
        <v>64</v>
      </c>
      <c r="H614" s="36" t="s">
        <v>65</v>
      </c>
      <c r="S614" s="39"/>
      <c r="BC614" s="39"/>
      <c r="BE614" s="39"/>
    </row>
    <row r="615" spans="1:57" x14ac:dyDescent="0.35">
      <c r="A615" s="36">
        <v>1057</v>
      </c>
      <c r="B615" s="36">
        <v>2</v>
      </c>
      <c r="C615" s="36">
        <v>0</v>
      </c>
      <c r="D615" s="36">
        <v>0</v>
      </c>
      <c r="E615" s="36">
        <v>0</v>
      </c>
      <c r="F615" s="36">
        <v>0</v>
      </c>
      <c r="G615" s="36" t="s">
        <v>64</v>
      </c>
      <c r="H615" s="36" t="s">
        <v>65</v>
      </c>
      <c r="S615" s="39"/>
      <c r="BC615" s="39"/>
      <c r="BE615" s="39"/>
    </row>
    <row r="616" spans="1:57" x14ac:dyDescent="0.35">
      <c r="A616" s="36">
        <v>1057</v>
      </c>
      <c r="B616" s="36">
        <v>1</v>
      </c>
      <c r="C616" s="36">
        <v>1</v>
      </c>
      <c r="D616" s="36">
        <v>0</v>
      </c>
      <c r="E616" s="36">
        <v>0</v>
      </c>
      <c r="F616" s="36">
        <v>0</v>
      </c>
      <c r="G616" s="36" t="s">
        <v>64</v>
      </c>
      <c r="H616" s="36" t="s">
        <v>65</v>
      </c>
      <c r="S616" s="39"/>
      <c r="BC616" s="39"/>
      <c r="BE616" s="39"/>
    </row>
    <row r="617" spans="1:57" x14ac:dyDescent="0.35">
      <c r="A617" s="36">
        <v>1057</v>
      </c>
      <c r="B617" s="36">
        <v>7</v>
      </c>
      <c r="C617" s="36">
        <v>0</v>
      </c>
      <c r="D617" s="36">
        <v>0</v>
      </c>
      <c r="E617" s="36">
        <v>0</v>
      </c>
      <c r="F617" s="36">
        <v>0</v>
      </c>
      <c r="G617" s="36" t="s">
        <v>68</v>
      </c>
      <c r="H617" s="36" t="s">
        <v>65</v>
      </c>
      <c r="S617" s="39"/>
      <c r="BC617" s="39"/>
      <c r="BE617" s="39"/>
    </row>
    <row r="618" spans="1:57" x14ac:dyDescent="0.35">
      <c r="A618" s="36">
        <v>1057</v>
      </c>
      <c r="B618" s="36">
        <v>6</v>
      </c>
      <c r="C618" s="36">
        <v>0</v>
      </c>
      <c r="D618" s="36">
        <v>0</v>
      </c>
      <c r="E618" s="36">
        <v>0</v>
      </c>
      <c r="F618" s="36">
        <v>0</v>
      </c>
      <c r="G618" s="36" t="s">
        <v>67</v>
      </c>
      <c r="H618" s="36" t="s">
        <v>65</v>
      </c>
      <c r="S618" s="39"/>
      <c r="BC618" s="39"/>
      <c r="BE618" s="39"/>
    </row>
    <row r="619" spans="1:57" x14ac:dyDescent="0.35">
      <c r="A619" s="36">
        <v>1057</v>
      </c>
      <c r="B619" s="36">
        <v>3</v>
      </c>
      <c r="C619" s="36">
        <v>0</v>
      </c>
      <c r="D619" s="36">
        <v>0</v>
      </c>
      <c r="E619" s="36">
        <v>0</v>
      </c>
      <c r="F619" s="36">
        <v>0</v>
      </c>
      <c r="G619" s="36" t="s">
        <v>64</v>
      </c>
      <c r="H619" s="36" t="s">
        <v>65</v>
      </c>
      <c r="S619" s="39"/>
      <c r="BC619" s="39"/>
      <c r="BE619" s="39"/>
    </row>
    <row r="620" spans="1:57" x14ac:dyDescent="0.35">
      <c r="A620" s="36">
        <v>1057</v>
      </c>
      <c r="B620" s="36">
        <v>2</v>
      </c>
      <c r="C620" s="36">
        <v>0</v>
      </c>
      <c r="D620" s="36">
        <v>0</v>
      </c>
      <c r="E620" s="36">
        <v>0</v>
      </c>
      <c r="F620" s="36">
        <v>0</v>
      </c>
      <c r="G620" s="36" t="s">
        <v>64</v>
      </c>
      <c r="H620" s="36" t="s">
        <v>65</v>
      </c>
      <c r="S620" s="39"/>
      <c r="BC620" s="39"/>
      <c r="BE620" s="39"/>
    </row>
    <row r="621" spans="1:57" x14ac:dyDescent="0.35">
      <c r="A621" s="36">
        <v>1057</v>
      </c>
      <c r="B621" s="36">
        <v>2</v>
      </c>
      <c r="C621" s="36">
        <v>0</v>
      </c>
      <c r="D621" s="36">
        <v>0</v>
      </c>
      <c r="E621" s="36">
        <v>0</v>
      </c>
      <c r="F621" s="36">
        <v>0</v>
      </c>
      <c r="G621" s="36" t="s">
        <v>68</v>
      </c>
      <c r="H621" s="36" t="s">
        <v>65</v>
      </c>
      <c r="S621" s="39"/>
      <c r="BC621" s="39"/>
      <c r="BE621" s="39"/>
    </row>
    <row r="622" spans="1:57" x14ac:dyDescent="0.35">
      <c r="A622" s="36">
        <v>1057</v>
      </c>
      <c r="B622" s="36">
        <v>1</v>
      </c>
      <c r="C622" s="36">
        <v>0</v>
      </c>
      <c r="D622" s="36">
        <v>0</v>
      </c>
      <c r="E622" s="36">
        <v>0</v>
      </c>
      <c r="F622" s="36">
        <v>0</v>
      </c>
      <c r="G622" s="36" t="s">
        <v>67</v>
      </c>
      <c r="H622" s="36" t="s">
        <v>70</v>
      </c>
      <c r="S622" s="39"/>
      <c r="BC622" s="39"/>
      <c r="BE622" s="39"/>
    </row>
    <row r="623" spans="1:57" x14ac:dyDescent="0.35">
      <c r="A623" s="36">
        <v>1057</v>
      </c>
      <c r="B623" s="36">
        <v>3</v>
      </c>
      <c r="C623" s="36">
        <v>0</v>
      </c>
      <c r="D623" s="36">
        <v>0</v>
      </c>
      <c r="E623" s="36">
        <v>0</v>
      </c>
      <c r="F623" s="36">
        <v>0</v>
      </c>
      <c r="G623" s="36" t="s">
        <v>64</v>
      </c>
      <c r="H623" s="36" t="s">
        <v>65</v>
      </c>
      <c r="S623" s="39"/>
      <c r="BC623" s="39"/>
      <c r="BE623" s="39"/>
    </row>
    <row r="624" spans="1:57" x14ac:dyDescent="0.35">
      <c r="A624" s="36">
        <v>1057</v>
      </c>
      <c r="B624" s="36">
        <v>1</v>
      </c>
      <c r="C624" s="36">
        <v>1</v>
      </c>
      <c r="D624" s="36">
        <v>0</v>
      </c>
      <c r="E624" s="36">
        <v>0</v>
      </c>
      <c r="F624" s="36">
        <v>0</v>
      </c>
      <c r="G624" s="36" t="s">
        <v>68</v>
      </c>
      <c r="H624" s="36" t="s">
        <v>65</v>
      </c>
      <c r="S624" s="39"/>
      <c r="BC624" s="39"/>
      <c r="BE624" s="39"/>
    </row>
    <row r="625" spans="1:57" x14ac:dyDescent="0.35">
      <c r="A625" s="36">
        <v>1057</v>
      </c>
      <c r="B625" s="36">
        <v>3</v>
      </c>
      <c r="C625" s="36">
        <v>0</v>
      </c>
      <c r="D625" s="36">
        <v>0</v>
      </c>
      <c r="E625" s="36">
        <v>0</v>
      </c>
      <c r="F625" s="36">
        <v>0</v>
      </c>
      <c r="G625" s="36" t="s">
        <v>64</v>
      </c>
      <c r="H625" s="36" t="s">
        <v>69</v>
      </c>
      <c r="S625" s="39"/>
      <c r="BC625" s="39"/>
      <c r="BE625" s="39"/>
    </row>
    <row r="626" spans="1:57" x14ac:dyDescent="0.35">
      <c r="A626" s="36">
        <v>1057</v>
      </c>
      <c r="B626" s="36">
        <v>1</v>
      </c>
      <c r="C626" s="36">
        <v>0</v>
      </c>
      <c r="D626" s="36">
        <v>0</v>
      </c>
      <c r="E626" s="36">
        <v>0</v>
      </c>
      <c r="F626" s="36">
        <v>0</v>
      </c>
      <c r="G626" s="36" t="s">
        <v>64</v>
      </c>
      <c r="H626" s="36" t="s">
        <v>65</v>
      </c>
      <c r="S626" s="39"/>
      <c r="BC626" s="39"/>
      <c r="BE626" s="39"/>
    </row>
    <row r="627" spans="1:57" x14ac:dyDescent="0.35">
      <c r="A627" s="36">
        <v>1057</v>
      </c>
      <c r="B627" s="36">
        <v>1</v>
      </c>
      <c r="C627" s="36">
        <v>1</v>
      </c>
      <c r="D627" s="36">
        <v>0</v>
      </c>
      <c r="E627" s="36">
        <v>0</v>
      </c>
      <c r="F627" s="36">
        <v>0</v>
      </c>
      <c r="G627" s="36" t="s">
        <v>66</v>
      </c>
      <c r="H627" s="36" t="s">
        <v>65</v>
      </c>
      <c r="S627" s="39"/>
      <c r="BC627" s="39"/>
      <c r="BE627" s="39"/>
    </row>
    <row r="628" spans="1:57" x14ac:dyDescent="0.35">
      <c r="A628" s="36">
        <v>1057</v>
      </c>
      <c r="B628" s="36">
        <v>2</v>
      </c>
      <c r="C628" s="36">
        <v>0</v>
      </c>
      <c r="D628" s="36">
        <v>0</v>
      </c>
      <c r="E628" s="36">
        <v>0</v>
      </c>
      <c r="F628" s="36">
        <v>0</v>
      </c>
      <c r="G628" s="36" t="s">
        <v>67</v>
      </c>
      <c r="H628" s="36" t="s">
        <v>65</v>
      </c>
      <c r="S628" s="39"/>
      <c r="BC628" s="39"/>
      <c r="BE628" s="39"/>
    </row>
    <row r="629" spans="1:57" x14ac:dyDescent="0.35">
      <c r="A629" s="36">
        <v>1057</v>
      </c>
      <c r="B629" s="36">
        <v>2</v>
      </c>
      <c r="C629" s="36">
        <v>0</v>
      </c>
      <c r="D629" s="36">
        <v>0</v>
      </c>
      <c r="E629" s="36">
        <v>0</v>
      </c>
      <c r="F629" s="36">
        <v>0</v>
      </c>
      <c r="G629" s="36" t="s">
        <v>66</v>
      </c>
      <c r="H629" s="36" t="s">
        <v>65</v>
      </c>
      <c r="S629" s="39"/>
      <c r="BC629" s="39"/>
      <c r="BE629" s="39"/>
    </row>
    <row r="630" spans="1:57" x14ac:dyDescent="0.35">
      <c r="A630" s="36">
        <v>1057</v>
      </c>
      <c r="B630" s="36">
        <v>2</v>
      </c>
      <c r="C630" s="36">
        <v>0</v>
      </c>
      <c r="D630" s="36">
        <v>0</v>
      </c>
      <c r="E630" s="36">
        <v>0</v>
      </c>
      <c r="F630" s="36">
        <v>0</v>
      </c>
      <c r="G630" s="36" t="s">
        <v>64</v>
      </c>
      <c r="H630" s="36" t="s">
        <v>65</v>
      </c>
      <c r="S630" s="39"/>
      <c r="BC630" s="39"/>
      <c r="BE630" s="39"/>
    </row>
    <row r="631" spans="1:57" x14ac:dyDescent="0.35">
      <c r="A631" s="36">
        <v>1057</v>
      </c>
      <c r="B631" s="36">
        <v>2</v>
      </c>
      <c r="C631" s="36">
        <v>0</v>
      </c>
      <c r="D631" s="36">
        <v>0</v>
      </c>
      <c r="E631" s="36">
        <v>0</v>
      </c>
      <c r="F631" s="36">
        <v>0</v>
      </c>
      <c r="G631" s="36" t="s">
        <v>64</v>
      </c>
      <c r="H631" s="36" t="s">
        <v>65</v>
      </c>
      <c r="S631" s="39"/>
      <c r="BC631" s="39"/>
      <c r="BE631" s="39"/>
    </row>
    <row r="632" spans="1:57" x14ac:dyDescent="0.35">
      <c r="A632" s="36">
        <v>1057</v>
      </c>
      <c r="B632" s="36">
        <v>2</v>
      </c>
      <c r="C632" s="36">
        <v>0</v>
      </c>
      <c r="D632" s="36">
        <v>0</v>
      </c>
      <c r="E632" s="36">
        <v>0</v>
      </c>
      <c r="F632" s="36">
        <v>0</v>
      </c>
      <c r="G632" s="36" t="s">
        <v>64</v>
      </c>
      <c r="H632" s="36" t="s">
        <v>65</v>
      </c>
      <c r="S632" s="39"/>
      <c r="BC632" s="39"/>
      <c r="BE632" s="39"/>
    </row>
    <row r="633" spans="1:57" x14ac:dyDescent="0.35">
      <c r="A633" s="36">
        <v>1057</v>
      </c>
      <c r="B633" s="36">
        <v>1</v>
      </c>
      <c r="C633" s="36">
        <v>0</v>
      </c>
      <c r="D633" s="36">
        <v>0</v>
      </c>
      <c r="E633" s="36">
        <v>0</v>
      </c>
      <c r="F633" s="36">
        <v>0</v>
      </c>
      <c r="G633" s="36" t="s">
        <v>66</v>
      </c>
      <c r="H633" s="36" t="s">
        <v>70</v>
      </c>
      <c r="S633" s="39"/>
      <c r="BC633" s="39"/>
      <c r="BE633" s="39"/>
    </row>
    <row r="634" spans="1:57" x14ac:dyDescent="0.35">
      <c r="A634" s="36">
        <v>1057</v>
      </c>
      <c r="B634" s="36">
        <v>1</v>
      </c>
      <c r="C634" s="36">
        <v>0</v>
      </c>
      <c r="D634" s="36">
        <v>0</v>
      </c>
      <c r="E634" s="36">
        <v>0</v>
      </c>
      <c r="F634" s="36">
        <v>0</v>
      </c>
      <c r="G634" s="36" t="s">
        <v>64</v>
      </c>
      <c r="H634" s="36" t="s">
        <v>65</v>
      </c>
      <c r="S634" s="39"/>
      <c r="BC634" s="39"/>
      <c r="BE634" s="39"/>
    </row>
    <row r="635" spans="1:57" x14ac:dyDescent="0.35">
      <c r="A635" s="36">
        <v>1057</v>
      </c>
      <c r="B635" s="36">
        <v>3</v>
      </c>
      <c r="C635" s="36">
        <v>0</v>
      </c>
      <c r="D635" s="36">
        <v>0</v>
      </c>
      <c r="E635" s="36">
        <v>0</v>
      </c>
      <c r="F635" s="36">
        <v>0</v>
      </c>
      <c r="G635" s="36" t="s">
        <v>68</v>
      </c>
      <c r="H635" s="36" t="s">
        <v>65</v>
      </c>
      <c r="S635" s="39"/>
      <c r="BC635" s="39"/>
      <c r="BE635" s="39"/>
    </row>
    <row r="636" spans="1:57" x14ac:dyDescent="0.35">
      <c r="A636" s="36">
        <v>1057</v>
      </c>
      <c r="B636" s="36">
        <v>4</v>
      </c>
      <c r="C636" s="36">
        <v>0</v>
      </c>
      <c r="D636" s="36">
        <v>0</v>
      </c>
      <c r="E636" s="36">
        <v>0</v>
      </c>
      <c r="F636" s="36">
        <v>0</v>
      </c>
      <c r="G636" s="36" t="s">
        <v>64</v>
      </c>
      <c r="H636" s="36" t="s">
        <v>65</v>
      </c>
      <c r="S636" s="39"/>
      <c r="BC636" s="39"/>
      <c r="BE636" s="39"/>
    </row>
    <row r="637" spans="1:57" x14ac:dyDescent="0.35">
      <c r="A637" s="36">
        <v>1057</v>
      </c>
      <c r="B637" s="36">
        <v>3</v>
      </c>
      <c r="C637" s="36">
        <v>0</v>
      </c>
      <c r="D637" s="36">
        <v>0</v>
      </c>
      <c r="E637" s="36">
        <v>0</v>
      </c>
      <c r="F637" s="36">
        <v>0</v>
      </c>
      <c r="G637" s="36" t="s">
        <v>68</v>
      </c>
      <c r="H637" s="36" t="s">
        <v>65</v>
      </c>
      <c r="S637" s="39"/>
      <c r="BC637" s="39"/>
      <c r="BE637" s="39"/>
    </row>
    <row r="638" spans="1:57" x14ac:dyDescent="0.35">
      <c r="A638" s="36">
        <v>1057</v>
      </c>
      <c r="B638" s="36">
        <v>4</v>
      </c>
      <c r="C638" s="36">
        <v>0</v>
      </c>
      <c r="D638" s="36">
        <v>0</v>
      </c>
      <c r="E638" s="36">
        <v>0</v>
      </c>
      <c r="F638" s="36">
        <v>0</v>
      </c>
      <c r="G638" s="36" t="s">
        <v>66</v>
      </c>
      <c r="H638" s="36" t="s">
        <v>65</v>
      </c>
      <c r="S638" s="39"/>
      <c r="BC638" s="39"/>
      <c r="BE638" s="39"/>
    </row>
    <row r="639" spans="1:57" x14ac:dyDescent="0.35">
      <c r="A639" s="36">
        <v>1057</v>
      </c>
      <c r="B639" s="36">
        <v>3</v>
      </c>
      <c r="C639" s="36">
        <v>0</v>
      </c>
      <c r="D639" s="36">
        <v>0</v>
      </c>
      <c r="E639" s="36">
        <v>0</v>
      </c>
      <c r="F639" s="36">
        <v>0</v>
      </c>
      <c r="G639" s="36" t="s">
        <v>66</v>
      </c>
      <c r="H639" s="36" t="s">
        <v>65</v>
      </c>
      <c r="S639" s="39"/>
      <c r="BC639" s="39"/>
      <c r="BE639" s="39"/>
    </row>
    <row r="640" spans="1:57" x14ac:dyDescent="0.35">
      <c r="A640" s="36">
        <v>1057</v>
      </c>
      <c r="B640" s="36">
        <v>1</v>
      </c>
      <c r="C640" s="36">
        <v>2</v>
      </c>
      <c r="D640" s="36">
        <v>0</v>
      </c>
      <c r="E640" s="36">
        <v>0</v>
      </c>
      <c r="F640" s="36">
        <v>0</v>
      </c>
      <c r="G640" s="36" t="s">
        <v>66</v>
      </c>
      <c r="H640" s="36" t="s">
        <v>65</v>
      </c>
      <c r="S640" s="39"/>
      <c r="BC640" s="39"/>
      <c r="BE640" s="39"/>
    </row>
    <row r="641" spans="1:57" x14ac:dyDescent="0.35">
      <c r="A641" s="36">
        <v>1057</v>
      </c>
      <c r="B641" s="36">
        <v>2</v>
      </c>
      <c r="C641" s="36">
        <v>0</v>
      </c>
      <c r="D641" s="36">
        <v>0</v>
      </c>
      <c r="E641" s="36">
        <v>0</v>
      </c>
      <c r="F641" s="36">
        <v>0</v>
      </c>
      <c r="G641" s="36" t="s">
        <v>64</v>
      </c>
      <c r="H641" s="36" t="s">
        <v>65</v>
      </c>
      <c r="S641" s="39"/>
      <c r="BC641" s="39"/>
      <c r="BE641" s="39"/>
    </row>
    <row r="642" spans="1:57" x14ac:dyDescent="0.35">
      <c r="A642" s="36">
        <v>1057</v>
      </c>
      <c r="B642" s="36">
        <v>2</v>
      </c>
      <c r="C642" s="36">
        <v>0</v>
      </c>
      <c r="D642" s="36">
        <v>0</v>
      </c>
      <c r="E642" s="36">
        <v>0</v>
      </c>
      <c r="F642" s="36">
        <v>0</v>
      </c>
      <c r="G642" s="36" t="s">
        <v>64</v>
      </c>
      <c r="H642" s="36" t="s">
        <v>65</v>
      </c>
      <c r="S642" s="39"/>
      <c r="BC642" s="39"/>
      <c r="BE642" s="39"/>
    </row>
    <row r="643" spans="1:57" x14ac:dyDescent="0.35">
      <c r="A643" s="36">
        <v>1057</v>
      </c>
      <c r="B643" s="36">
        <v>2</v>
      </c>
      <c r="C643" s="36">
        <v>0</v>
      </c>
      <c r="D643" s="36">
        <v>0</v>
      </c>
      <c r="E643" s="36">
        <v>0</v>
      </c>
      <c r="F643" s="36">
        <v>0</v>
      </c>
      <c r="G643" s="36" t="s">
        <v>64</v>
      </c>
      <c r="H643" s="36" t="s">
        <v>65</v>
      </c>
      <c r="S643" s="39"/>
      <c r="BC643" s="39"/>
      <c r="BE643" s="39"/>
    </row>
    <row r="644" spans="1:57" x14ac:dyDescent="0.35">
      <c r="A644" s="36">
        <v>1057</v>
      </c>
      <c r="B644" s="36">
        <v>4</v>
      </c>
      <c r="C644" s="36">
        <v>0</v>
      </c>
      <c r="D644" s="36">
        <v>0</v>
      </c>
      <c r="E644" s="36">
        <v>0</v>
      </c>
      <c r="F644" s="36">
        <v>0</v>
      </c>
      <c r="G644" s="36" t="s">
        <v>64</v>
      </c>
      <c r="H644" s="36" t="s">
        <v>65</v>
      </c>
      <c r="S644" s="39"/>
      <c r="BC644" s="39"/>
      <c r="BE644" s="39"/>
    </row>
    <row r="645" spans="1:57" x14ac:dyDescent="0.35">
      <c r="A645" s="36">
        <v>1057</v>
      </c>
      <c r="B645" s="36">
        <v>5</v>
      </c>
      <c r="C645" s="36">
        <v>0</v>
      </c>
      <c r="D645" s="36">
        <v>0</v>
      </c>
      <c r="E645" s="36">
        <v>0</v>
      </c>
      <c r="F645" s="36">
        <v>0</v>
      </c>
      <c r="G645" s="36" t="s">
        <v>66</v>
      </c>
      <c r="H645" s="36" t="s">
        <v>65</v>
      </c>
      <c r="S645" s="39"/>
      <c r="BC645" s="39"/>
      <c r="BE645" s="39"/>
    </row>
    <row r="646" spans="1:57" x14ac:dyDescent="0.35">
      <c r="A646" s="36">
        <v>1057</v>
      </c>
      <c r="B646" s="36">
        <v>4</v>
      </c>
      <c r="C646" s="36">
        <v>0</v>
      </c>
      <c r="D646" s="36">
        <v>0</v>
      </c>
      <c r="E646" s="36">
        <v>0</v>
      </c>
      <c r="F646" s="36">
        <v>0</v>
      </c>
      <c r="G646" s="36" t="s">
        <v>64</v>
      </c>
      <c r="H646" s="36" t="s">
        <v>65</v>
      </c>
      <c r="S646" s="39"/>
      <c r="BC646" s="39"/>
      <c r="BE646" s="39"/>
    </row>
    <row r="647" spans="1:57" x14ac:dyDescent="0.35">
      <c r="A647" s="36">
        <v>1057</v>
      </c>
      <c r="B647" s="36">
        <v>1</v>
      </c>
      <c r="C647" s="36">
        <v>2</v>
      </c>
      <c r="D647" s="36">
        <v>0</v>
      </c>
      <c r="E647" s="36">
        <v>0</v>
      </c>
      <c r="F647" s="36">
        <v>0</v>
      </c>
      <c r="G647" s="36" t="s">
        <v>64</v>
      </c>
      <c r="H647" s="36" t="s">
        <v>65</v>
      </c>
      <c r="S647" s="39"/>
      <c r="BC647" s="39"/>
      <c r="BE647" s="39"/>
    </row>
    <row r="648" spans="1:57" x14ac:dyDescent="0.35">
      <c r="A648" s="36">
        <v>1057</v>
      </c>
      <c r="B648" s="36">
        <v>2</v>
      </c>
      <c r="C648" s="36">
        <v>0</v>
      </c>
      <c r="D648" s="36">
        <v>0</v>
      </c>
      <c r="E648" s="36">
        <v>0</v>
      </c>
      <c r="F648" s="36">
        <v>0</v>
      </c>
      <c r="G648" s="36" t="s">
        <v>68</v>
      </c>
      <c r="H648" s="36" t="s">
        <v>65</v>
      </c>
      <c r="S648" s="39"/>
      <c r="BC648" s="39"/>
      <c r="BE648" s="39"/>
    </row>
    <row r="649" spans="1:57" x14ac:dyDescent="0.35">
      <c r="A649" s="36">
        <v>1057</v>
      </c>
      <c r="B649" s="36">
        <v>1</v>
      </c>
      <c r="C649" s="36">
        <v>0</v>
      </c>
      <c r="D649" s="36">
        <v>0</v>
      </c>
      <c r="E649" s="36">
        <v>0</v>
      </c>
      <c r="F649" s="36">
        <v>0</v>
      </c>
      <c r="G649" s="36" t="s">
        <v>64</v>
      </c>
      <c r="H649" s="36" t="s">
        <v>65</v>
      </c>
      <c r="S649" s="39"/>
      <c r="BC649" s="39"/>
      <c r="BE649" s="39"/>
    </row>
    <row r="650" spans="1:57" x14ac:dyDescent="0.35">
      <c r="A650" s="36">
        <v>1057</v>
      </c>
      <c r="B650" s="36">
        <v>3</v>
      </c>
      <c r="C650" s="36">
        <v>0</v>
      </c>
      <c r="D650" s="36">
        <v>0</v>
      </c>
      <c r="E650" s="36">
        <v>0</v>
      </c>
      <c r="F650" s="36">
        <v>0</v>
      </c>
      <c r="G650" s="36" t="s">
        <v>64</v>
      </c>
      <c r="H650" s="36" t="s">
        <v>65</v>
      </c>
      <c r="S650" s="39"/>
      <c r="BC650" s="39"/>
      <c r="BE650" s="39"/>
    </row>
    <row r="651" spans="1:57" x14ac:dyDescent="0.35">
      <c r="A651" s="36">
        <v>1057</v>
      </c>
      <c r="B651" s="36">
        <v>2</v>
      </c>
      <c r="C651" s="36">
        <v>0</v>
      </c>
      <c r="D651" s="36">
        <v>0</v>
      </c>
      <c r="E651" s="36">
        <v>0</v>
      </c>
      <c r="F651" s="36">
        <v>0</v>
      </c>
      <c r="G651" s="36" t="s">
        <v>64</v>
      </c>
      <c r="H651" s="36" t="s">
        <v>65</v>
      </c>
      <c r="S651" s="39"/>
      <c r="BC651" s="39"/>
      <c r="BE651" s="39"/>
    </row>
    <row r="652" spans="1:57" x14ac:dyDescent="0.35">
      <c r="A652" s="36">
        <v>1057</v>
      </c>
      <c r="B652" s="36">
        <v>3</v>
      </c>
      <c r="C652" s="36">
        <v>0</v>
      </c>
      <c r="D652" s="36">
        <v>0</v>
      </c>
      <c r="E652" s="36">
        <v>0</v>
      </c>
      <c r="F652" s="36">
        <v>0</v>
      </c>
      <c r="G652" s="36" t="s">
        <v>64</v>
      </c>
      <c r="H652" s="36" t="s">
        <v>65</v>
      </c>
      <c r="S652" s="39"/>
      <c r="BC652" s="39"/>
      <c r="BE652" s="39"/>
    </row>
    <row r="653" spans="1:57" x14ac:dyDescent="0.35">
      <c r="A653" s="36">
        <v>1057</v>
      </c>
      <c r="B653" s="36">
        <v>2</v>
      </c>
      <c r="C653" s="36">
        <v>1</v>
      </c>
      <c r="D653" s="36">
        <v>0</v>
      </c>
      <c r="E653" s="36">
        <v>0</v>
      </c>
      <c r="F653" s="36">
        <v>0</v>
      </c>
      <c r="G653" s="36" t="s">
        <v>64</v>
      </c>
      <c r="H653" s="36" t="s">
        <v>65</v>
      </c>
      <c r="S653" s="39"/>
      <c r="BC653" s="39"/>
      <c r="BE653" s="39"/>
    </row>
    <row r="654" spans="1:57" x14ac:dyDescent="0.35">
      <c r="A654" s="36">
        <v>1057</v>
      </c>
      <c r="B654" s="36">
        <v>4</v>
      </c>
      <c r="C654" s="36">
        <v>0</v>
      </c>
      <c r="D654" s="36">
        <v>0</v>
      </c>
      <c r="E654" s="36">
        <v>0</v>
      </c>
      <c r="F654" s="36">
        <v>0</v>
      </c>
      <c r="G654" s="36" t="s">
        <v>66</v>
      </c>
      <c r="H654" s="36" t="s">
        <v>65</v>
      </c>
      <c r="S654" s="39"/>
      <c r="BC654" s="39"/>
      <c r="BE654" s="39"/>
    </row>
    <row r="655" spans="1:57" x14ac:dyDescent="0.35">
      <c r="A655" s="36">
        <v>1057</v>
      </c>
      <c r="B655" s="36">
        <v>2</v>
      </c>
      <c r="C655" s="36">
        <v>0</v>
      </c>
      <c r="D655" s="36">
        <v>0</v>
      </c>
      <c r="E655" s="36">
        <v>0</v>
      </c>
      <c r="F655" s="36">
        <v>0</v>
      </c>
      <c r="G655" s="36" t="s">
        <v>66</v>
      </c>
      <c r="H655" s="36" t="s">
        <v>65</v>
      </c>
      <c r="S655" s="39"/>
      <c r="BC655" s="39"/>
      <c r="BE655" s="39"/>
    </row>
    <row r="656" spans="1:57" x14ac:dyDescent="0.35">
      <c r="A656" s="36">
        <v>1057</v>
      </c>
      <c r="B656" s="36">
        <v>2</v>
      </c>
      <c r="C656" s="36">
        <v>0</v>
      </c>
      <c r="D656" s="36">
        <v>0</v>
      </c>
      <c r="E656" s="36">
        <v>0</v>
      </c>
      <c r="F656" s="36">
        <v>0</v>
      </c>
      <c r="G656" s="36" t="s">
        <v>64</v>
      </c>
      <c r="H656" s="36" t="s">
        <v>65</v>
      </c>
      <c r="S656" s="39"/>
      <c r="BC656" s="39"/>
      <c r="BE656" s="39"/>
    </row>
    <row r="657" spans="1:57" x14ac:dyDescent="0.35">
      <c r="A657" s="36">
        <v>1057</v>
      </c>
      <c r="B657" s="36">
        <v>0</v>
      </c>
      <c r="C657" s="36">
        <v>1</v>
      </c>
      <c r="D657" s="36">
        <v>0</v>
      </c>
      <c r="E657" s="36">
        <v>0</v>
      </c>
      <c r="F657" s="36">
        <v>0</v>
      </c>
      <c r="G657" s="36" t="s">
        <v>64</v>
      </c>
      <c r="H657" s="36" t="s">
        <v>70</v>
      </c>
      <c r="S657" s="39"/>
      <c r="BC657" s="39"/>
      <c r="BE657" s="39"/>
    </row>
    <row r="658" spans="1:57" x14ac:dyDescent="0.35">
      <c r="A658" s="36">
        <v>1057</v>
      </c>
      <c r="B658" s="36">
        <v>14</v>
      </c>
      <c r="C658" s="36">
        <v>3</v>
      </c>
      <c r="D658" s="36">
        <v>0</v>
      </c>
      <c r="E658" s="36">
        <v>0</v>
      </c>
      <c r="F658" s="36">
        <v>0</v>
      </c>
      <c r="G658" s="36" t="s">
        <v>64</v>
      </c>
      <c r="H658" s="36" t="s">
        <v>65</v>
      </c>
      <c r="S658" s="39"/>
      <c r="BC658" s="39"/>
      <c r="BE658" s="39"/>
    </row>
    <row r="659" spans="1:57" x14ac:dyDescent="0.35">
      <c r="A659" s="36">
        <v>1057</v>
      </c>
      <c r="B659" s="36">
        <v>1</v>
      </c>
      <c r="C659" s="36">
        <v>0</v>
      </c>
      <c r="D659" s="36">
        <v>0</v>
      </c>
      <c r="E659" s="36">
        <v>0</v>
      </c>
      <c r="F659" s="36">
        <v>0</v>
      </c>
      <c r="G659" s="36" t="s">
        <v>66</v>
      </c>
      <c r="H659" s="36" t="s">
        <v>70</v>
      </c>
      <c r="S659" s="39"/>
      <c r="BC659" s="39"/>
      <c r="BE659" s="39"/>
    </row>
    <row r="660" spans="1:57" x14ac:dyDescent="0.35">
      <c r="A660" s="36">
        <v>1057</v>
      </c>
      <c r="B660" s="36">
        <v>1</v>
      </c>
      <c r="C660" s="36">
        <v>0</v>
      </c>
      <c r="D660" s="36">
        <v>0</v>
      </c>
      <c r="E660" s="36">
        <v>0</v>
      </c>
      <c r="F660" s="36">
        <v>0</v>
      </c>
      <c r="G660" s="36" t="s">
        <v>64</v>
      </c>
      <c r="H660" s="36" t="s">
        <v>65</v>
      </c>
      <c r="S660" s="39"/>
      <c r="BC660" s="39"/>
      <c r="BE660" s="39"/>
    </row>
    <row r="661" spans="1:57" x14ac:dyDescent="0.35">
      <c r="A661" s="36">
        <v>1057</v>
      </c>
      <c r="B661" s="36">
        <v>2</v>
      </c>
      <c r="C661" s="36">
        <v>0</v>
      </c>
      <c r="D661" s="36">
        <v>0</v>
      </c>
      <c r="E661" s="36">
        <v>0</v>
      </c>
      <c r="F661" s="36">
        <v>0</v>
      </c>
      <c r="G661" s="36" t="s">
        <v>68</v>
      </c>
      <c r="H661" s="36" t="s">
        <v>65</v>
      </c>
      <c r="S661" s="39"/>
      <c r="BC661" s="39"/>
      <c r="BE661" s="39"/>
    </row>
    <row r="662" spans="1:57" x14ac:dyDescent="0.35">
      <c r="A662" s="36">
        <v>1057</v>
      </c>
      <c r="B662" s="36">
        <v>2</v>
      </c>
      <c r="C662" s="36">
        <v>0</v>
      </c>
      <c r="D662" s="36">
        <v>0</v>
      </c>
      <c r="E662" s="36">
        <v>0</v>
      </c>
      <c r="F662" s="36">
        <v>0</v>
      </c>
      <c r="G662" s="36" t="s">
        <v>68</v>
      </c>
      <c r="H662" s="36" t="s">
        <v>65</v>
      </c>
      <c r="S662" s="39"/>
      <c r="BC662" s="39"/>
      <c r="BE662" s="39"/>
    </row>
    <row r="663" spans="1:57" x14ac:dyDescent="0.35">
      <c r="A663" s="36">
        <v>1057</v>
      </c>
      <c r="B663" s="36">
        <v>2</v>
      </c>
      <c r="C663" s="36">
        <v>0</v>
      </c>
      <c r="D663" s="36">
        <v>0</v>
      </c>
      <c r="E663" s="36">
        <v>0</v>
      </c>
      <c r="F663" s="36">
        <v>0</v>
      </c>
      <c r="G663" s="36" t="s">
        <v>64</v>
      </c>
      <c r="H663" s="36" t="s">
        <v>65</v>
      </c>
      <c r="S663" s="39"/>
      <c r="BC663" s="39"/>
      <c r="BE663" s="39"/>
    </row>
    <row r="664" spans="1:57" x14ac:dyDescent="0.35">
      <c r="A664" s="36">
        <v>1057</v>
      </c>
      <c r="B664" s="36">
        <v>2</v>
      </c>
      <c r="C664" s="36">
        <v>0</v>
      </c>
      <c r="D664" s="36">
        <v>0</v>
      </c>
      <c r="E664" s="36">
        <v>0</v>
      </c>
      <c r="F664" s="36">
        <v>0</v>
      </c>
      <c r="G664" s="36" t="s">
        <v>66</v>
      </c>
      <c r="H664" s="36" t="s">
        <v>65</v>
      </c>
      <c r="S664" s="39"/>
      <c r="BC664" s="39"/>
      <c r="BE664" s="39"/>
    </row>
    <row r="665" spans="1:57" x14ac:dyDescent="0.35">
      <c r="A665" s="36">
        <v>1057</v>
      </c>
      <c r="B665" s="36">
        <v>5</v>
      </c>
      <c r="C665" s="36">
        <v>0</v>
      </c>
      <c r="D665" s="36">
        <v>0</v>
      </c>
      <c r="E665" s="36">
        <v>0</v>
      </c>
      <c r="F665" s="36">
        <v>0</v>
      </c>
      <c r="G665" s="36" t="s">
        <v>64</v>
      </c>
      <c r="H665" s="36" t="s">
        <v>65</v>
      </c>
      <c r="S665" s="39"/>
      <c r="BC665" s="39"/>
      <c r="BE665" s="39"/>
    </row>
    <row r="666" spans="1:57" x14ac:dyDescent="0.35">
      <c r="A666" s="36">
        <v>1057</v>
      </c>
      <c r="B666" s="36">
        <v>2</v>
      </c>
      <c r="C666" s="36">
        <v>0</v>
      </c>
      <c r="D666" s="36">
        <v>0</v>
      </c>
      <c r="E666" s="36">
        <v>0</v>
      </c>
      <c r="F666" s="36">
        <v>0</v>
      </c>
      <c r="G666" s="36" t="s">
        <v>64</v>
      </c>
      <c r="H666" s="36" t="s">
        <v>65</v>
      </c>
      <c r="S666" s="39"/>
      <c r="BC666" s="39"/>
      <c r="BE666" s="39"/>
    </row>
    <row r="667" spans="1:57" x14ac:dyDescent="0.35">
      <c r="A667" s="36">
        <v>1057</v>
      </c>
      <c r="B667" s="36">
        <v>3</v>
      </c>
      <c r="C667" s="36">
        <v>0</v>
      </c>
      <c r="D667" s="36">
        <v>0</v>
      </c>
      <c r="E667" s="36">
        <v>0</v>
      </c>
      <c r="F667" s="36">
        <v>0</v>
      </c>
      <c r="G667" s="36" t="s">
        <v>64</v>
      </c>
      <c r="H667" s="36" t="s">
        <v>65</v>
      </c>
      <c r="S667" s="39"/>
      <c r="BC667" s="39"/>
      <c r="BE667" s="39"/>
    </row>
    <row r="668" spans="1:57" x14ac:dyDescent="0.35">
      <c r="A668" s="36">
        <v>1057</v>
      </c>
      <c r="B668" s="36">
        <v>1</v>
      </c>
      <c r="C668" s="36">
        <v>0</v>
      </c>
      <c r="D668" s="36">
        <v>0</v>
      </c>
      <c r="E668" s="36">
        <v>0</v>
      </c>
      <c r="F668" s="36">
        <v>0</v>
      </c>
      <c r="G668" s="36" t="s">
        <v>64</v>
      </c>
      <c r="H668" s="36" t="s">
        <v>70</v>
      </c>
      <c r="S668" s="39"/>
      <c r="BC668" s="39"/>
      <c r="BE668" s="39"/>
    </row>
    <row r="669" spans="1:57" x14ac:dyDescent="0.35">
      <c r="A669" s="36">
        <v>1057</v>
      </c>
      <c r="B669" s="36">
        <v>5</v>
      </c>
      <c r="C669" s="36">
        <v>0</v>
      </c>
      <c r="D669" s="36">
        <v>0</v>
      </c>
      <c r="E669" s="36">
        <v>0</v>
      </c>
      <c r="F669" s="36">
        <v>0</v>
      </c>
      <c r="G669" s="36" t="s">
        <v>64</v>
      </c>
      <c r="H669" s="36" t="s">
        <v>65</v>
      </c>
      <c r="S669" s="39"/>
      <c r="BC669" s="39"/>
      <c r="BE669" s="39"/>
    </row>
    <row r="670" spans="1:57" x14ac:dyDescent="0.35">
      <c r="A670" s="36">
        <v>1057</v>
      </c>
      <c r="B670" s="36">
        <v>3</v>
      </c>
      <c r="C670" s="36">
        <v>0</v>
      </c>
      <c r="D670" s="36">
        <v>0</v>
      </c>
      <c r="E670" s="36">
        <v>0</v>
      </c>
      <c r="F670" s="36">
        <v>0</v>
      </c>
      <c r="G670" s="36" t="s">
        <v>64</v>
      </c>
      <c r="H670" s="36" t="s">
        <v>65</v>
      </c>
      <c r="S670" s="39"/>
      <c r="BC670" s="39"/>
      <c r="BE670" s="39"/>
    </row>
    <row r="671" spans="1:57" x14ac:dyDescent="0.35">
      <c r="A671" s="36">
        <v>1057</v>
      </c>
      <c r="B671" s="36">
        <v>7</v>
      </c>
      <c r="C671" s="36">
        <v>0</v>
      </c>
      <c r="D671" s="36">
        <v>0</v>
      </c>
      <c r="E671" s="36">
        <v>0</v>
      </c>
      <c r="F671" s="36">
        <v>0</v>
      </c>
      <c r="G671" s="36" t="s">
        <v>64</v>
      </c>
      <c r="H671" s="36" t="s">
        <v>65</v>
      </c>
      <c r="S671" s="39"/>
      <c r="BC671" s="39"/>
      <c r="BE671" s="39"/>
    </row>
  </sheetData>
  <sheetProtection algorithmName="SHA-512" hashValue="ONYDi6ScXJbiATXol4zFekSKQdDLt52nxhGJsjCCcjOgHk832ae7J4TRIkjZCjk+kR9yeov9/q7YZRGiopMbpg==" saltValue="5RXXGwQIZ3wV6wCK3nxzag==" spinCount="100000" sheet="1" objects="1" scenarios="1"/>
  <sortState xmlns:xlrd2="http://schemas.microsoft.com/office/spreadsheetml/2017/richdata2" ref="A2:H671">
    <sortCondition ref="A1"/>
  </sortState>
  <dataValidations count="1">
    <dataValidation allowBlank="1" showInputMessage="1" showErrorMessage="1" prompt="Other columns can also be copied in the sheet, but only the first 8 columns are needed for the calculations." sqref="I1" xr:uid="{AB69AE33-E494-4D94-9483-213561BCAFCA}"/>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514A53-9200-44FC-94AF-5BE57988AE9E}">
  <sheetPr codeName="Sheet23">
    <tabColor theme="9" tint="0.39997558519241921"/>
  </sheetPr>
  <dimension ref="A1:AQ45"/>
  <sheetViews>
    <sheetView topLeftCell="A4428" workbookViewId="0">
      <selection activeCell="A4433" sqref="A4433:Z4457"/>
    </sheetView>
  </sheetViews>
  <sheetFormatPr defaultColWidth="8.81640625" defaultRowHeight="14.5" x14ac:dyDescent="0.35"/>
  <cols>
    <col min="1" max="1" width="12.81640625" style="35" customWidth="1"/>
    <col min="2" max="2" width="9.1796875" style="35" customWidth="1"/>
    <col min="3" max="3" width="13.1796875" style="35" customWidth="1"/>
    <col min="4" max="4" width="15.81640625" style="35" bestFit="1" customWidth="1"/>
    <col min="5" max="5" width="12.453125" style="35" bestFit="1" customWidth="1"/>
    <col min="6" max="16" width="8.81640625" style="35"/>
    <col min="17" max="17" width="22" style="35" customWidth="1"/>
    <col min="18" max="18" width="20.81640625" style="35" customWidth="1"/>
    <col min="19" max="19" width="16.453125" style="35" customWidth="1"/>
    <col min="20" max="20" width="13.81640625" style="35" customWidth="1"/>
    <col min="21" max="21" width="26.81640625" style="35" customWidth="1"/>
    <col min="22" max="22" width="18.453125" style="35" customWidth="1"/>
    <col min="23" max="24" width="8.81640625" style="35"/>
    <col min="25" max="16384" width="8.81640625" style="36"/>
  </cols>
  <sheetData>
    <row r="1" spans="1:43" x14ac:dyDescent="0.35">
      <c r="A1" s="38" t="s">
        <v>16</v>
      </c>
      <c r="B1" s="38" t="s">
        <v>76</v>
      </c>
      <c r="C1" s="38" t="s">
        <v>77</v>
      </c>
      <c r="D1" s="38" t="s">
        <v>78</v>
      </c>
      <c r="E1" s="38" t="s">
        <v>79</v>
      </c>
      <c r="F1" s="38" t="s">
        <v>80</v>
      </c>
      <c r="G1" s="38" t="s">
        <v>81</v>
      </c>
      <c r="H1" s="38" t="s">
        <v>82</v>
      </c>
      <c r="I1" s="38" t="s">
        <v>83</v>
      </c>
      <c r="J1" s="38" t="s">
        <v>84</v>
      </c>
      <c r="K1" s="38" t="s">
        <v>85</v>
      </c>
      <c r="L1" s="38" t="s">
        <v>86</v>
      </c>
      <c r="M1" s="38" t="s">
        <v>87</v>
      </c>
      <c r="N1" s="38" t="s">
        <v>88</v>
      </c>
      <c r="O1" s="38" t="s">
        <v>89</v>
      </c>
      <c r="P1" s="38" t="s">
        <v>90</v>
      </c>
      <c r="Q1" s="38" t="s">
        <v>91</v>
      </c>
      <c r="R1" s="38" t="s">
        <v>92</v>
      </c>
      <c r="S1" s="38" t="s">
        <v>93</v>
      </c>
      <c r="T1" s="38" t="s">
        <v>94</v>
      </c>
      <c r="U1" s="38" t="s">
        <v>95</v>
      </c>
      <c r="V1" s="38" t="s">
        <v>96</v>
      </c>
      <c r="W1" s="38" t="s">
        <v>97</v>
      </c>
      <c r="X1" s="38" t="s">
        <v>98</v>
      </c>
    </row>
    <row r="2" spans="1:43" x14ac:dyDescent="0.35">
      <c r="A2" s="40">
        <v>1057</v>
      </c>
      <c r="B2" s="40">
        <v>0.99071600000000004</v>
      </c>
      <c r="C2" s="40">
        <v>0</v>
      </c>
      <c r="D2" s="40">
        <v>9.2840000000000006E-3</v>
      </c>
      <c r="E2" s="40">
        <v>0</v>
      </c>
      <c r="F2" s="40">
        <v>0</v>
      </c>
      <c r="G2" s="40">
        <v>0</v>
      </c>
      <c r="H2" s="40">
        <v>1</v>
      </c>
      <c r="I2" s="40">
        <v>1</v>
      </c>
      <c r="J2" s="40">
        <v>0</v>
      </c>
      <c r="K2" s="40">
        <v>1</v>
      </c>
      <c r="L2" s="40">
        <v>0</v>
      </c>
      <c r="M2" s="40">
        <v>0</v>
      </c>
      <c r="N2" s="40">
        <v>0</v>
      </c>
      <c r="O2" s="40">
        <v>0</v>
      </c>
      <c r="P2" s="40">
        <v>0</v>
      </c>
      <c r="Q2" s="40">
        <v>0</v>
      </c>
      <c r="R2" s="40">
        <v>0</v>
      </c>
      <c r="S2" s="40">
        <v>0</v>
      </c>
      <c r="T2" s="40">
        <v>0</v>
      </c>
      <c r="U2" s="40">
        <v>0</v>
      </c>
      <c r="V2" s="40">
        <v>0</v>
      </c>
      <c r="W2" s="40">
        <v>0</v>
      </c>
      <c r="X2" s="40">
        <v>0</v>
      </c>
      <c r="AO2" s="39"/>
      <c r="AQ2" s="39"/>
    </row>
    <row r="3" spans="1:43" x14ac:dyDescent="0.35">
      <c r="A3" s="40">
        <v>1057</v>
      </c>
      <c r="B3" s="40">
        <v>0.99071600000000004</v>
      </c>
      <c r="C3" s="40">
        <v>0</v>
      </c>
      <c r="D3" s="40">
        <v>9.2840000000000006E-3</v>
      </c>
      <c r="E3" s="40">
        <v>0</v>
      </c>
      <c r="F3" s="40">
        <v>0</v>
      </c>
      <c r="G3" s="40">
        <v>0</v>
      </c>
      <c r="H3" s="40">
        <v>2</v>
      </c>
      <c r="I3" s="40">
        <v>2</v>
      </c>
      <c r="J3" s="40">
        <v>0</v>
      </c>
      <c r="K3" s="40">
        <v>1</v>
      </c>
      <c r="L3" s="40">
        <v>0</v>
      </c>
      <c r="M3" s="40">
        <v>0</v>
      </c>
      <c r="N3" s="40">
        <v>0</v>
      </c>
      <c r="O3" s="40">
        <v>0</v>
      </c>
      <c r="P3" s="40">
        <v>0</v>
      </c>
      <c r="Q3" s="40">
        <v>0</v>
      </c>
      <c r="R3" s="40">
        <v>0</v>
      </c>
      <c r="S3" s="40">
        <v>0</v>
      </c>
      <c r="T3" s="40">
        <v>0</v>
      </c>
      <c r="U3" s="40">
        <v>0</v>
      </c>
      <c r="V3" s="40">
        <v>0</v>
      </c>
      <c r="W3" s="40">
        <v>0</v>
      </c>
      <c r="X3" s="40">
        <v>0</v>
      </c>
      <c r="AO3" s="39"/>
      <c r="AQ3" s="39"/>
    </row>
    <row r="4" spans="1:43" x14ac:dyDescent="0.35">
      <c r="A4" s="40">
        <v>1057</v>
      </c>
      <c r="B4" s="40">
        <v>0.99398900000000001</v>
      </c>
      <c r="C4" s="40">
        <v>0</v>
      </c>
      <c r="D4" s="40">
        <v>6.0109999999999999E-3</v>
      </c>
      <c r="E4" s="40">
        <v>0</v>
      </c>
      <c r="F4" s="40">
        <v>9.7533999999999996E-2</v>
      </c>
      <c r="G4" s="40">
        <v>9.7533999999999996E-2</v>
      </c>
      <c r="H4" s="40">
        <v>2</v>
      </c>
      <c r="I4" s="40">
        <v>2</v>
      </c>
      <c r="J4" s="40">
        <v>0</v>
      </c>
      <c r="K4" s="40">
        <v>1</v>
      </c>
      <c r="L4" s="40">
        <v>1</v>
      </c>
      <c r="M4" s="40">
        <v>1</v>
      </c>
      <c r="N4" s="40">
        <v>1</v>
      </c>
      <c r="O4" s="40">
        <v>1</v>
      </c>
      <c r="P4" s="40">
        <v>1</v>
      </c>
      <c r="Q4" s="40">
        <v>1</v>
      </c>
      <c r="R4" s="40">
        <v>1</v>
      </c>
      <c r="S4" s="40">
        <v>0</v>
      </c>
      <c r="T4" s="40">
        <v>1</v>
      </c>
      <c r="U4" s="40">
        <v>2</v>
      </c>
      <c r="V4" s="40">
        <v>2</v>
      </c>
      <c r="W4" s="40">
        <v>0</v>
      </c>
      <c r="X4" s="40">
        <v>2</v>
      </c>
      <c r="AO4" s="39"/>
      <c r="AQ4" s="39"/>
    </row>
    <row r="5" spans="1:43" x14ac:dyDescent="0.35">
      <c r="A5" s="40">
        <v>1057</v>
      </c>
      <c r="B5" s="40">
        <v>0.99993600000000005</v>
      </c>
      <c r="C5" s="40">
        <v>0</v>
      </c>
      <c r="D5" s="40">
        <v>6.3999999999999997E-5</v>
      </c>
      <c r="E5" s="40">
        <v>7.2309999999999996E-3</v>
      </c>
      <c r="F5" s="40">
        <v>6.7129999999999995E-2</v>
      </c>
      <c r="G5" s="40">
        <v>7.4360999999999997E-2</v>
      </c>
      <c r="H5" s="40">
        <v>3</v>
      </c>
      <c r="I5" s="40">
        <v>3</v>
      </c>
      <c r="J5" s="40">
        <v>0</v>
      </c>
      <c r="K5" s="40">
        <v>1</v>
      </c>
      <c r="L5" s="40">
        <v>1</v>
      </c>
      <c r="M5" s="40">
        <v>1</v>
      </c>
      <c r="N5" s="40">
        <v>1</v>
      </c>
      <c r="O5" s="40">
        <v>1</v>
      </c>
      <c r="P5" s="40">
        <v>0</v>
      </c>
      <c r="Q5" s="40">
        <v>1</v>
      </c>
      <c r="R5" s="40">
        <v>1</v>
      </c>
      <c r="S5" s="40">
        <v>1</v>
      </c>
      <c r="T5" s="40">
        <v>1</v>
      </c>
      <c r="U5" s="40">
        <v>2</v>
      </c>
      <c r="V5" s="40">
        <v>2</v>
      </c>
      <c r="W5" s="40">
        <v>2</v>
      </c>
      <c r="X5" s="40">
        <v>2</v>
      </c>
      <c r="AO5" s="39"/>
      <c r="AQ5" s="39"/>
    </row>
    <row r="6" spans="1:43" x14ac:dyDescent="0.35">
      <c r="A6" s="40">
        <v>1057</v>
      </c>
      <c r="B6" s="40">
        <v>0.99071600000000004</v>
      </c>
      <c r="C6" s="40">
        <v>0</v>
      </c>
      <c r="D6" s="40">
        <v>9.2840000000000006E-3</v>
      </c>
      <c r="E6" s="40">
        <v>0</v>
      </c>
      <c r="F6" s="40">
        <v>3.0480830000000001</v>
      </c>
      <c r="G6" s="40">
        <v>3.0480830000000001</v>
      </c>
      <c r="H6" s="40">
        <v>54</v>
      </c>
      <c r="I6" s="40">
        <v>53</v>
      </c>
      <c r="J6" s="40">
        <v>0</v>
      </c>
      <c r="K6" s="40">
        <v>1</v>
      </c>
      <c r="L6" s="40">
        <v>1</v>
      </c>
      <c r="M6" s="40">
        <v>2</v>
      </c>
      <c r="N6" s="40">
        <v>2</v>
      </c>
      <c r="O6" s="40">
        <v>1</v>
      </c>
      <c r="P6" s="40">
        <v>1</v>
      </c>
      <c r="Q6" s="40">
        <v>1</v>
      </c>
      <c r="R6" s="40">
        <v>1</v>
      </c>
      <c r="S6" s="40">
        <v>0</v>
      </c>
      <c r="T6" s="40">
        <v>1</v>
      </c>
      <c r="U6" s="40">
        <v>2</v>
      </c>
      <c r="V6" s="40">
        <v>2</v>
      </c>
      <c r="W6" s="40">
        <v>0</v>
      </c>
      <c r="X6" s="40">
        <v>2</v>
      </c>
      <c r="AO6" s="39"/>
      <c r="AQ6" s="39"/>
    </row>
    <row r="7" spans="1:43" x14ac:dyDescent="0.35">
      <c r="A7" s="40">
        <v>1057</v>
      </c>
      <c r="B7" s="40">
        <v>0.99272099999999996</v>
      </c>
      <c r="C7" s="40">
        <v>0</v>
      </c>
      <c r="D7" s="40">
        <v>7.2789999999999999E-3</v>
      </c>
      <c r="E7" s="40">
        <v>0</v>
      </c>
      <c r="F7" s="40">
        <v>0.51854100000000003</v>
      </c>
      <c r="G7" s="40">
        <v>0.51854100000000003</v>
      </c>
      <c r="H7" s="40">
        <v>8</v>
      </c>
      <c r="I7" s="40">
        <v>8</v>
      </c>
      <c r="J7" s="40">
        <v>0</v>
      </c>
      <c r="K7" s="40">
        <v>1</v>
      </c>
      <c r="L7" s="40">
        <v>1</v>
      </c>
      <c r="M7" s="40">
        <v>1</v>
      </c>
      <c r="N7" s="40">
        <v>1</v>
      </c>
      <c r="O7" s="40">
        <v>1</v>
      </c>
      <c r="P7" s="40">
        <v>1</v>
      </c>
      <c r="Q7" s="40">
        <v>1</v>
      </c>
      <c r="R7" s="40">
        <v>1</v>
      </c>
      <c r="S7" s="40">
        <v>0</v>
      </c>
      <c r="T7" s="40">
        <v>1</v>
      </c>
      <c r="U7" s="40">
        <v>2</v>
      </c>
      <c r="V7" s="40">
        <v>2</v>
      </c>
      <c r="W7" s="40">
        <v>0</v>
      </c>
      <c r="X7" s="40">
        <v>2</v>
      </c>
      <c r="AO7" s="39"/>
      <c r="AQ7" s="39"/>
    </row>
    <row r="8" spans="1:43" x14ac:dyDescent="0.35">
      <c r="A8" s="40">
        <v>1057</v>
      </c>
      <c r="B8" s="40">
        <v>0.99993100000000001</v>
      </c>
      <c r="C8" s="40">
        <v>0</v>
      </c>
      <c r="D8" s="40">
        <v>6.8999999999999997E-5</v>
      </c>
      <c r="E8" s="40">
        <v>0.17804800000000001</v>
      </c>
      <c r="F8" s="40">
        <v>1.119526</v>
      </c>
      <c r="G8" s="40">
        <v>1.2975730000000001</v>
      </c>
      <c r="H8" s="40">
        <v>15</v>
      </c>
      <c r="I8" s="40">
        <v>15</v>
      </c>
      <c r="J8" s="40">
        <v>0</v>
      </c>
      <c r="K8" s="40">
        <v>1</v>
      </c>
      <c r="L8" s="40">
        <v>1</v>
      </c>
      <c r="M8" s="40">
        <v>1</v>
      </c>
      <c r="N8" s="40">
        <v>1</v>
      </c>
      <c r="O8" s="40">
        <v>1</v>
      </c>
      <c r="P8" s="40">
        <v>1</v>
      </c>
      <c r="Q8" s="40">
        <v>1</v>
      </c>
      <c r="R8" s="40">
        <v>1</v>
      </c>
      <c r="S8" s="40">
        <v>1</v>
      </c>
      <c r="T8" s="40">
        <v>1</v>
      </c>
      <c r="U8" s="40">
        <v>2</v>
      </c>
      <c r="V8" s="40">
        <v>2</v>
      </c>
      <c r="W8" s="40">
        <v>2</v>
      </c>
      <c r="X8" s="40">
        <v>2</v>
      </c>
      <c r="AO8" s="39"/>
      <c r="AQ8" s="39"/>
    </row>
    <row r="9" spans="1:43" x14ac:dyDescent="0.35">
      <c r="A9" s="40">
        <v>1057</v>
      </c>
      <c r="B9" s="40">
        <v>0.99368000000000001</v>
      </c>
      <c r="C9" s="40">
        <v>0</v>
      </c>
      <c r="D9" s="40">
        <v>6.3200000000000001E-3</v>
      </c>
      <c r="E9" s="40">
        <v>0</v>
      </c>
      <c r="F9" s="40">
        <v>7.4436000000000002E-2</v>
      </c>
      <c r="G9" s="40">
        <v>7.4436000000000002E-2</v>
      </c>
      <c r="H9" s="40">
        <v>2</v>
      </c>
      <c r="I9" s="40">
        <v>2</v>
      </c>
      <c r="J9" s="40">
        <v>0</v>
      </c>
      <c r="K9" s="40">
        <v>1</v>
      </c>
      <c r="L9" s="40">
        <v>1</v>
      </c>
      <c r="M9" s="40">
        <v>1</v>
      </c>
      <c r="N9" s="40">
        <v>1</v>
      </c>
      <c r="O9" s="40">
        <v>0</v>
      </c>
      <c r="P9" s="40">
        <v>0</v>
      </c>
      <c r="Q9" s="40">
        <v>1</v>
      </c>
      <c r="R9" s="40">
        <v>1</v>
      </c>
      <c r="S9" s="40">
        <v>0</v>
      </c>
      <c r="T9" s="40">
        <v>1</v>
      </c>
      <c r="U9" s="40">
        <v>2</v>
      </c>
      <c r="V9" s="40">
        <v>2</v>
      </c>
      <c r="W9" s="40">
        <v>0</v>
      </c>
      <c r="X9" s="40">
        <v>2</v>
      </c>
      <c r="AO9" s="39"/>
      <c r="AQ9" s="39"/>
    </row>
    <row r="10" spans="1:43" x14ac:dyDescent="0.35">
      <c r="A10" s="40">
        <v>1057</v>
      </c>
      <c r="B10" s="40">
        <v>0.99863599999999997</v>
      </c>
      <c r="C10" s="40">
        <v>0</v>
      </c>
      <c r="D10" s="40">
        <v>1.364E-3</v>
      </c>
      <c r="E10" s="40">
        <v>4.0029000000000002E-2</v>
      </c>
      <c r="F10" s="40">
        <v>0.42680499999999999</v>
      </c>
      <c r="G10" s="40">
        <v>0.46683400000000003</v>
      </c>
      <c r="H10" s="40">
        <v>4</v>
      </c>
      <c r="I10" s="40">
        <v>4</v>
      </c>
      <c r="J10" s="40">
        <v>0</v>
      </c>
      <c r="K10" s="40">
        <v>1</v>
      </c>
      <c r="L10" s="40">
        <v>1</v>
      </c>
      <c r="M10" s="40">
        <v>1</v>
      </c>
      <c r="N10" s="40">
        <v>1</v>
      </c>
      <c r="O10" s="40">
        <v>1</v>
      </c>
      <c r="P10" s="40">
        <v>1</v>
      </c>
      <c r="Q10" s="40">
        <v>1</v>
      </c>
      <c r="R10" s="40">
        <v>1</v>
      </c>
      <c r="S10" s="40">
        <v>1</v>
      </c>
      <c r="T10" s="40">
        <v>1</v>
      </c>
      <c r="U10" s="40">
        <v>2</v>
      </c>
      <c r="V10" s="40">
        <v>2</v>
      </c>
      <c r="W10" s="40">
        <v>2</v>
      </c>
      <c r="X10" s="40">
        <v>2</v>
      </c>
      <c r="AO10" s="39"/>
      <c r="AQ10" s="39"/>
    </row>
    <row r="11" spans="1:43" x14ac:dyDescent="0.35">
      <c r="A11" s="40">
        <v>1057</v>
      </c>
      <c r="B11" s="40">
        <v>0.99071600000000004</v>
      </c>
      <c r="C11" s="40">
        <v>0</v>
      </c>
      <c r="D11" s="40">
        <v>9.2840000000000006E-3</v>
      </c>
      <c r="E11" s="40">
        <v>0</v>
      </c>
      <c r="F11" s="40">
        <v>0</v>
      </c>
      <c r="G11" s="40">
        <v>0</v>
      </c>
      <c r="H11" s="40">
        <v>2</v>
      </c>
      <c r="I11" s="40">
        <v>2</v>
      </c>
      <c r="J11" s="40">
        <v>0</v>
      </c>
      <c r="K11" s="40">
        <v>1</v>
      </c>
      <c r="L11" s="40">
        <v>0</v>
      </c>
      <c r="M11" s="40">
        <v>0</v>
      </c>
      <c r="N11" s="40">
        <v>0</v>
      </c>
      <c r="O11" s="40">
        <v>0</v>
      </c>
      <c r="P11" s="40">
        <v>0</v>
      </c>
      <c r="Q11" s="40">
        <v>0</v>
      </c>
      <c r="R11" s="40">
        <v>0</v>
      </c>
      <c r="S11" s="40">
        <v>0</v>
      </c>
      <c r="T11" s="40">
        <v>0</v>
      </c>
      <c r="U11" s="40">
        <v>0</v>
      </c>
      <c r="V11" s="40">
        <v>0</v>
      </c>
      <c r="W11" s="40">
        <v>0</v>
      </c>
      <c r="X11" s="40">
        <v>0</v>
      </c>
      <c r="AO11" s="39"/>
      <c r="AQ11" s="39"/>
    </row>
    <row r="12" spans="1:43" x14ac:dyDescent="0.35">
      <c r="A12" s="40">
        <v>1057</v>
      </c>
      <c r="B12" s="40">
        <v>0.99071600000000004</v>
      </c>
      <c r="C12" s="40">
        <v>0</v>
      </c>
      <c r="D12" s="40">
        <v>9.2840000000000006E-3</v>
      </c>
      <c r="E12" s="40">
        <v>0</v>
      </c>
      <c r="F12" s="40">
        <v>1.504394</v>
      </c>
      <c r="G12" s="40">
        <v>1.504394</v>
      </c>
      <c r="H12" s="40">
        <v>35</v>
      </c>
      <c r="I12" s="40">
        <v>35</v>
      </c>
      <c r="J12" s="40">
        <v>0</v>
      </c>
      <c r="K12" s="40">
        <v>1</v>
      </c>
      <c r="L12" s="40">
        <v>1</v>
      </c>
      <c r="M12" s="40">
        <v>1</v>
      </c>
      <c r="N12" s="40">
        <v>1</v>
      </c>
      <c r="O12" s="40">
        <v>1</v>
      </c>
      <c r="P12" s="40">
        <v>1</v>
      </c>
      <c r="Q12" s="40">
        <v>1</v>
      </c>
      <c r="R12" s="40">
        <v>1</v>
      </c>
      <c r="S12" s="40">
        <v>0</v>
      </c>
      <c r="T12" s="40">
        <v>1</v>
      </c>
      <c r="U12" s="40">
        <v>2</v>
      </c>
      <c r="V12" s="40">
        <v>2</v>
      </c>
      <c r="W12" s="40">
        <v>0</v>
      </c>
      <c r="X12" s="40">
        <v>2</v>
      </c>
      <c r="AO12" s="39"/>
      <c r="AQ12" s="39"/>
    </row>
    <row r="13" spans="1:43" x14ac:dyDescent="0.35">
      <c r="A13" s="40">
        <v>1057</v>
      </c>
      <c r="B13" s="40">
        <v>0.99999300000000002</v>
      </c>
      <c r="C13" s="40">
        <v>0</v>
      </c>
      <c r="D13" s="40">
        <v>6.9999999999999999E-6</v>
      </c>
      <c r="E13" s="40">
        <v>8.2614000000000007E-2</v>
      </c>
      <c r="F13" s="40">
        <v>0.66229300000000002</v>
      </c>
      <c r="G13" s="40">
        <v>0.74490699999999999</v>
      </c>
      <c r="H13" s="40">
        <v>5</v>
      </c>
      <c r="I13" s="40">
        <v>5</v>
      </c>
      <c r="J13" s="40">
        <v>0</v>
      </c>
      <c r="K13" s="40">
        <v>1</v>
      </c>
      <c r="L13" s="40">
        <v>1</v>
      </c>
      <c r="M13" s="40">
        <v>1</v>
      </c>
      <c r="N13" s="40">
        <v>1</v>
      </c>
      <c r="O13" s="40">
        <v>1</v>
      </c>
      <c r="P13" s="40">
        <v>0</v>
      </c>
      <c r="Q13" s="40">
        <v>1</v>
      </c>
      <c r="R13" s="40">
        <v>1</v>
      </c>
      <c r="S13" s="40">
        <v>1</v>
      </c>
      <c r="T13" s="40">
        <v>1</v>
      </c>
      <c r="U13" s="40">
        <v>2</v>
      </c>
      <c r="V13" s="40">
        <v>2</v>
      </c>
      <c r="W13" s="40">
        <v>2</v>
      </c>
      <c r="X13" s="40">
        <v>2</v>
      </c>
      <c r="AO13" s="39"/>
      <c r="AQ13" s="39"/>
    </row>
    <row r="14" spans="1:43" x14ac:dyDescent="0.35">
      <c r="A14" s="40">
        <v>1057</v>
      </c>
      <c r="B14" s="40">
        <v>1</v>
      </c>
      <c r="C14" s="40">
        <v>0</v>
      </c>
      <c r="D14" s="40">
        <v>0</v>
      </c>
      <c r="E14" s="40">
        <v>6.3010000000000002E-3</v>
      </c>
      <c r="F14" s="40">
        <v>3.7016E-2</v>
      </c>
      <c r="G14" s="40">
        <v>4.3317000000000001E-2</v>
      </c>
      <c r="H14" s="40">
        <v>4</v>
      </c>
      <c r="I14" s="40">
        <v>4</v>
      </c>
      <c r="J14" s="40">
        <v>0</v>
      </c>
      <c r="K14" s="40">
        <v>0</v>
      </c>
      <c r="L14" s="40">
        <v>1</v>
      </c>
      <c r="M14" s="40">
        <v>1</v>
      </c>
      <c r="N14" s="40">
        <v>1</v>
      </c>
      <c r="O14" s="40">
        <v>1</v>
      </c>
      <c r="P14" s="40">
        <v>1</v>
      </c>
      <c r="Q14" s="40">
        <v>1</v>
      </c>
      <c r="R14" s="40">
        <v>1</v>
      </c>
      <c r="S14" s="40">
        <v>1</v>
      </c>
      <c r="T14" s="40">
        <v>1</v>
      </c>
      <c r="U14" s="40">
        <v>2</v>
      </c>
      <c r="V14" s="40">
        <v>2</v>
      </c>
      <c r="W14" s="40">
        <v>2</v>
      </c>
      <c r="X14" s="40">
        <v>2</v>
      </c>
      <c r="AO14" s="39"/>
      <c r="AQ14" s="39"/>
    </row>
    <row r="15" spans="1:43" x14ac:dyDescent="0.35">
      <c r="A15" s="40">
        <v>1057</v>
      </c>
      <c r="B15" s="40">
        <v>0.995116</v>
      </c>
      <c r="C15" s="40">
        <v>0</v>
      </c>
      <c r="D15" s="40">
        <v>4.8840000000000003E-3</v>
      </c>
      <c r="E15" s="40">
        <v>0</v>
      </c>
      <c r="F15" s="40">
        <v>0</v>
      </c>
      <c r="G15" s="40">
        <v>0</v>
      </c>
      <c r="H15" s="40">
        <v>1</v>
      </c>
      <c r="I15" s="40">
        <v>1</v>
      </c>
      <c r="J15" s="40">
        <v>0</v>
      </c>
      <c r="K15" s="40">
        <v>1</v>
      </c>
      <c r="L15" s="40">
        <v>0</v>
      </c>
      <c r="M15" s="40">
        <v>0</v>
      </c>
      <c r="N15" s="40">
        <v>0</v>
      </c>
      <c r="O15" s="40">
        <v>0</v>
      </c>
      <c r="P15" s="40">
        <v>0</v>
      </c>
      <c r="Q15" s="40">
        <v>0</v>
      </c>
      <c r="R15" s="40">
        <v>0</v>
      </c>
      <c r="S15" s="40">
        <v>0</v>
      </c>
      <c r="T15" s="40">
        <v>0</v>
      </c>
      <c r="U15" s="40">
        <v>0</v>
      </c>
      <c r="V15" s="40">
        <v>0</v>
      </c>
      <c r="W15" s="40">
        <v>0</v>
      </c>
      <c r="X15" s="40">
        <v>0</v>
      </c>
      <c r="AO15" s="39"/>
      <c r="AQ15" s="39"/>
    </row>
    <row r="16" spans="1:43" x14ac:dyDescent="0.35">
      <c r="A16" s="40">
        <v>1057</v>
      </c>
      <c r="B16" s="40">
        <v>1</v>
      </c>
      <c r="C16" s="40">
        <v>0</v>
      </c>
      <c r="D16" s="40">
        <v>0</v>
      </c>
      <c r="E16" s="40">
        <v>0.117483</v>
      </c>
      <c r="F16" s="40">
        <v>0.69709299999999996</v>
      </c>
      <c r="G16" s="40">
        <v>0.81457500000000005</v>
      </c>
      <c r="H16" s="40">
        <v>5</v>
      </c>
      <c r="I16" s="40">
        <v>5</v>
      </c>
      <c r="J16" s="40">
        <v>0</v>
      </c>
      <c r="K16" s="40">
        <v>0</v>
      </c>
      <c r="L16" s="40">
        <v>1</v>
      </c>
      <c r="M16" s="40">
        <v>1</v>
      </c>
      <c r="N16" s="40">
        <v>1</v>
      </c>
      <c r="O16" s="40">
        <v>1</v>
      </c>
      <c r="P16" s="40">
        <v>1</v>
      </c>
      <c r="Q16" s="40">
        <v>1</v>
      </c>
      <c r="R16" s="40">
        <v>1</v>
      </c>
      <c r="S16" s="40">
        <v>1</v>
      </c>
      <c r="T16" s="40">
        <v>1</v>
      </c>
      <c r="U16" s="40">
        <v>2</v>
      </c>
      <c r="V16" s="40">
        <v>2</v>
      </c>
      <c r="W16" s="40">
        <v>2</v>
      </c>
      <c r="X16" s="40">
        <v>2</v>
      </c>
      <c r="AO16" s="39"/>
      <c r="AQ16" s="39"/>
    </row>
    <row r="17" spans="1:43" x14ac:dyDescent="0.35">
      <c r="A17" s="40">
        <v>1057</v>
      </c>
      <c r="B17" s="40">
        <v>0.97278399999999998</v>
      </c>
      <c r="C17" s="40">
        <v>0</v>
      </c>
      <c r="D17" s="40">
        <v>2.7216000000000001E-2</v>
      </c>
      <c r="E17" s="40">
        <v>0</v>
      </c>
      <c r="F17" s="40">
        <v>1.8168E-2</v>
      </c>
      <c r="G17" s="40">
        <v>1.8168E-2</v>
      </c>
      <c r="H17" s="40">
        <v>1</v>
      </c>
      <c r="I17" s="40">
        <v>1</v>
      </c>
      <c r="J17" s="40">
        <v>0</v>
      </c>
      <c r="K17" s="40">
        <v>1</v>
      </c>
      <c r="L17" s="40">
        <v>1</v>
      </c>
      <c r="M17" s="40">
        <v>1</v>
      </c>
      <c r="N17" s="40">
        <v>1</v>
      </c>
      <c r="O17" s="40">
        <v>1</v>
      </c>
      <c r="P17" s="40">
        <v>0</v>
      </c>
      <c r="Q17" s="40">
        <v>1</v>
      </c>
      <c r="R17" s="40">
        <v>1</v>
      </c>
      <c r="S17" s="40">
        <v>0</v>
      </c>
      <c r="T17" s="40">
        <v>1</v>
      </c>
      <c r="U17" s="40">
        <v>2</v>
      </c>
      <c r="V17" s="40">
        <v>2</v>
      </c>
      <c r="W17" s="40">
        <v>0</v>
      </c>
      <c r="X17" s="40">
        <v>2</v>
      </c>
      <c r="AO17" s="39"/>
      <c r="AQ17" s="39"/>
    </row>
    <row r="18" spans="1:43" x14ac:dyDescent="0.35">
      <c r="A18" s="40">
        <v>1057</v>
      </c>
      <c r="B18" s="40">
        <v>1</v>
      </c>
      <c r="C18" s="40">
        <v>0</v>
      </c>
      <c r="D18" s="40">
        <v>0</v>
      </c>
      <c r="E18" s="40">
        <v>3.5060000000000001E-2</v>
      </c>
      <c r="F18" s="40">
        <v>0.18140899999999999</v>
      </c>
      <c r="G18" s="40">
        <v>0.21646899999999999</v>
      </c>
      <c r="H18" s="40">
        <v>4</v>
      </c>
      <c r="I18" s="40">
        <v>4</v>
      </c>
      <c r="J18" s="40">
        <v>0</v>
      </c>
      <c r="K18" s="40">
        <v>0</v>
      </c>
      <c r="L18" s="40">
        <v>1</v>
      </c>
      <c r="M18" s="40">
        <v>1</v>
      </c>
      <c r="N18" s="40">
        <v>1</v>
      </c>
      <c r="O18" s="40">
        <v>0</v>
      </c>
      <c r="P18" s="40">
        <v>1</v>
      </c>
      <c r="Q18" s="40">
        <v>1</v>
      </c>
      <c r="R18" s="40">
        <v>1</v>
      </c>
      <c r="S18" s="40">
        <v>1</v>
      </c>
      <c r="T18" s="40">
        <v>1</v>
      </c>
      <c r="U18" s="40">
        <v>2</v>
      </c>
      <c r="V18" s="40">
        <v>2</v>
      </c>
      <c r="W18" s="40">
        <v>2</v>
      </c>
      <c r="X18" s="40">
        <v>2</v>
      </c>
      <c r="AO18" s="39"/>
      <c r="AQ18" s="39"/>
    </row>
    <row r="19" spans="1:43" x14ac:dyDescent="0.35">
      <c r="A19" s="40">
        <v>1057</v>
      </c>
      <c r="B19" s="40">
        <v>1</v>
      </c>
      <c r="C19" s="40">
        <v>0</v>
      </c>
      <c r="D19" s="40">
        <v>0</v>
      </c>
      <c r="E19" s="40">
        <v>0</v>
      </c>
      <c r="F19" s="40">
        <v>0</v>
      </c>
      <c r="G19" s="40">
        <v>0</v>
      </c>
      <c r="H19" s="40">
        <v>2</v>
      </c>
      <c r="I19" s="40">
        <v>2</v>
      </c>
      <c r="J19" s="40">
        <v>0</v>
      </c>
      <c r="K19" s="40">
        <v>0</v>
      </c>
      <c r="L19" s="40">
        <v>0</v>
      </c>
      <c r="M19" s="40">
        <v>0</v>
      </c>
      <c r="N19" s="40">
        <v>0</v>
      </c>
      <c r="O19" s="40">
        <v>0</v>
      </c>
      <c r="P19" s="40">
        <v>0</v>
      </c>
      <c r="Q19" s="40">
        <v>0</v>
      </c>
      <c r="R19" s="40">
        <v>0</v>
      </c>
      <c r="S19" s="40">
        <v>0</v>
      </c>
      <c r="T19" s="40">
        <v>0</v>
      </c>
      <c r="U19" s="40">
        <v>0</v>
      </c>
      <c r="V19" s="40">
        <v>0</v>
      </c>
      <c r="W19" s="40">
        <v>0</v>
      </c>
      <c r="X19" s="40">
        <v>0</v>
      </c>
      <c r="AO19" s="39"/>
      <c r="AQ19" s="39"/>
    </row>
    <row r="20" spans="1:43" x14ac:dyDescent="0.35">
      <c r="A20" s="40">
        <v>1057</v>
      </c>
      <c r="B20" s="40">
        <v>1</v>
      </c>
      <c r="C20" s="40">
        <v>0</v>
      </c>
      <c r="D20" s="40">
        <v>0</v>
      </c>
      <c r="E20" s="40">
        <v>0.227579</v>
      </c>
      <c r="F20" s="40">
        <v>1.2058819999999999</v>
      </c>
      <c r="G20" s="40">
        <v>1.4334610000000001</v>
      </c>
      <c r="H20" s="40">
        <v>14</v>
      </c>
      <c r="I20" s="40">
        <v>14</v>
      </c>
      <c r="J20" s="40">
        <v>0</v>
      </c>
      <c r="K20" s="40">
        <v>0</v>
      </c>
      <c r="L20" s="40">
        <v>1</v>
      </c>
      <c r="M20" s="40">
        <v>1</v>
      </c>
      <c r="N20" s="40">
        <v>1</v>
      </c>
      <c r="O20" s="40">
        <v>1</v>
      </c>
      <c r="P20" s="40">
        <v>1</v>
      </c>
      <c r="Q20" s="40">
        <v>1</v>
      </c>
      <c r="R20" s="40">
        <v>1</v>
      </c>
      <c r="S20" s="40">
        <v>1</v>
      </c>
      <c r="T20" s="40">
        <v>1</v>
      </c>
      <c r="U20" s="40">
        <v>2</v>
      </c>
      <c r="V20" s="40">
        <v>2</v>
      </c>
      <c r="W20" s="40">
        <v>2</v>
      </c>
      <c r="X20" s="40">
        <v>2</v>
      </c>
      <c r="AO20" s="39"/>
      <c r="AQ20" s="39"/>
    </row>
    <row r="21" spans="1:43" x14ac:dyDescent="0.35">
      <c r="A21" s="40">
        <v>1057</v>
      </c>
      <c r="B21" s="40">
        <v>1</v>
      </c>
      <c r="C21" s="40">
        <v>0</v>
      </c>
      <c r="D21" s="40">
        <v>0</v>
      </c>
      <c r="E21" s="40">
        <v>7.6732999999999996E-2</v>
      </c>
      <c r="F21" s="40">
        <v>0.62587899999999996</v>
      </c>
      <c r="G21" s="40">
        <v>0.70261200000000001</v>
      </c>
      <c r="H21" s="40">
        <v>6</v>
      </c>
      <c r="I21" s="40">
        <v>6</v>
      </c>
      <c r="J21" s="40">
        <v>0</v>
      </c>
      <c r="K21" s="40">
        <v>0</v>
      </c>
      <c r="L21" s="40">
        <v>1</v>
      </c>
      <c r="M21" s="40">
        <v>1</v>
      </c>
      <c r="N21" s="40">
        <v>1</v>
      </c>
      <c r="O21" s="40">
        <v>1</v>
      </c>
      <c r="P21" s="40">
        <v>1</v>
      </c>
      <c r="Q21" s="40">
        <v>1</v>
      </c>
      <c r="R21" s="40">
        <v>1</v>
      </c>
      <c r="S21" s="40">
        <v>1</v>
      </c>
      <c r="T21" s="40">
        <v>1</v>
      </c>
      <c r="U21" s="40">
        <v>2</v>
      </c>
      <c r="V21" s="40">
        <v>2</v>
      </c>
      <c r="W21" s="40">
        <v>2</v>
      </c>
      <c r="X21" s="40">
        <v>2</v>
      </c>
      <c r="AO21" s="39"/>
      <c r="AQ21" s="39"/>
    </row>
    <row r="22" spans="1:43" x14ac:dyDescent="0.35">
      <c r="A22" s="40">
        <v>1057</v>
      </c>
      <c r="B22" s="40">
        <v>1</v>
      </c>
      <c r="C22" s="40">
        <v>0</v>
      </c>
      <c r="D22" s="40">
        <v>0</v>
      </c>
      <c r="E22" s="40">
        <v>0.20235900000000001</v>
      </c>
      <c r="F22" s="40">
        <v>0.79989299999999997</v>
      </c>
      <c r="G22" s="40">
        <v>1.0022530000000001</v>
      </c>
      <c r="H22" s="40">
        <v>5</v>
      </c>
      <c r="I22" s="40">
        <v>5</v>
      </c>
      <c r="J22" s="40">
        <v>0</v>
      </c>
      <c r="K22" s="40">
        <v>0</v>
      </c>
      <c r="L22" s="40">
        <v>1</v>
      </c>
      <c r="M22" s="40">
        <v>1</v>
      </c>
      <c r="N22" s="40">
        <v>1</v>
      </c>
      <c r="O22" s="40">
        <v>1</v>
      </c>
      <c r="P22" s="40">
        <v>1</v>
      </c>
      <c r="Q22" s="40">
        <v>1</v>
      </c>
      <c r="R22" s="40">
        <v>1</v>
      </c>
      <c r="S22" s="40">
        <v>1</v>
      </c>
      <c r="T22" s="40">
        <v>1</v>
      </c>
      <c r="U22" s="40">
        <v>2</v>
      </c>
      <c r="V22" s="40">
        <v>2</v>
      </c>
      <c r="W22" s="40">
        <v>2</v>
      </c>
      <c r="X22" s="40">
        <v>2</v>
      </c>
      <c r="AO22" s="39"/>
      <c r="AQ22" s="39"/>
    </row>
    <row r="23" spans="1:43" x14ac:dyDescent="0.35">
      <c r="A23" s="40">
        <v>1057</v>
      </c>
      <c r="B23" s="40">
        <v>1</v>
      </c>
      <c r="C23" s="40">
        <v>0</v>
      </c>
      <c r="D23" s="40">
        <v>0</v>
      </c>
      <c r="E23" s="40">
        <v>0.31799100000000002</v>
      </c>
      <c r="F23" s="40">
        <v>2.0511460000000001</v>
      </c>
      <c r="G23" s="40">
        <v>2.3691369999999998</v>
      </c>
      <c r="H23" s="40">
        <v>28</v>
      </c>
      <c r="I23" s="40">
        <v>28</v>
      </c>
      <c r="J23" s="40">
        <v>0</v>
      </c>
      <c r="K23" s="40">
        <v>0</v>
      </c>
      <c r="L23" s="40">
        <v>1</v>
      </c>
      <c r="M23" s="40">
        <v>2</v>
      </c>
      <c r="N23" s="40">
        <v>2</v>
      </c>
      <c r="O23" s="40">
        <v>1</v>
      </c>
      <c r="P23" s="40">
        <v>1</v>
      </c>
      <c r="Q23" s="40">
        <v>1</v>
      </c>
      <c r="R23" s="40">
        <v>1</v>
      </c>
      <c r="S23" s="40">
        <v>1</v>
      </c>
      <c r="T23" s="40">
        <v>1</v>
      </c>
      <c r="U23" s="40">
        <v>2</v>
      </c>
      <c r="V23" s="40">
        <v>2</v>
      </c>
      <c r="W23" s="40">
        <v>2</v>
      </c>
      <c r="X23" s="40">
        <v>2</v>
      </c>
      <c r="AO23" s="39"/>
      <c r="AQ23" s="39"/>
    </row>
    <row r="24" spans="1:43" x14ac:dyDescent="0.35">
      <c r="Y24" s="36">
        <v>2</v>
      </c>
      <c r="Z24" s="36">
        <v>2</v>
      </c>
    </row>
    <row r="25" spans="1:43" x14ac:dyDescent="0.35">
      <c r="Y25" s="36" t="s">
        <v>99</v>
      </c>
      <c r="Z25" s="36" t="s">
        <v>99</v>
      </c>
    </row>
    <row r="26" spans="1:43" x14ac:dyDescent="0.35">
      <c r="Y26" s="36">
        <v>8</v>
      </c>
      <c r="Z26" s="36">
        <v>12</v>
      </c>
    </row>
    <row r="27" spans="1:43" x14ac:dyDescent="0.35">
      <c r="Y27" s="36">
        <v>4</v>
      </c>
      <c r="Z27" s="36">
        <v>12</v>
      </c>
    </row>
    <row r="28" spans="1:43" x14ac:dyDescent="0.35">
      <c r="Y28" s="36">
        <v>2</v>
      </c>
      <c r="Z28" s="36">
        <v>2</v>
      </c>
    </row>
    <row r="29" spans="1:43" x14ac:dyDescent="0.35">
      <c r="Y29" s="36">
        <v>2</v>
      </c>
      <c r="Z29" s="36">
        <v>2</v>
      </c>
    </row>
    <row r="30" spans="1:43" x14ac:dyDescent="0.35">
      <c r="Y30" s="36">
        <v>2</v>
      </c>
      <c r="Z30" s="36">
        <v>2</v>
      </c>
    </row>
    <row r="31" spans="1:43" x14ac:dyDescent="0.35">
      <c r="Y31" s="36">
        <v>2</v>
      </c>
      <c r="Z31" s="36">
        <v>2</v>
      </c>
    </row>
    <row r="32" spans="1:43" x14ac:dyDescent="0.35">
      <c r="Y32" s="36">
        <v>2</v>
      </c>
      <c r="Z32" s="36">
        <v>2</v>
      </c>
    </row>
    <row r="33" spans="25:26" x14ac:dyDescent="0.35">
      <c r="Y33" s="36">
        <v>2</v>
      </c>
      <c r="Z33" s="36">
        <v>2</v>
      </c>
    </row>
    <row r="34" spans="25:26" x14ac:dyDescent="0.35">
      <c r="Y34" s="36">
        <v>2</v>
      </c>
      <c r="Z34" s="36">
        <v>2</v>
      </c>
    </row>
    <row r="35" spans="25:26" x14ac:dyDescent="0.35">
      <c r="Y35" s="36">
        <v>2</v>
      </c>
      <c r="Z35" s="36">
        <v>4</v>
      </c>
    </row>
    <row r="36" spans="25:26" x14ac:dyDescent="0.35">
      <c r="Y36" s="36">
        <v>0</v>
      </c>
      <c r="Z36" s="36">
        <v>0</v>
      </c>
    </row>
    <row r="37" spans="25:26" x14ac:dyDescent="0.35">
      <c r="Y37" s="36">
        <v>2</v>
      </c>
      <c r="Z37" s="36">
        <v>2</v>
      </c>
    </row>
    <row r="38" spans="25:26" x14ac:dyDescent="0.35">
      <c r="Y38" s="36">
        <v>0</v>
      </c>
      <c r="Z38" s="36">
        <v>2</v>
      </c>
    </row>
    <row r="39" spans="25:26" x14ac:dyDescent="0.35">
      <c r="Y39" s="36">
        <v>0</v>
      </c>
      <c r="Z39" s="36">
        <v>0</v>
      </c>
    </row>
    <row r="40" spans="25:26" x14ac:dyDescent="0.35">
      <c r="Y40" s="36">
        <v>2</v>
      </c>
      <c r="Z40" s="36">
        <v>2</v>
      </c>
    </row>
    <row r="41" spans="25:26" x14ac:dyDescent="0.35">
      <c r="Y41" s="36">
        <v>2</v>
      </c>
      <c r="Z41" s="36">
        <v>2</v>
      </c>
    </row>
    <row r="42" spans="25:26" x14ac:dyDescent="0.35">
      <c r="Y42" s="36">
        <v>8</v>
      </c>
      <c r="Z42" s="36">
        <v>16</v>
      </c>
    </row>
    <row r="43" spans="25:26" x14ac:dyDescent="0.35">
      <c r="Y43" s="36">
        <v>2</v>
      </c>
      <c r="Z43" s="36">
        <v>4</v>
      </c>
    </row>
    <row r="44" spans="25:26" x14ac:dyDescent="0.35">
      <c r="Y44" s="36">
        <v>2</v>
      </c>
      <c r="Z44" s="36">
        <v>4</v>
      </c>
    </row>
    <row r="45" spans="25:26" x14ac:dyDescent="0.35">
      <c r="Y45" s="36">
        <v>0</v>
      </c>
      <c r="Z45" s="36">
        <v>4</v>
      </c>
    </row>
  </sheetData>
  <sheetProtection algorithmName="SHA-512" hashValue="c7reIJsc9xcnlQwt7+lmMqI1b1+BzjxhsJUHJDnlzWyz1OkQHO1f4qHFtloZ2TvHC4no30b9Hy0lW5npwOwXqg==" saltValue="HFvJipIAZSblqL4Nfej7mg==" spinCount="100000" sheet="1" objects="1" scenarios="1"/>
  <sortState xmlns:xlrd2="http://schemas.microsoft.com/office/spreadsheetml/2017/richdata2" ref="A2:X23">
    <sortCondition ref="A1"/>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1F4B09-7C75-4D98-86DE-8C17CC52A7EB}">
  <sheetPr codeName="Sheet22">
    <tabColor theme="4" tint="0.39997558519241921"/>
  </sheetPr>
  <dimension ref="A1:BK203"/>
  <sheetViews>
    <sheetView tabSelected="1" zoomScale="110" zoomScaleNormal="110" workbookViewId="0">
      <pane xSplit="1" ySplit="3" topLeftCell="B4" activePane="bottomRight" state="frozen"/>
      <selection pane="topRight" activeCell="B1" sqref="B1"/>
      <selection pane="bottomLeft" activeCell="A4" sqref="A4"/>
      <selection pane="bottomRight" activeCell="C5" sqref="C5"/>
    </sheetView>
  </sheetViews>
  <sheetFormatPr defaultColWidth="15.81640625" defaultRowHeight="14.5" x14ac:dyDescent="0.35"/>
  <cols>
    <col min="1" max="1" width="19.1796875" customWidth="1"/>
    <col min="2" max="2" width="17.81640625" customWidth="1"/>
    <col min="3" max="3" width="23.453125" customWidth="1"/>
    <col min="4" max="13" width="15.81640625" customWidth="1"/>
    <col min="14" max="14" width="26" customWidth="1"/>
    <col min="15" max="15" width="22.81640625" customWidth="1"/>
    <col min="16" max="29" width="15.81640625" customWidth="1"/>
    <col min="30" max="30" width="15.81640625" hidden="1" customWidth="1"/>
    <col min="31" max="33" width="15.81640625" customWidth="1"/>
    <col min="34" max="36" width="25.81640625" customWidth="1"/>
    <col min="37" max="42" width="15.81640625" customWidth="1"/>
    <col min="43" max="43" width="15.81640625" style="56" customWidth="1"/>
    <col min="44" max="45" width="15.81640625" style="57" customWidth="1"/>
    <col min="46" max="46" width="20.54296875" style="57" customWidth="1"/>
    <col min="47" max="51" width="15.81640625" style="57" customWidth="1"/>
    <col min="52" max="52" width="18.81640625" style="57" customWidth="1"/>
    <col min="53" max="53" width="15.81640625" style="57" customWidth="1"/>
    <col min="54" max="54" width="19.54296875" style="57" customWidth="1"/>
    <col min="55" max="55" width="14" customWidth="1"/>
  </cols>
  <sheetData>
    <row r="1" spans="1:63" ht="23" customHeight="1" thickBot="1" x14ac:dyDescent="0.4">
      <c r="A1" s="54" t="s">
        <v>116</v>
      </c>
      <c r="B1" s="55">
        <v>1057</v>
      </c>
      <c r="L1" t="s">
        <v>117</v>
      </c>
      <c r="AO1" s="56"/>
      <c r="AP1" s="56"/>
      <c r="AQ1" s="57"/>
      <c r="BB1" s="58"/>
    </row>
    <row r="2" spans="1:63" ht="15" thickBot="1" x14ac:dyDescent="0.4">
      <c r="A2" s="59"/>
      <c r="B2" s="60"/>
      <c r="C2" s="61"/>
      <c r="D2" s="62" t="s">
        <v>118</v>
      </c>
      <c r="E2" s="63" t="s">
        <v>119</v>
      </c>
      <c r="F2" s="64"/>
      <c r="G2" s="65"/>
      <c r="H2" s="65"/>
      <c r="I2" s="65"/>
      <c r="J2" s="65"/>
      <c r="K2" s="66"/>
      <c r="L2" s="64" t="s">
        <v>120</v>
      </c>
      <c r="M2" s="65"/>
      <c r="N2" s="67" t="s">
        <v>121</v>
      </c>
      <c r="O2" s="65"/>
      <c r="P2" s="65"/>
      <c r="Q2" s="65"/>
      <c r="R2" s="65"/>
      <c r="S2" s="65"/>
      <c r="T2" s="65"/>
      <c r="U2" s="65"/>
      <c r="V2" s="65"/>
      <c r="W2" s="65"/>
      <c r="X2" s="65"/>
      <c r="Y2" s="65"/>
      <c r="Z2" s="65"/>
      <c r="AA2" s="65"/>
      <c r="AB2" s="65"/>
      <c r="AC2" s="68"/>
      <c r="AD2" s="65"/>
      <c r="AE2" s="63" t="s">
        <v>122</v>
      </c>
      <c r="AF2" s="69"/>
      <c r="AG2" s="69"/>
      <c r="AH2" s="69"/>
      <c r="AI2" s="69"/>
      <c r="AJ2" s="70"/>
      <c r="AK2" s="71" t="s">
        <v>123</v>
      </c>
      <c r="AL2" s="72"/>
      <c r="AM2" s="73"/>
      <c r="AN2" s="74"/>
      <c r="AO2" s="75"/>
      <c r="AP2" s="76" t="s">
        <v>124</v>
      </c>
      <c r="AQ2" s="77"/>
      <c r="AR2" s="78"/>
      <c r="AS2" s="78"/>
      <c r="AT2" s="78"/>
      <c r="AU2" s="78"/>
      <c r="AV2" s="78"/>
      <c r="AW2" s="78"/>
      <c r="AX2" s="79"/>
      <c r="AY2" s="80" t="s">
        <v>125</v>
      </c>
      <c r="AZ2" s="81"/>
      <c r="BA2" s="82"/>
      <c r="BB2" s="83"/>
    </row>
    <row r="3" spans="1:63" s="111" customFormat="1" ht="61" thickBot="1" x14ac:dyDescent="0.65">
      <c r="A3" s="84" t="s">
        <v>16</v>
      </c>
      <c r="B3" s="85" t="s">
        <v>17</v>
      </c>
      <c r="C3" s="86" t="s">
        <v>18</v>
      </c>
      <c r="D3" s="87" t="s">
        <v>19</v>
      </c>
      <c r="E3" s="88" t="s">
        <v>20</v>
      </c>
      <c r="F3" s="89" t="s">
        <v>21</v>
      </c>
      <c r="G3" s="89" t="s">
        <v>126</v>
      </c>
      <c r="H3" s="89" t="s">
        <v>127</v>
      </c>
      <c r="I3" s="89" t="s">
        <v>128</v>
      </c>
      <c r="J3" s="89" t="s">
        <v>129</v>
      </c>
      <c r="K3" s="89" t="s">
        <v>26</v>
      </c>
      <c r="L3" s="90" t="s">
        <v>27</v>
      </c>
      <c r="M3" s="91" t="s">
        <v>28</v>
      </c>
      <c r="N3" s="90" t="s">
        <v>29</v>
      </c>
      <c r="O3" s="92" t="s">
        <v>130</v>
      </c>
      <c r="P3" s="92" t="s">
        <v>131</v>
      </c>
      <c r="Q3" s="92" t="s">
        <v>132</v>
      </c>
      <c r="R3" s="92" t="s">
        <v>133</v>
      </c>
      <c r="S3" s="92" t="s">
        <v>134</v>
      </c>
      <c r="T3" s="92" t="s">
        <v>135</v>
      </c>
      <c r="U3" s="92" t="s">
        <v>136</v>
      </c>
      <c r="V3" s="92" t="s">
        <v>137</v>
      </c>
      <c r="W3" s="92" t="s">
        <v>138</v>
      </c>
      <c r="X3" s="92" t="s">
        <v>139</v>
      </c>
      <c r="Y3" s="92" t="s">
        <v>140</v>
      </c>
      <c r="Z3" s="92" t="s">
        <v>141</v>
      </c>
      <c r="AA3" s="92" t="s">
        <v>142</v>
      </c>
      <c r="AB3" s="92" t="s">
        <v>143</v>
      </c>
      <c r="AC3" s="93" t="s">
        <v>144</v>
      </c>
      <c r="AD3" s="94" t="s">
        <v>145</v>
      </c>
      <c r="AE3" s="95" t="s">
        <v>30</v>
      </c>
      <c r="AF3" s="96" t="s">
        <v>146</v>
      </c>
      <c r="AG3" s="96" t="s">
        <v>147</v>
      </c>
      <c r="AH3" s="97" t="s">
        <v>148</v>
      </c>
      <c r="AI3" s="97" t="s">
        <v>149</v>
      </c>
      <c r="AJ3" s="98" t="s">
        <v>150</v>
      </c>
      <c r="AK3" s="99" t="s">
        <v>151</v>
      </c>
      <c r="AL3" s="92" t="s">
        <v>152</v>
      </c>
      <c r="AM3" s="93" t="s">
        <v>37</v>
      </c>
      <c r="AN3" s="96" t="s">
        <v>38</v>
      </c>
      <c r="AO3" s="98" t="s">
        <v>39</v>
      </c>
      <c r="AP3" s="100" t="s">
        <v>153</v>
      </c>
      <c r="AQ3" s="101" t="s">
        <v>154</v>
      </c>
      <c r="AR3" s="102" t="s">
        <v>155</v>
      </c>
      <c r="AS3" s="102" t="s">
        <v>156</v>
      </c>
      <c r="AT3" s="102" t="s">
        <v>157</v>
      </c>
      <c r="AU3" s="102" t="s">
        <v>158</v>
      </c>
      <c r="AV3" s="102" t="s">
        <v>159</v>
      </c>
      <c r="AW3" s="103" t="s">
        <v>160</v>
      </c>
      <c r="AX3" s="104" t="s">
        <v>161</v>
      </c>
      <c r="AY3" s="105" t="s">
        <v>162</v>
      </c>
      <c r="AZ3" s="106" t="s">
        <v>163</v>
      </c>
      <c r="BA3" s="107" t="s">
        <v>164</v>
      </c>
      <c r="BB3" s="108" t="s">
        <v>165</v>
      </c>
      <c r="BC3" s="109" t="s">
        <v>166</v>
      </c>
      <c r="BD3" s="109" t="s">
        <v>46</v>
      </c>
      <c r="BE3" s="105" t="s">
        <v>167</v>
      </c>
      <c r="BF3" s="105" t="s">
        <v>162</v>
      </c>
      <c r="BG3" s="106" t="s">
        <v>163</v>
      </c>
      <c r="BH3" s="107" t="s">
        <v>164</v>
      </c>
      <c r="BI3" s="110" t="s">
        <v>168</v>
      </c>
      <c r="BJ3"/>
      <c r="BK3"/>
    </row>
    <row r="4" spans="1:63" ht="89.5" x14ac:dyDescent="0.6">
      <c r="A4" s="112">
        <f>'Project Information Data'!A2</f>
        <v>1057</v>
      </c>
      <c r="B4" s="113">
        <f>'Project Information Data'!B2</f>
        <v>0</v>
      </c>
      <c r="C4" s="114" t="str">
        <f>'Project Information Data'!C2</f>
        <v>Urban Restricted Access</v>
      </c>
      <c r="D4" s="115">
        <f>'Project Information Data'!D2</f>
        <v>88272537.475751847</v>
      </c>
      <c r="E4" s="116">
        <f>'Project Information Data'!E2</f>
        <v>40</v>
      </c>
      <c r="F4" s="117">
        <f>'Project Information Data'!F2</f>
        <v>2030</v>
      </c>
      <c r="G4" s="118">
        <f>'Project Information Data'!G2</f>
        <v>2.7</v>
      </c>
      <c r="H4" s="118">
        <f>'Project Information Data'!H2</f>
        <v>2.7</v>
      </c>
      <c r="I4" s="119">
        <f>'Project Information Data'!I2</f>
        <v>104119</v>
      </c>
      <c r="J4" s="120">
        <f>'Project Information Data'!J2</f>
        <v>21733</v>
      </c>
      <c r="K4" s="121">
        <f>'Project Information Data'!K2</f>
        <v>2.75E-2</v>
      </c>
      <c r="L4" s="122">
        <f>'Project Information Data'!L2</f>
        <v>0</v>
      </c>
      <c r="M4" s="123">
        <f>'Project Information Data'!M2</f>
        <v>0</v>
      </c>
      <c r="N4" s="124" t="str">
        <f>'Project Information Data'!N2</f>
        <v>201, 304, 401, 536, 505, 506, 507, 517, 402, 113, 101, 119, 534</v>
      </c>
      <c r="O4" s="125">
        <f>SUM(SUMIFS('Raw Crash Data'!B:B,'Raw Crash Data'!$A:$A,$A4,'Raw Crash Data'!$G:$G,"NON INTERSECTION",'Raw Crash Data'!$H:$H,"&lt;&gt;PEDESTRIAN",'Raw Crash Data'!$H:$H,"&lt;&gt;PEDALCYCLIST"), SUMIFS('Raw Crash Data'!B:B,'Raw Crash Data'!$A:$A,$A4, 'Raw Crash Data'!$G:$G,"DRIVEWAY ACCESS",'Raw Crash Data'!$H:$H,"&lt;&gt;PEDESTRIAN",'Raw Crash Data'!$H:$H,"&lt;&gt;PEDALCYCLIST"))</f>
        <v>1104</v>
      </c>
      <c r="P4" s="125">
        <f>SUM(SUMIFS('Raw Crash Data'!C:C,'Raw Crash Data'!$A:$A,$A4,'Raw Crash Data'!$G:$G,"NON INTERSECTION",'Raw Crash Data'!$H:$H,"&lt;&gt;PEDESTRIAN",'Raw Crash Data'!$H:$H,"&lt;&gt;PEDALCYCLIST"), SUMIFS('Raw Crash Data'!C:C,'Raw Crash Data'!$A:$A,$A4, 'Raw Crash Data'!$G:$G,"DRIVEWAY ACCESS",'Raw Crash Data'!$H:$H,"&lt;&gt;PEDESTRIAN",'Raw Crash Data'!$H:$H,"&lt;&gt;PEDALCYCLIST"))</f>
        <v>88</v>
      </c>
      <c r="Q4" s="125">
        <f>SUM(SUMIFS('Raw Crash Data'!D:D,'Raw Crash Data'!$A:$A,$A4,'Raw Crash Data'!$G:$G,"NON INTERSECTION",'Raw Crash Data'!$H:$H,"&lt;&gt;PEDESTRIAN",'Raw Crash Data'!$H:$H,"&lt;&gt;PEDALCYCLIST"), SUMIFS('Raw Crash Data'!D:D,'Raw Crash Data'!$A:$A,$A4, 'Raw Crash Data'!$G:$G,"DRIVEWAY ACCESS",'Raw Crash Data'!$H:$H,"&lt;&gt;PEDESTRIAN",'Raw Crash Data'!$H:$H,"&lt;&gt;PEDALCYCLIST"))</f>
        <v>45</v>
      </c>
      <c r="R4" s="125">
        <f>SUM(SUMIFS('Raw Crash Data'!E:E,'Raw Crash Data'!$A:$A,$A4,'Raw Crash Data'!$G:$G,"NON INTERSECTION",'Raw Crash Data'!$H:$H,"&lt;&gt;PEDESTRIAN",'Raw Crash Data'!$H:$H,"&lt;&gt;PEDALCYCLIST"), SUMIFS('Raw Crash Data'!E:E,'Raw Crash Data'!$A:$A,$A4, 'Raw Crash Data'!$G:$G,"DRIVEWAY ACCESS",'Raw Crash Data'!$H:$H,"&lt;&gt;PEDESTRIAN",'Raw Crash Data'!$H:$H,"&lt;&gt;PEDALCYCLIST"))</f>
        <v>7</v>
      </c>
      <c r="S4" s="125">
        <f>SUM(SUMIFS('Raw Crash Data'!F:F,'Raw Crash Data'!$A:$A,$A4,'Raw Crash Data'!$G:$G,"NON INTERSECTION",'Raw Crash Data'!$H:$H,"&lt;&gt;PEDESTRIAN",'Raw Crash Data'!$H:$H,"&lt;&gt;PEDALCYCLIST"), SUMIFS('Raw Crash Data'!F:F,'Raw Crash Data'!$A:$A,$A4, 'Raw Crash Data'!$G:$G,"DRIVEWAY ACCESS",'Raw Crash Data'!$H:$H,"&lt;&gt;PEDESTRIAN",'Raw Crash Data'!$H:$H,"&lt;&gt;PEDALCYCLIST"))</f>
        <v>3</v>
      </c>
      <c r="T4" s="125">
        <f>SUM(SUMIFS('Raw Crash Data'!B:B,'Raw Crash Data'!$A:$A,$A4,'Raw Crash Data'!$G:$G,"INTERSECTION",'Raw Crash Data'!$H:$H,"&lt;&gt;PEDESTRIAN",'Raw Crash Data'!$H:$H,"&lt;&gt;PEDALCYCLIST"), SUMIFS('Raw Crash Data'!B:B,'Raw Crash Data'!$A:$A,$A4, 'Raw Crash Data'!$G:$G,"INTERSECTION RELATED",'Raw Crash Data'!$H:$H,"&lt;&gt;PEDESTRIAN",'Raw Crash Data'!$H:$H,"&lt;&gt;PEDALCYCLIST"))</f>
        <v>515</v>
      </c>
      <c r="U4" s="125">
        <f>SUM(SUMIFS('Raw Crash Data'!C:C,'Raw Crash Data'!$A:$A,$A4,'Raw Crash Data'!$G:$G,"INTERSECTION",'Raw Crash Data'!$H:$H,"&lt;&gt;PEDESTRIAN",'Raw Crash Data'!$H:$H,"&lt;&gt;PEDALCYCLIST"), SUMIFS('Raw Crash Data'!C:C,'Raw Crash Data'!$A:$A,$A4, 'Raw Crash Data'!$G:$G,"INTERSECTION RELATED",'Raw Crash Data'!$H:$H,"&lt;&gt;PEDESTRIAN",'Raw Crash Data'!$H:$H,"&lt;&gt;PEDALCYCLIST"))</f>
        <v>20</v>
      </c>
      <c r="V4" s="125">
        <f>SUM(SUMIFS('Raw Crash Data'!D:D,'Raw Crash Data'!$A:$A,$A4,'Raw Crash Data'!$G:$G,"INTERSECTION",'Raw Crash Data'!$H:$H,"&lt;&gt;PEDESTRIAN",'Raw Crash Data'!$H:$H,"&lt;&gt;PEDALCYCLIST"), SUMIFS('Raw Crash Data'!D:D,'Raw Crash Data'!$A:$A,$A4, 'Raw Crash Data'!$G:$G,"INTERSECTION RELATED",'Raw Crash Data'!$H:$H,"&lt;&gt;PEDESTRIAN",'Raw Crash Data'!$H:$H,"&lt;&gt;PEDALCYCLIST"))</f>
        <v>4</v>
      </c>
      <c r="W4" s="125">
        <f>SUM(SUMIFS('Raw Crash Data'!E:E,'Raw Crash Data'!$A:$A,$A4,'Raw Crash Data'!$G:$G,"INTERSECTION",'Raw Crash Data'!$H:$H,"&lt;&gt;PEDESTRIAN",'Raw Crash Data'!$H:$H,"&lt;&gt;PEDALCYCLIST"), SUMIFS('Raw Crash Data'!E:E,'Raw Crash Data'!$A:$A,$A4, 'Raw Crash Data'!$G:$G,"INTERSECTION RELATED",'Raw Crash Data'!$H:$H,"&lt;&gt;PEDESTRIAN",'Raw Crash Data'!$H:$H,"&lt;&gt;PEDALCYCLIST"))</f>
        <v>3</v>
      </c>
      <c r="X4" s="125">
        <f>SUM(SUMIFS('Raw Crash Data'!F:F,'Raw Crash Data'!$A:$A,$A4,'Raw Crash Data'!$G:$G,"INTERSECTION",'Raw Crash Data'!$H:$H,"&lt;&gt;PEDESTRIAN",'Raw Crash Data'!$H:$H,"&lt;&gt;PEDALCYCLIST"), SUMIFS('Raw Crash Data'!F:F,'Raw Crash Data'!$A:$A,$A4, 'Raw Crash Data'!$G:$G,"INTERSECTION RELATED",'Raw Crash Data'!$H:$H,"&lt;&gt;PEDESTRIAN",'Raw Crash Data'!$H:$H,"&lt;&gt;PEDALCYCLIST"))</f>
        <v>0</v>
      </c>
      <c r="Y4" s="125">
        <f>SUM(SUMIFS('Raw Crash Data'!B:B,'Raw Crash Data'!$A:$A,$A4,'Raw Crash Data'!$H:$H,{"PEDESTRIAN","PEDALCYCLIST"}))</f>
        <v>5</v>
      </c>
      <c r="Z4" s="125">
        <f>SUM(SUMIFS('Raw Crash Data'!C:C,'Raw Crash Data'!$A:$A,$A4,'Raw Crash Data'!$H:$H,{"PEDESTRIAN","PEDALCYCLIST"}))</f>
        <v>1</v>
      </c>
      <c r="AA4" s="125">
        <f>SUM(SUMIFS('Raw Crash Data'!D:D,'Raw Crash Data'!$A:$A,$A4,'Raw Crash Data'!$H:$H,{"PEDESTRIAN","PEDALCYCLIST"}))</f>
        <v>0</v>
      </c>
      <c r="AB4" s="125">
        <f>SUM(SUMIFS('Raw Crash Data'!E:E,'Raw Crash Data'!$A:$A,$A4,'Raw Crash Data'!$H:$H,{"PEDESTRIAN","PEDALCYCLIST"}))</f>
        <v>0</v>
      </c>
      <c r="AC4" s="125">
        <f>SUM(SUMIFS('Raw Crash Data'!F:F,'Raw Crash Data'!$A:$A,$A4,'Raw Crash Data'!$H:$H,{"PEDESTRIAN","PEDALCYCLIST"}))</f>
        <v>1</v>
      </c>
      <c r="AD4" s="126"/>
      <c r="AE4" s="127">
        <f>'Project Information Data'!O2</f>
        <v>70</v>
      </c>
      <c r="AF4" s="128">
        <f>'Project Information Data'!P2</f>
        <v>60.549900000000001</v>
      </c>
      <c r="AG4" s="129">
        <f>'Project Information Data'!Q2</f>
        <v>50724</v>
      </c>
      <c r="AH4" s="130" t="str">
        <f>'Project Information Data'!S2</f>
        <v>Access Management, Managed HOT/HOV Lanes , Adding New Lanes or Roads , Ramp Configuration, Freight Shuttle System , Shoulder Pavement Upgrades</v>
      </c>
      <c r="AI4" s="131">
        <f>'Project Information Data'!T2</f>
        <v>0</v>
      </c>
      <c r="AJ4" s="132">
        <f>'Project Information Data'!U2</f>
        <v>0</v>
      </c>
      <c r="AK4" s="133">
        <f>SUMIFS('Raw Bike_Ped Data'!$U:$U,'Raw Bike_Ped Data'!$A:$A, A4)</f>
        <v>34</v>
      </c>
      <c r="AL4" s="133">
        <f>SUMIFS('Raw Bike_Ped Data'!$V:$V,'Raw Bike_Ped Data'!$A:$A, A4)</f>
        <v>34</v>
      </c>
      <c r="AM4" s="134">
        <f>'Project Information Data'!V2</f>
        <v>0</v>
      </c>
      <c r="AN4" s="135">
        <f>'Project Information Data'!W2</f>
        <v>0</v>
      </c>
      <c r="AO4" s="136" t="str">
        <f>'Project Information Data'!X2</f>
        <v>No</v>
      </c>
      <c r="AP4" s="162">
        <v>0</v>
      </c>
      <c r="AQ4" s="163">
        <v>232811177.24900001</v>
      </c>
      <c r="AR4" s="164">
        <v>53223123.631999999</v>
      </c>
      <c r="AS4" s="164">
        <v>8008182.5549016297</v>
      </c>
      <c r="AT4" s="165">
        <v>0</v>
      </c>
      <c r="AU4" s="164">
        <v>0</v>
      </c>
      <c r="AV4" s="163">
        <v>0</v>
      </c>
      <c r="AW4" s="165">
        <v>0</v>
      </c>
      <c r="AX4" s="196">
        <v>11963295.2928</v>
      </c>
      <c r="AY4" s="227">
        <v>306005778.72860003</v>
      </c>
      <c r="AZ4" s="166">
        <v>84741635.976699993</v>
      </c>
      <c r="BA4" s="167">
        <v>221264142.75189999</v>
      </c>
      <c r="BB4" s="168">
        <v>3.6110440305009961</v>
      </c>
      <c r="BC4">
        <f>'Project Information Data'!AG2</f>
        <v>86</v>
      </c>
      <c r="BD4">
        <f t="shared" ref="BD4" si="0">F4</f>
        <v>2030</v>
      </c>
      <c r="BF4" s="57">
        <f t="shared" ref="BF4" si="1">BE4+AY4</f>
        <v>306005778.72860003</v>
      </c>
      <c r="BG4" s="57">
        <f t="shared" ref="BG4" si="2">AZ4</f>
        <v>84741635.976699993</v>
      </c>
      <c r="BH4" s="57">
        <f t="shared" ref="BH4" si="3">BF4-BG4</f>
        <v>221264142.75190002</v>
      </c>
      <c r="BI4" s="139">
        <f t="shared" ref="BI4" si="4">BF4/BG4</f>
        <v>3.6110440305015752</v>
      </c>
    </row>
    <row r="5" spans="1:63" ht="26" x14ac:dyDescent="0.6">
      <c r="A5" s="140"/>
      <c r="B5" s="141"/>
      <c r="C5" s="142"/>
      <c r="D5" s="115"/>
      <c r="E5" s="143"/>
      <c r="F5" s="144"/>
      <c r="G5" s="145"/>
      <c r="H5" s="146"/>
      <c r="I5" s="147"/>
      <c r="J5" s="148"/>
      <c r="K5" s="149"/>
      <c r="L5" s="150"/>
      <c r="M5" s="151"/>
      <c r="N5" s="152"/>
      <c r="O5" s="153"/>
      <c r="P5" s="153"/>
      <c r="Q5" s="153"/>
      <c r="R5" s="153"/>
      <c r="S5" s="153"/>
      <c r="T5" s="154"/>
      <c r="U5" s="153"/>
      <c r="V5" s="125"/>
      <c r="W5" s="154"/>
      <c r="X5" s="154"/>
      <c r="Y5" s="125"/>
      <c r="Z5" s="125"/>
      <c r="AA5" s="125"/>
      <c r="AB5" s="125"/>
      <c r="AC5" s="125"/>
      <c r="AD5" s="155"/>
      <c r="AE5" s="156"/>
      <c r="AF5" s="157"/>
      <c r="AG5" s="157"/>
      <c r="AH5" s="158"/>
      <c r="AI5" s="158"/>
      <c r="AJ5" s="159"/>
      <c r="AK5" s="133"/>
      <c r="AL5" s="133"/>
      <c r="AM5" s="134"/>
      <c r="AN5" s="160"/>
      <c r="AO5" s="161"/>
      <c r="AP5" s="162"/>
      <c r="AQ5" s="163"/>
      <c r="AR5" s="164"/>
      <c r="AS5" s="164"/>
      <c r="AT5" s="165"/>
      <c r="AU5" s="164"/>
      <c r="AV5" s="163"/>
      <c r="AW5" s="165"/>
      <c r="AX5" s="137"/>
      <c r="AY5" s="138"/>
      <c r="AZ5" s="166"/>
      <c r="BA5" s="167"/>
      <c r="BB5" s="168"/>
      <c r="BF5" s="57"/>
      <c r="BG5" s="57"/>
      <c r="BH5" s="57"/>
      <c r="BI5" s="139"/>
    </row>
    <row r="6" spans="1:63" ht="26" x14ac:dyDescent="0.6">
      <c r="A6" s="140"/>
      <c r="B6" s="117"/>
      <c r="C6" s="169"/>
      <c r="D6" s="115"/>
      <c r="E6" s="143"/>
      <c r="F6" s="144"/>
      <c r="G6" s="145"/>
      <c r="H6" s="146"/>
      <c r="I6" s="147"/>
      <c r="J6" s="148"/>
      <c r="K6" s="149"/>
      <c r="L6" s="170"/>
      <c r="M6" s="151"/>
      <c r="N6" s="152"/>
      <c r="O6" s="125"/>
      <c r="P6" s="153"/>
      <c r="Q6" s="125"/>
      <c r="R6" s="125"/>
      <c r="S6" s="153"/>
      <c r="T6" s="154"/>
      <c r="U6" s="153"/>
      <c r="V6" s="125"/>
      <c r="W6" s="154"/>
      <c r="X6" s="154"/>
      <c r="Y6" s="125"/>
      <c r="Z6" s="125"/>
      <c r="AA6" s="125"/>
      <c r="AB6" s="125"/>
      <c r="AC6" s="125"/>
      <c r="AD6" s="171"/>
      <c r="AE6" s="172"/>
      <c r="AF6" s="173"/>
      <c r="AG6" s="173"/>
      <c r="AH6" s="174"/>
      <c r="AI6" s="158"/>
      <c r="AJ6" s="159"/>
      <c r="AK6" s="133"/>
      <c r="AL6" s="133"/>
      <c r="AM6" s="134"/>
      <c r="AN6" s="160"/>
      <c r="AO6" s="161"/>
      <c r="AP6" s="162"/>
      <c r="AQ6" s="163"/>
      <c r="AR6" s="164"/>
      <c r="AS6" s="164"/>
      <c r="AT6" s="165"/>
      <c r="AU6" s="164"/>
      <c r="AV6" s="163"/>
      <c r="AW6" s="165"/>
      <c r="AX6" s="137"/>
      <c r="AY6" s="138"/>
      <c r="AZ6" s="166"/>
      <c r="BA6" s="167"/>
      <c r="BB6" s="168"/>
      <c r="BF6" s="57"/>
      <c r="BG6" s="57"/>
      <c r="BH6" s="57"/>
      <c r="BI6" s="139"/>
    </row>
    <row r="7" spans="1:63" ht="26" x14ac:dyDescent="0.6">
      <c r="A7" s="175"/>
      <c r="B7" s="117"/>
      <c r="C7" s="114"/>
      <c r="D7" s="115"/>
      <c r="E7" s="143"/>
      <c r="F7" s="144"/>
      <c r="G7" s="118"/>
      <c r="H7" s="146"/>
      <c r="I7" s="147"/>
      <c r="J7" s="148"/>
      <c r="K7" s="149"/>
      <c r="L7" s="176"/>
      <c r="M7" s="177"/>
      <c r="N7" s="152"/>
      <c r="O7" s="154"/>
      <c r="P7" s="154"/>
      <c r="Q7" s="154"/>
      <c r="R7" s="154"/>
      <c r="S7" s="154"/>
      <c r="T7" s="154"/>
      <c r="U7" s="154"/>
      <c r="V7" s="154"/>
      <c r="W7" s="154"/>
      <c r="X7" s="154"/>
      <c r="Y7" s="125"/>
      <c r="Z7" s="125"/>
      <c r="AA7" s="125"/>
      <c r="AB7" s="125"/>
      <c r="AC7" s="125"/>
      <c r="AD7" s="171"/>
      <c r="AE7" s="172"/>
      <c r="AF7" s="173"/>
      <c r="AG7" s="173"/>
      <c r="AH7" s="178"/>
      <c r="AI7" s="131"/>
      <c r="AJ7" s="179"/>
      <c r="AK7" s="133"/>
      <c r="AL7" s="133"/>
      <c r="AM7" s="134"/>
      <c r="AN7" s="160"/>
      <c r="AO7" s="161"/>
      <c r="AP7" s="162"/>
      <c r="AQ7" s="163"/>
      <c r="AR7" s="164"/>
      <c r="AS7" s="164"/>
      <c r="AT7" s="165"/>
      <c r="AU7" s="164"/>
      <c r="AV7" s="163"/>
      <c r="AW7" s="165"/>
      <c r="AX7" s="137"/>
      <c r="AY7" s="138"/>
      <c r="AZ7" s="166"/>
      <c r="BA7" s="167"/>
      <c r="BB7" s="168"/>
      <c r="BF7" s="57"/>
      <c r="BG7" s="57"/>
      <c r="BH7" s="57"/>
      <c r="BI7" s="139"/>
    </row>
    <row r="8" spans="1:63" ht="26" x14ac:dyDescent="0.6">
      <c r="A8" s="180"/>
      <c r="B8" s="181"/>
      <c r="C8" s="182"/>
      <c r="D8" s="115"/>
      <c r="E8" s="143"/>
      <c r="F8" s="144"/>
      <c r="G8" s="146"/>
      <c r="H8" s="146"/>
      <c r="I8" s="147"/>
      <c r="J8" s="183"/>
      <c r="K8" s="149"/>
      <c r="L8" s="184"/>
      <c r="M8" s="185"/>
      <c r="N8" s="152"/>
      <c r="O8" s="186"/>
      <c r="P8" s="186"/>
      <c r="Q8" s="186"/>
      <c r="R8" s="186"/>
      <c r="S8" s="186"/>
      <c r="T8" s="186"/>
      <c r="U8" s="186"/>
      <c r="V8" s="186"/>
      <c r="W8" s="186"/>
      <c r="X8" s="186"/>
      <c r="Y8" s="186"/>
      <c r="Z8" s="186"/>
      <c r="AA8" s="186"/>
      <c r="AB8" s="186"/>
      <c r="AC8" s="186"/>
      <c r="AD8" s="187"/>
      <c r="AE8" s="184"/>
      <c r="AF8" s="188"/>
      <c r="AG8" s="189"/>
      <c r="AH8" s="190"/>
      <c r="AI8" s="191"/>
      <c r="AJ8" s="192"/>
      <c r="AK8" s="133"/>
      <c r="AL8" s="133"/>
      <c r="AM8" s="193"/>
      <c r="AN8" s="194"/>
      <c r="AO8" s="195"/>
      <c r="AP8" s="162"/>
      <c r="AQ8" s="163"/>
      <c r="AR8" s="164"/>
      <c r="AS8" s="164"/>
      <c r="AT8" s="165"/>
      <c r="AU8" s="164"/>
      <c r="AV8" s="163"/>
      <c r="AW8" s="165"/>
      <c r="AX8" s="196"/>
      <c r="AY8" s="197"/>
      <c r="AZ8" s="166"/>
      <c r="BA8" s="167"/>
      <c r="BB8" s="168"/>
      <c r="BF8" s="57"/>
      <c r="BG8" s="57"/>
      <c r="BH8" s="57"/>
      <c r="BI8" s="139"/>
    </row>
    <row r="9" spans="1:63" s="221" customFormat="1" ht="26" x14ac:dyDescent="0.6">
      <c r="A9" s="180"/>
      <c r="B9" s="198"/>
      <c r="C9" s="199"/>
      <c r="D9" s="200"/>
      <c r="E9" s="201"/>
      <c r="F9" s="202"/>
      <c r="G9" s="203"/>
      <c r="H9" s="204"/>
      <c r="I9" s="205"/>
      <c r="J9" s="205"/>
      <c r="K9" s="206"/>
      <c r="L9" s="207"/>
      <c r="M9" s="208"/>
      <c r="N9" s="209"/>
      <c r="O9" s="210"/>
      <c r="P9" s="210"/>
      <c r="Q9" s="210"/>
      <c r="R9" s="210"/>
      <c r="S9" s="210"/>
      <c r="T9" s="210"/>
      <c r="U9" s="210"/>
      <c r="V9" s="210"/>
      <c r="W9" s="210"/>
      <c r="X9" s="210"/>
      <c r="Y9" s="210"/>
      <c r="Z9" s="210"/>
      <c r="AA9" s="210"/>
      <c r="AB9" s="210"/>
      <c r="AC9" s="210"/>
      <c r="AD9" s="202"/>
      <c r="AE9" s="207"/>
      <c r="AF9" s="211"/>
      <c r="AG9" s="189"/>
      <c r="AH9" s="212"/>
      <c r="AI9" s="213"/>
      <c r="AJ9" s="214"/>
      <c r="AK9" s="133"/>
      <c r="AL9" s="133"/>
      <c r="AM9" s="215"/>
      <c r="AN9" s="216"/>
      <c r="AO9" s="217"/>
      <c r="AP9" s="162"/>
      <c r="AQ9" s="163"/>
      <c r="AR9" s="164"/>
      <c r="AS9" s="164"/>
      <c r="AT9" s="165"/>
      <c r="AU9" s="164"/>
      <c r="AV9" s="163"/>
      <c r="AW9" s="165"/>
      <c r="AX9" s="196"/>
      <c r="AY9" s="218"/>
      <c r="AZ9" s="219"/>
      <c r="BA9" s="163"/>
      <c r="BB9" s="220"/>
      <c r="BC9"/>
      <c r="BD9"/>
      <c r="BF9" s="57"/>
      <c r="BG9" s="57"/>
      <c r="BH9" s="57"/>
      <c r="BI9" s="139"/>
      <c r="BJ9"/>
      <c r="BK9"/>
    </row>
    <row r="10" spans="1:63" ht="26" x14ac:dyDescent="0.6">
      <c r="A10" s="180"/>
      <c r="B10" s="198"/>
      <c r="C10" s="199"/>
      <c r="D10" s="200"/>
      <c r="E10" s="222"/>
      <c r="F10" s="202"/>
      <c r="G10" s="203"/>
      <c r="H10" s="204"/>
      <c r="I10" s="205"/>
      <c r="J10" s="223"/>
      <c r="K10" s="206"/>
      <c r="L10" s="184"/>
      <c r="M10" s="224"/>
      <c r="N10" s="209"/>
      <c r="O10" s="186"/>
      <c r="P10" s="186"/>
      <c r="Q10" s="186"/>
      <c r="R10" s="186"/>
      <c r="S10" s="186"/>
      <c r="T10" s="186"/>
      <c r="U10" s="186"/>
      <c r="V10" s="186"/>
      <c r="W10" s="186"/>
      <c r="X10" s="186"/>
      <c r="Y10" s="186"/>
      <c r="Z10" s="186"/>
      <c r="AA10" s="186"/>
      <c r="AB10" s="186"/>
      <c r="AC10" s="186"/>
      <c r="AD10" s="187"/>
      <c r="AE10" s="184"/>
      <c r="AF10" s="188"/>
      <c r="AG10" s="225"/>
      <c r="AH10" s="212"/>
      <c r="AI10" s="226"/>
      <c r="AJ10" s="192"/>
      <c r="AK10" s="133"/>
      <c r="AL10" s="133"/>
      <c r="AM10" s="193"/>
      <c r="AN10" s="216"/>
      <c r="AO10" s="217"/>
      <c r="AP10" s="162"/>
      <c r="AQ10" s="163"/>
      <c r="AR10" s="164"/>
      <c r="AS10" s="164"/>
      <c r="AT10" s="165"/>
      <c r="AU10" s="164"/>
      <c r="AV10" s="163"/>
      <c r="AW10" s="165"/>
      <c r="AX10" s="196"/>
      <c r="AY10" s="227"/>
      <c r="AZ10" s="166"/>
      <c r="BA10" s="167"/>
      <c r="BB10" s="168"/>
      <c r="BF10" s="57"/>
      <c r="BG10" s="57"/>
      <c r="BH10" s="57"/>
      <c r="BI10" s="139"/>
    </row>
    <row r="11" spans="1:63" ht="26" x14ac:dyDescent="0.6">
      <c r="A11" s="180"/>
      <c r="B11" s="198"/>
      <c r="C11" s="199"/>
      <c r="D11" s="200"/>
      <c r="E11" s="207"/>
      <c r="F11" s="202"/>
      <c r="G11" s="203"/>
      <c r="H11" s="204"/>
      <c r="I11" s="205"/>
      <c r="J11" s="205"/>
      <c r="K11" s="206"/>
      <c r="L11" s="184"/>
      <c r="M11" s="224"/>
      <c r="N11" s="209"/>
      <c r="O11" s="186"/>
      <c r="P11" s="186"/>
      <c r="Q11" s="186"/>
      <c r="R11" s="186"/>
      <c r="S11" s="186"/>
      <c r="T11" s="186"/>
      <c r="U11" s="186"/>
      <c r="V11" s="186"/>
      <c r="W11" s="186"/>
      <c r="X11" s="186"/>
      <c r="Y11" s="186"/>
      <c r="Z11" s="186"/>
      <c r="AA11" s="186"/>
      <c r="AB11" s="186"/>
      <c r="AC11" s="186"/>
      <c r="AD11" s="187"/>
      <c r="AE11" s="184"/>
      <c r="AF11" s="188"/>
      <c r="AG11" s="225"/>
      <c r="AH11" s="212"/>
      <c r="AI11" s="226"/>
      <c r="AJ11" s="192"/>
      <c r="AK11" s="133"/>
      <c r="AL11" s="133"/>
      <c r="AM11" s="193"/>
      <c r="AN11" s="216"/>
      <c r="AO11" s="217"/>
      <c r="AP11" s="162"/>
      <c r="AQ11" s="163"/>
      <c r="AR11" s="164"/>
      <c r="AS11" s="164"/>
      <c r="AT11" s="165"/>
      <c r="AU11" s="164"/>
      <c r="AV11" s="163"/>
      <c r="AW11" s="165"/>
      <c r="AX11" s="196"/>
      <c r="AY11" s="227"/>
      <c r="AZ11" s="228"/>
      <c r="BA11" s="167"/>
      <c r="BB11" s="168"/>
      <c r="BF11" s="57"/>
      <c r="BG11" s="57"/>
      <c r="BH11" s="57"/>
      <c r="BI11" s="139"/>
    </row>
    <row r="12" spans="1:63" ht="26" x14ac:dyDescent="0.6">
      <c r="A12" s="180"/>
      <c r="B12" s="198"/>
      <c r="C12" s="199"/>
      <c r="D12" s="229"/>
      <c r="E12" s="207"/>
      <c r="F12" s="202"/>
      <c r="G12" s="203"/>
      <c r="H12" s="204"/>
      <c r="I12" s="205"/>
      <c r="J12" s="205"/>
      <c r="K12" s="206"/>
      <c r="L12" s="184"/>
      <c r="M12" s="224"/>
      <c r="N12" s="209"/>
      <c r="O12" s="186"/>
      <c r="P12" s="186"/>
      <c r="Q12" s="186"/>
      <c r="R12" s="186"/>
      <c r="S12" s="186"/>
      <c r="T12" s="186"/>
      <c r="U12" s="186"/>
      <c r="V12" s="186"/>
      <c r="W12" s="186"/>
      <c r="X12" s="186"/>
      <c r="Y12" s="186"/>
      <c r="Z12" s="186"/>
      <c r="AA12" s="186"/>
      <c r="AB12" s="186"/>
      <c r="AC12" s="186"/>
      <c r="AD12" s="187"/>
      <c r="AE12" s="184"/>
      <c r="AF12" s="188"/>
      <c r="AG12" s="225"/>
      <c r="AH12" s="190"/>
      <c r="AI12" s="230"/>
      <c r="AJ12" s="231"/>
      <c r="AK12" s="133"/>
      <c r="AL12" s="133"/>
      <c r="AM12" s="193"/>
      <c r="AN12" s="216"/>
      <c r="AO12" s="217"/>
      <c r="AP12" s="162"/>
      <c r="AQ12" s="163"/>
      <c r="AR12" s="164"/>
      <c r="AS12" s="164"/>
      <c r="AT12" s="165"/>
      <c r="AU12" s="164"/>
      <c r="AV12" s="163"/>
      <c r="AW12" s="165"/>
      <c r="AX12" s="196"/>
      <c r="AY12" s="227"/>
      <c r="AZ12" s="232"/>
      <c r="BA12" s="167"/>
      <c r="BB12" s="168"/>
      <c r="BF12" s="57"/>
      <c r="BG12" s="57"/>
      <c r="BH12" s="57"/>
      <c r="BI12" s="139"/>
    </row>
    <row r="13" spans="1:63" ht="26" x14ac:dyDescent="0.6">
      <c r="A13" s="233"/>
      <c r="B13" s="234"/>
      <c r="C13" s="235"/>
      <c r="D13" s="236"/>
      <c r="E13" s="207"/>
      <c r="F13" s="202"/>
      <c r="G13" s="204"/>
      <c r="H13" s="204"/>
      <c r="I13" s="205"/>
      <c r="J13" s="205"/>
      <c r="K13" s="206"/>
      <c r="L13" s="184"/>
      <c r="M13" s="224"/>
      <c r="N13" s="207"/>
      <c r="O13" s="186"/>
      <c r="P13" s="186"/>
      <c r="Q13" s="186"/>
      <c r="R13" s="186"/>
      <c r="S13" s="186"/>
      <c r="T13" s="186"/>
      <c r="U13" s="186"/>
      <c r="V13" s="186"/>
      <c r="W13" s="186"/>
      <c r="X13" s="186"/>
      <c r="Y13" s="186"/>
      <c r="Z13" s="186"/>
      <c r="AA13" s="186"/>
      <c r="AB13" s="186"/>
      <c r="AC13" s="188"/>
      <c r="AD13" s="224"/>
      <c r="AE13" s="184"/>
      <c r="AF13" s="188"/>
      <c r="AG13" s="225"/>
      <c r="AH13" s="237"/>
      <c r="AI13" s="238"/>
      <c r="AJ13" s="239"/>
      <c r="AK13" s="202"/>
      <c r="AL13" s="210"/>
      <c r="AM13" s="193"/>
      <c r="AN13" s="216"/>
      <c r="AO13" s="240"/>
      <c r="AP13" s="162"/>
      <c r="AQ13" s="163"/>
      <c r="AR13" s="164"/>
      <c r="AS13" s="164"/>
      <c r="AT13" s="165"/>
      <c r="AU13" s="164"/>
      <c r="AV13" s="163"/>
      <c r="AW13" s="165"/>
      <c r="AX13" s="196"/>
      <c r="AY13" s="227"/>
      <c r="AZ13" s="166"/>
      <c r="BA13" s="167"/>
      <c r="BB13" s="168"/>
      <c r="BF13" s="57"/>
      <c r="BG13" s="57"/>
      <c r="BH13" s="57"/>
      <c r="BI13" s="139"/>
    </row>
    <row r="14" spans="1:63" ht="26" x14ac:dyDescent="0.6">
      <c r="A14" s="233"/>
      <c r="B14" s="241"/>
      <c r="C14" s="235"/>
      <c r="D14" s="242"/>
      <c r="E14" s="184"/>
      <c r="F14" s="187"/>
      <c r="G14" s="204"/>
      <c r="H14" s="204"/>
      <c r="I14" s="186"/>
      <c r="J14" s="186"/>
      <c r="K14" s="206"/>
      <c r="L14" s="184"/>
      <c r="M14" s="224"/>
      <c r="N14" s="207"/>
      <c r="O14" s="186"/>
      <c r="P14" s="186"/>
      <c r="Q14" s="186"/>
      <c r="R14" s="186"/>
      <c r="S14" s="186"/>
      <c r="T14" s="186"/>
      <c r="U14" s="186"/>
      <c r="V14" s="186"/>
      <c r="W14" s="186"/>
      <c r="X14" s="186"/>
      <c r="Y14" s="186"/>
      <c r="Z14" s="186"/>
      <c r="AA14" s="186"/>
      <c r="AB14" s="186"/>
      <c r="AC14" s="188"/>
      <c r="AD14" s="224"/>
      <c r="AE14" s="184"/>
      <c r="AF14" s="188"/>
      <c r="AG14" s="225"/>
      <c r="AH14" s="243"/>
      <c r="AI14" s="238"/>
      <c r="AJ14" s="239"/>
      <c r="AK14" s="202"/>
      <c r="AL14" s="210"/>
      <c r="AM14" s="193"/>
      <c r="AN14" s="216"/>
      <c r="AO14" s="240"/>
      <c r="AP14" s="162"/>
      <c r="AQ14" s="163"/>
      <c r="AR14" s="164"/>
      <c r="AS14" s="164"/>
      <c r="AT14" s="165"/>
      <c r="AU14" s="164"/>
      <c r="AV14" s="163"/>
      <c r="AW14" s="165"/>
      <c r="AX14" s="196"/>
      <c r="AY14" s="227"/>
      <c r="AZ14" s="166"/>
      <c r="BA14" s="167"/>
      <c r="BB14" s="168"/>
      <c r="BF14" s="57"/>
      <c r="BG14" s="57"/>
      <c r="BH14" s="57"/>
      <c r="BI14" s="139"/>
    </row>
    <row r="15" spans="1:63" ht="26" x14ac:dyDescent="0.6">
      <c r="A15" s="233"/>
      <c r="B15" s="241"/>
      <c r="C15" s="235"/>
      <c r="D15" s="242"/>
      <c r="E15" s="184"/>
      <c r="F15" s="187"/>
      <c r="G15" s="204"/>
      <c r="H15" s="204"/>
      <c r="I15" s="186"/>
      <c r="J15" s="186"/>
      <c r="K15" s="244"/>
      <c r="L15" s="184"/>
      <c r="M15" s="224"/>
      <c r="N15" s="207"/>
      <c r="O15" s="186"/>
      <c r="P15" s="186"/>
      <c r="Q15" s="186"/>
      <c r="R15" s="186"/>
      <c r="S15" s="186"/>
      <c r="T15" s="186"/>
      <c r="U15" s="186"/>
      <c r="V15" s="186"/>
      <c r="W15" s="186"/>
      <c r="X15" s="186"/>
      <c r="Y15" s="186"/>
      <c r="Z15" s="186"/>
      <c r="AA15" s="186"/>
      <c r="AB15" s="186"/>
      <c r="AC15" s="188"/>
      <c r="AD15" s="224"/>
      <c r="AE15" s="184"/>
      <c r="AF15" s="188"/>
      <c r="AG15" s="225"/>
      <c r="AH15" s="243"/>
      <c r="AI15" s="238"/>
      <c r="AJ15" s="243"/>
      <c r="AK15" s="207"/>
      <c r="AL15" s="210"/>
      <c r="AM15" s="193"/>
      <c r="AN15" s="216"/>
      <c r="AO15" s="240"/>
      <c r="AP15" s="162"/>
      <c r="AQ15" s="163"/>
      <c r="AR15" s="164"/>
      <c r="AS15" s="164"/>
      <c r="AT15" s="165"/>
      <c r="AU15" s="164"/>
      <c r="AV15" s="163"/>
      <c r="AW15" s="165"/>
      <c r="AX15" s="196"/>
      <c r="AY15" s="227"/>
      <c r="AZ15" s="166"/>
      <c r="BA15" s="167"/>
      <c r="BB15" s="168"/>
      <c r="BF15" s="57"/>
      <c r="BG15" s="57"/>
      <c r="BH15" s="57"/>
      <c r="BI15" s="139"/>
    </row>
    <row r="16" spans="1:63" ht="26" x14ac:dyDescent="0.6">
      <c r="A16" s="233"/>
      <c r="B16" s="241"/>
      <c r="C16" s="235"/>
      <c r="D16" s="242"/>
      <c r="E16" s="184"/>
      <c r="F16" s="187"/>
      <c r="G16" s="204"/>
      <c r="H16" s="204"/>
      <c r="I16" s="186"/>
      <c r="J16" s="186"/>
      <c r="K16" s="244"/>
      <c r="L16" s="184"/>
      <c r="M16" s="224"/>
      <c r="N16" s="207"/>
      <c r="O16" s="186"/>
      <c r="P16" s="186"/>
      <c r="Q16" s="186"/>
      <c r="R16" s="186"/>
      <c r="S16" s="186"/>
      <c r="T16" s="186"/>
      <c r="U16" s="186"/>
      <c r="V16" s="186"/>
      <c r="W16" s="186"/>
      <c r="X16" s="186"/>
      <c r="Y16" s="186"/>
      <c r="Z16" s="186"/>
      <c r="AA16" s="186"/>
      <c r="AB16" s="186"/>
      <c r="AC16" s="188"/>
      <c r="AD16" s="224"/>
      <c r="AE16" s="184"/>
      <c r="AF16" s="188"/>
      <c r="AG16" s="225"/>
      <c r="AH16" s="243"/>
      <c r="AI16" s="238"/>
      <c r="AJ16" s="243"/>
      <c r="AK16" s="207"/>
      <c r="AL16" s="210"/>
      <c r="AM16" s="193"/>
      <c r="AN16" s="216"/>
      <c r="AO16" s="240"/>
      <c r="AP16" s="162"/>
      <c r="AQ16" s="163"/>
      <c r="AR16" s="164"/>
      <c r="AS16" s="164"/>
      <c r="AT16" s="165"/>
      <c r="AU16" s="164"/>
      <c r="AV16" s="163"/>
      <c r="AW16" s="165"/>
      <c r="AX16" s="196"/>
      <c r="AY16" s="227"/>
      <c r="AZ16" s="166"/>
      <c r="BA16" s="167"/>
      <c r="BB16" s="168"/>
      <c r="BF16" s="57"/>
      <c r="BG16" s="57"/>
      <c r="BH16" s="57"/>
      <c r="BI16" s="139"/>
    </row>
    <row r="17" spans="1:61" ht="26" x14ac:dyDescent="0.6">
      <c r="A17" s="233"/>
      <c r="B17" s="241"/>
      <c r="C17" s="235"/>
      <c r="D17" s="242"/>
      <c r="E17" s="184"/>
      <c r="F17" s="187"/>
      <c r="G17" s="204"/>
      <c r="H17" s="204"/>
      <c r="I17" s="186"/>
      <c r="J17" s="186"/>
      <c r="K17" s="244"/>
      <c r="L17" s="184"/>
      <c r="M17" s="224"/>
      <c r="N17" s="207"/>
      <c r="O17" s="186"/>
      <c r="P17" s="186"/>
      <c r="Q17" s="186"/>
      <c r="R17" s="186"/>
      <c r="S17" s="186"/>
      <c r="T17" s="186"/>
      <c r="U17" s="186"/>
      <c r="V17" s="186"/>
      <c r="W17" s="186"/>
      <c r="X17" s="186"/>
      <c r="Y17" s="186"/>
      <c r="Z17" s="186"/>
      <c r="AA17" s="186"/>
      <c r="AB17" s="186"/>
      <c r="AC17" s="188"/>
      <c r="AD17" s="224"/>
      <c r="AE17" s="184"/>
      <c r="AF17" s="188"/>
      <c r="AG17" s="225"/>
      <c r="AH17" s="243"/>
      <c r="AI17" s="238"/>
      <c r="AJ17" s="243"/>
      <c r="AK17" s="207"/>
      <c r="AL17" s="210"/>
      <c r="AM17" s="193"/>
      <c r="AN17" s="216"/>
      <c r="AO17" s="240"/>
      <c r="AP17" s="162"/>
      <c r="AQ17" s="163"/>
      <c r="AR17" s="164"/>
      <c r="AS17" s="164"/>
      <c r="AT17" s="165"/>
      <c r="AU17" s="164"/>
      <c r="AV17" s="163"/>
      <c r="AW17" s="165"/>
      <c r="AX17" s="196"/>
      <c r="AY17" s="227"/>
      <c r="AZ17" s="166"/>
      <c r="BA17" s="167"/>
      <c r="BB17" s="168"/>
      <c r="BF17" s="57"/>
      <c r="BG17" s="57"/>
      <c r="BH17" s="57"/>
      <c r="BI17" s="139"/>
    </row>
    <row r="18" spans="1:61" ht="26" x14ac:dyDescent="0.6">
      <c r="A18" s="233"/>
      <c r="B18" s="241"/>
      <c r="C18" s="235"/>
      <c r="D18" s="242"/>
      <c r="E18" s="184"/>
      <c r="F18" s="187"/>
      <c r="G18" s="204"/>
      <c r="H18" s="204"/>
      <c r="I18" s="186"/>
      <c r="J18" s="186"/>
      <c r="K18" s="244"/>
      <c r="L18" s="184"/>
      <c r="M18" s="224"/>
      <c r="N18" s="207"/>
      <c r="O18" s="186"/>
      <c r="P18" s="186"/>
      <c r="Q18" s="186"/>
      <c r="R18" s="186"/>
      <c r="S18" s="186"/>
      <c r="T18" s="186"/>
      <c r="U18" s="186"/>
      <c r="V18" s="186"/>
      <c r="W18" s="186"/>
      <c r="X18" s="186"/>
      <c r="Y18" s="186"/>
      <c r="Z18" s="186"/>
      <c r="AA18" s="186"/>
      <c r="AB18" s="186"/>
      <c r="AC18" s="188"/>
      <c r="AD18" s="224"/>
      <c r="AE18" s="184"/>
      <c r="AF18" s="188"/>
      <c r="AG18" s="225"/>
      <c r="AH18" s="243"/>
      <c r="AI18" s="238"/>
      <c r="AJ18" s="243"/>
      <c r="AK18" s="207"/>
      <c r="AL18" s="210"/>
      <c r="AM18" s="193"/>
      <c r="AN18" s="216"/>
      <c r="AO18" s="240"/>
      <c r="AP18" s="162"/>
      <c r="AQ18" s="163"/>
      <c r="AR18" s="164"/>
      <c r="AS18" s="164"/>
      <c r="AT18" s="165"/>
      <c r="AU18" s="164"/>
      <c r="AV18" s="163"/>
      <c r="AW18" s="165"/>
      <c r="AX18" s="196"/>
      <c r="AY18" s="227"/>
      <c r="AZ18" s="166"/>
      <c r="BA18" s="167"/>
      <c r="BB18" s="168"/>
      <c r="BF18" s="57"/>
      <c r="BG18" s="57"/>
      <c r="BH18" s="57"/>
      <c r="BI18" s="139"/>
    </row>
    <row r="19" spans="1:61" ht="26" x14ac:dyDescent="0.6">
      <c r="A19" s="233"/>
      <c r="B19" s="241"/>
      <c r="C19" s="235"/>
      <c r="D19" s="242"/>
      <c r="E19" s="184"/>
      <c r="F19" s="187"/>
      <c r="G19" s="204"/>
      <c r="H19" s="204"/>
      <c r="I19" s="186"/>
      <c r="J19" s="186"/>
      <c r="K19" s="244"/>
      <c r="L19" s="184"/>
      <c r="M19" s="224"/>
      <c r="N19" s="207"/>
      <c r="O19" s="186"/>
      <c r="P19" s="186"/>
      <c r="Q19" s="186"/>
      <c r="R19" s="186"/>
      <c r="S19" s="186"/>
      <c r="T19" s="186"/>
      <c r="U19" s="186"/>
      <c r="V19" s="186"/>
      <c r="W19" s="186"/>
      <c r="X19" s="186"/>
      <c r="Y19" s="186"/>
      <c r="Z19" s="186"/>
      <c r="AA19" s="186"/>
      <c r="AB19" s="186"/>
      <c r="AC19" s="188"/>
      <c r="AD19" s="224"/>
      <c r="AE19" s="184"/>
      <c r="AF19" s="188"/>
      <c r="AG19" s="225"/>
      <c r="AH19" s="243"/>
      <c r="AI19" s="238"/>
      <c r="AJ19" s="243"/>
      <c r="AK19" s="207"/>
      <c r="AL19" s="210"/>
      <c r="AM19" s="193"/>
      <c r="AN19" s="216"/>
      <c r="AO19" s="240"/>
      <c r="AP19" s="162"/>
      <c r="AQ19" s="163"/>
      <c r="AR19" s="164"/>
      <c r="AS19" s="164"/>
      <c r="AT19" s="165"/>
      <c r="AU19" s="164"/>
      <c r="AV19" s="163"/>
      <c r="AW19" s="165"/>
      <c r="AX19" s="196"/>
      <c r="AY19" s="227"/>
      <c r="AZ19" s="166"/>
      <c r="BA19" s="167"/>
      <c r="BB19" s="168"/>
      <c r="BF19" s="57"/>
      <c r="BG19" s="57"/>
      <c r="BH19" s="57"/>
      <c r="BI19" s="139"/>
    </row>
    <row r="20" spans="1:61" ht="26" x14ac:dyDescent="0.6">
      <c r="A20" s="233"/>
      <c r="B20" s="241"/>
      <c r="C20" s="235"/>
      <c r="D20" s="242"/>
      <c r="E20" s="184"/>
      <c r="F20" s="187"/>
      <c r="G20" s="204"/>
      <c r="H20" s="204"/>
      <c r="I20" s="186"/>
      <c r="J20" s="186"/>
      <c r="K20" s="244"/>
      <c r="L20" s="184"/>
      <c r="M20" s="224"/>
      <c r="N20" s="207"/>
      <c r="O20" s="186"/>
      <c r="P20" s="186"/>
      <c r="Q20" s="186"/>
      <c r="R20" s="186"/>
      <c r="S20" s="186"/>
      <c r="T20" s="186"/>
      <c r="U20" s="186"/>
      <c r="V20" s="186"/>
      <c r="W20" s="186"/>
      <c r="X20" s="186"/>
      <c r="Y20" s="186"/>
      <c r="Z20" s="186"/>
      <c r="AA20" s="186"/>
      <c r="AB20" s="186"/>
      <c r="AC20" s="188"/>
      <c r="AD20" s="224"/>
      <c r="AE20" s="184"/>
      <c r="AF20" s="188"/>
      <c r="AG20" s="225"/>
      <c r="AH20" s="243"/>
      <c r="AI20" s="238"/>
      <c r="AJ20" s="243"/>
      <c r="AK20" s="207"/>
      <c r="AL20" s="210"/>
      <c r="AM20" s="193"/>
      <c r="AN20" s="216"/>
      <c r="AO20" s="240"/>
      <c r="AP20" s="162"/>
      <c r="AQ20" s="163"/>
      <c r="AR20" s="164"/>
      <c r="AS20" s="164"/>
      <c r="AT20" s="165"/>
      <c r="AU20" s="164"/>
      <c r="AV20" s="163"/>
      <c r="AW20" s="165"/>
      <c r="AX20" s="196"/>
      <c r="AY20" s="227"/>
      <c r="AZ20" s="166"/>
      <c r="BA20" s="167"/>
      <c r="BB20" s="168"/>
      <c r="BF20" s="57"/>
      <c r="BG20" s="57"/>
      <c r="BH20" s="57"/>
      <c r="BI20" s="139"/>
    </row>
    <row r="21" spans="1:61" ht="26" x14ac:dyDescent="0.6">
      <c r="A21" s="233"/>
      <c r="B21" s="241"/>
      <c r="C21" s="235"/>
      <c r="D21" s="242"/>
      <c r="E21" s="184"/>
      <c r="F21" s="187"/>
      <c r="G21" s="204"/>
      <c r="H21" s="204"/>
      <c r="I21" s="186"/>
      <c r="J21" s="186"/>
      <c r="K21" s="244"/>
      <c r="L21" s="184"/>
      <c r="M21" s="224"/>
      <c r="N21" s="207"/>
      <c r="O21" s="186"/>
      <c r="P21" s="186"/>
      <c r="Q21" s="186"/>
      <c r="R21" s="186"/>
      <c r="S21" s="186"/>
      <c r="T21" s="186"/>
      <c r="U21" s="186"/>
      <c r="V21" s="186"/>
      <c r="W21" s="186"/>
      <c r="X21" s="186"/>
      <c r="Y21" s="186"/>
      <c r="Z21" s="186"/>
      <c r="AA21" s="186"/>
      <c r="AB21" s="186"/>
      <c r="AC21" s="188"/>
      <c r="AD21" s="224"/>
      <c r="AE21" s="184"/>
      <c r="AF21" s="188"/>
      <c r="AG21" s="225"/>
      <c r="AH21" s="243"/>
      <c r="AI21" s="238"/>
      <c r="AJ21" s="243"/>
      <c r="AK21" s="207"/>
      <c r="AL21" s="210"/>
      <c r="AM21" s="193"/>
      <c r="AN21" s="216"/>
      <c r="AO21" s="240"/>
      <c r="AP21" s="162"/>
      <c r="AQ21" s="163"/>
      <c r="AR21" s="164"/>
      <c r="AS21" s="164"/>
      <c r="AT21" s="165"/>
      <c r="AU21" s="164"/>
      <c r="AV21" s="163"/>
      <c r="AW21" s="165"/>
      <c r="AX21" s="196"/>
      <c r="AY21" s="227"/>
      <c r="AZ21" s="166"/>
      <c r="BA21" s="167"/>
      <c r="BB21" s="168"/>
      <c r="BF21" s="57"/>
      <c r="BG21" s="57"/>
      <c r="BH21" s="57"/>
      <c r="BI21" s="139"/>
    </row>
    <row r="22" spans="1:61" ht="26" x14ac:dyDescent="0.6">
      <c r="A22" s="233"/>
      <c r="B22" s="241"/>
      <c r="C22" s="235"/>
      <c r="D22" s="242"/>
      <c r="E22" s="184"/>
      <c r="F22" s="187"/>
      <c r="G22" s="204"/>
      <c r="H22" s="204"/>
      <c r="I22" s="186"/>
      <c r="J22" s="186"/>
      <c r="K22" s="244"/>
      <c r="L22" s="184"/>
      <c r="M22" s="224"/>
      <c r="N22" s="207"/>
      <c r="O22" s="186"/>
      <c r="P22" s="186"/>
      <c r="Q22" s="186"/>
      <c r="R22" s="186"/>
      <c r="S22" s="186"/>
      <c r="T22" s="186"/>
      <c r="U22" s="186"/>
      <c r="V22" s="186"/>
      <c r="W22" s="186"/>
      <c r="X22" s="186"/>
      <c r="Y22" s="186"/>
      <c r="Z22" s="186"/>
      <c r="AA22" s="186"/>
      <c r="AB22" s="186"/>
      <c r="AC22" s="188"/>
      <c r="AD22" s="224"/>
      <c r="AE22" s="184"/>
      <c r="AF22" s="188"/>
      <c r="AG22" s="225"/>
      <c r="AH22" s="243"/>
      <c r="AI22" s="238"/>
      <c r="AJ22" s="243"/>
      <c r="AK22" s="207"/>
      <c r="AL22" s="210"/>
      <c r="AM22" s="193"/>
      <c r="AN22" s="216"/>
      <c r="AO22" s="240"/>
      <c r="AP22" s="162"/>
      <c r="AQ22" s="163"/>
      <c r="AR22" s="164"/>
      <c r="AS22" s="164"/>
      <c r="AT22" s="165"/>
      <c r="AU22" s="164"/>
      <c r="AV22" s="163"/>
      <c r="AW22" s="165"/>
      <c r="AX22" s="196"/>
      <c r="AY22" s="227"/>
      <c r="AZ22" s="166"/>
      <c r="BA22" s="167"/>
      <c r="BB22" s="168"/>
      <c r="BF22" s="57"/>
      <c r="BG22" s="57"/>
      <c r="BH22" s="57"/>
      <c r="BI22" s="139"/>
    </row>
    <row r="23" spans="1:61" ht="26" x14ac:dyDescent="0.6">
      <c r="A23" s="233"/>
      <c r="B23" s="241"/>
      <c r="C23" s="235"/>
      <c r="D23" s="242"/>
      <c r="E23" s="184"/>
      <c r="F23" s="187"/>
      <c r="G23" s="204"/>
      <c r="H23" s="204"/>
      <c r="I23" s="186"/>
      <c r="J23" s="186"/>
      <c r="K23" s="244"/>
      <c r="L23" s="184"/>
      <c r="M23" s="224"/>
      <c r="N23" s="207"/>
      <c r="O23" s="186"/>
      <c r="P23" s="186"/>
      <c r="Q23" s="186"/>
      <c r="R23" s="186"/>
      <c r="S23" s="186"/>
      <c r="T23" s="186"/>
      <c r="U23" s="186"/>
      <c r="V23" s="186"/>
      <c r="W23" s="186"/>
      <c r="X23" s="186"/>
      <c r="Y23" s="186"/>
      <c r="Z23" s="186"/>
      <c r="AA23" s="186"/>
      <c r="AB23" s="186"/>
      <c r="AC23" s="188"/>
      <c r="AD23" s="224"/>
      <c r="AE23" s="184"/>
      <c r="AF23" s="188"/>
      <c r="AG23" s="225"/>
      <c r="AH23" s="243"/>
      <c r="AI23" s="238"/>
      <c r="AJ23" s="243"/>
      <c r="AK23" s="207"/>
      <c r="AL23" s="210"/>
      <c r="AM23" s="193"/>
      <c r="AN23" s="216"/>
      <c r="AO23" s="240"/>
      <c r="AP23" s="162"/>
      <c r="AQ23" s="163"/>
      <c r="AR23" s="164"/>
      <c r="AS23" s="164"/>
      <c r="AT23" s="165"/>
      <c r="AU23" s="164"/>
      <c r="AV23" s="163"/>
      <c r="AW23" s="165"/>
      <c r="AX23" s="196"/>
      <c r="AY23" s="227"/>
      <c r="AZ23" s="166"/>
      <c r="BA23" s="167"/>
      <c r="BB23" s="168"/>
      <c r="BF23" s="57"/>
      <c r="BG23" s="57"/>
      <c r="BH23" s="57"/>
      <c r="BI23" s="139"/>
    </row>
    <row r="24" spans="1:61" ht="26" x14ac:dyDescent="0.6">
      <c r="A24" s="233"/>
      <c r="B24" s="241"/>
      <c r="C24" s="235"/>
      <c r="D24" s="242"/>
      <c r="E24" s="184"/>
      <c r="F24" s="187"/>
      <c r="G24" s="204"/>
      <c r="H24" s="204"/>
      <c r="I24" s="186"/>
      <c r="J24" s="186"/>
      <c r="K24" s="244"/>
      <c r="L24" s="184"/>
      <c r="M24" s="224"/>
      <c r="N24" s="207"/>
      <c r="O24" s="186"/>
      <c r="P24" s="186"/>
      <c r="Q24" s="186"/>
      <c r="R24" s="186"/>
      <c r="S24" s="186"/>
      <c r="T24" s="186"/>
      <c r="U24" s="186"/>
      <c r="V24" s="186"/>
      <c r="W24" s="186"/>
      <c r="X24" s="186"/>
      <c r="Y24" s="186"/>
      <c r="Z24" s="186"/>
      <c r="AA24" s="186"/>
      <c r="AB24" s="186"/>
      <c r="AC24" s="188"/>
      <c r="AD24" s="224"/>
      <c r="AE24" s="184"/>
      <c r="AF24" s="188"/>
      <c r="AG24" s="225"/>
      <c r="AH24" s="243"/>
      <c r="AI24" s="238"/>
      <c r="AJ24" s="243"/>
      <c r="AK24" s="207"/>
      <c r="AL24" s="210"/>
      <c r="AM24" s="193"/>
      <c r="AN24" s="216"/>
      <c r="AO24" s="240"/>
      <c r="AP24" s="162"/>
      <c r="AQ24" s="163"/>
      <c r="AR24" s="164"/>
      <c r="AS24" s="164"/>
      <c r="AT24" s="165"/>
      <c r="AU24" s="164"/>
      <c r="AV24" s="163"/>
      <c r="AW24" s="165"/>
      <c r="AX24" s="196"/>
      <c r="AY24" s="227"/>
      <c r="AZ24" s="166"/>
      <c r="BA24" s="167"/>
      <c r="BB24" s="168"/>
      <c r="BF24" s="57"/>
      <c r="BG24" s="57"/>
      <c r="BH24" s="57"/>
      <c r="BI24" s="139"/>
    </row>
    <row r="25" spans="1:61" ht="26" x14ac:dyDescent="0.6">
      <c r="A25" s="233"/>
      <c r="B25" s="241"/>
      <c r="C25" s="235"/>
      <c r="D25" s="242"/>
      <c r="E25" s="184"/>
      <c r="F25" s="187"/>
      <c r="G25" s="204"/>
      <c r="H25" s="204"/>
      <c r="I25" s="186"/>
      <c r="J25" s="186"/>
      <c r="K25" s="244"/>
      <c r="L25" s="184"/>
      <c r="M25" s="224"/>
      <c r="N25" s="207"/>
      <c r="O25" s="186"/>
      <c r="P25" s="186"/>
      <c r="Q25" s="186"/>
      <c r="R25" s="186"/>
      <c r="S25" s="186"/>
      <c r="T25" s="186"/>
      <c r="U25" s="186"/>
      <c r="V25" s="186"/>
      <c r="W25" s="186"/>
      <c r="X25" s="186"/>
      <c r="Y25" s="186"/>
      <c r="Z25" s="186"/>
      <c r="AA25" s="186"/>
      <c r="AB25" s="186"/>
      <c r="AC25" s="188"/>
      <c r="AD25" s="224"/>
      <c r="AE25" s="184"/>
      <c r="AF25" s="188"/>
      <c r="AG25" s="225"/>
      <c r="AH25" s="243"/>
      <c r="AI25" s="238"/>
      <c r="AJ25" s="243"/>
      <c r="AK25" s="207"/>
      <c r="AL25" s="210"/>
      <c r="AM25" s="193"/>
      <c r="AN25" s="216"/>
      <c r="AO25" s="240"/>
      <c r="AP25" s="162"/>
      <c r="AQ25" s="163"/>
      <c r="AR25" s="164"/>
      <c r="AS25" s="164"/>
      <c r="AT25" s="165"/>
      <c r="AU25" s="164"/>
      <c r="AV25" s="163"/>
      <c r="AW25" s="165"/>
      <c r="AX25" s="196"/>
      <c r="AY25" s="227"/>
      <c r="AZ25" s="166"/>
      <c r="BA25" s="167"/>
      <c r="BB25" s="168"/>
      <c r="BF25" s="57"/>
      <c r="BG25" s="57"/>
      <c r="BH25" s="57"/>
      <c r="BI25" s="139"/>
    </row>
    <row r="26" spans="1:61" ht="26" x14ac:dyDescent="0.6">
      <c r="A26" s="233"/>
      <c r="B26" s="241"/>
      <c r="C26" s="235"/>
      <c r="D26" s="242"/>
      <c r="E26" s="184"/>
      <c r="F26" s="187"/>
      <c r="G26" s="204"/>
      <c r="H26" s="204"/>
      <c r="I26" s="186"/>
      <c r="J26" s="186"/>
      <c r="K26" s="244"/>
      <c r="L26" s="184"/>
      <c r="M26" s="224"/>
      <c r="N26" s="207"/>
      <c r="O26" s="186"/>
      <c r="P26" s="186"/>
      <c r="Q26" s="186"/>
      <c r="R26" s="186"/>
      <c r="S26" s="186"/>
      <c r="T26" s="186"/>
      <c r="U26" s="186"/>
      <c r="V26" s="186"/>
      <c r="W26" s="186"/>
      <c r="X26" s="186"/>
      <c r="Y26" s="186"/>
      <c r="Z26" s="186"/>
      <c r="AA26" s="186"/>
      <c r="AB26" s="186"/>
      <c r="AC26" s="188"/>
      <c r="AD26" s="224"/>
      <c r="AE26" s="184"/>
      <c r="AF26" s="188"/>
      <c r="AG26" s="225"/>
      <c r="AH26" s="243"/>
      <c r="AI26" s="238"/>
      <c r="AJ26" s="243"/>
      <c r="AK26" s="207"/>
      <c r="AL26" s="210"/>
      <c r="AM26" s="193"/>
      <c r="AN26" s="216"/>
      <c r="AO26" s="240"/>
      <c r="AP26" s="162"/>
      <c r="AQ26" s="163"/>
      <c r="AR26" s="164"/>
      <c r="AS26" s="164"/>
      <c r="AT26" s="165"/>
      <c r="AU26" s="164"/>
      <c r="AV26" s="163"/>
      <c r="AW26" s="165"/>
      <c r="AX26" s="196"/>
      <c r="AY26" s="227"/>
      <c r="AZ26" s="166"/>
      <c r="BA26" s="167"/>
      <c r="BB26" s="168"/>
      <c r="BF26" s="57"/>
      <c r="BG26" s="57"/>
      <c r="BH26" s="57"/>
      <c r="BI26" s="139"/>
    </row>
    <row r="27" spans="1:61" ht="26" x14ac:dyDescent="0.6">
      <c r="A27" s="233"/>
      <c r="B27" s="241"/>
      <c r="C27" s="235"/>
      <c r="D27" s="242"/>
      <c r="E27" s="184"/>
      <c r="F27" s="187"/>
      <c r="G27" s="204"/>
      <c r="H27" s="204"/>
      <c r="I27" s="186"/>
      <c r="J27" s="186"/>
      <c r="K27" s="244"/>
      <c r="L27" s="184"/>
      <c r="M27" s="224"/>
      <c r="N27" s="207"/>
      <c r="O27" s="186"/>
      <c r="P27" s="186"/>
      <c r="Q27" s="186"/>
      <c r="R27" s="186"/>
      <c r="S27" s="186"/>
      <c r="T27" s="186"/>
      <c r="U27" s="186"/>
      <c r="V27" s="186"/>
      <c r="W27" s="186"/>
      <c r="X27" s="186"/>
      <c r="Y27" s="186"/>
      <c r="Z27" s="186"/>
      <c r="AA27" s="186"/>
      <c r="AB27" s="186"/>
      <c r="AC27" s="188"/>
      <c r="AD27" s="224"/>
      <c r="AE27" s="184"/>
      <c r="AF27" s="188"/>
      <c r="AG27" s="225"/>
      <c r="AH27" s="243"/>
      <c r="AI27" s="238"/>
      <c r="AJ27" s="243"/>
      <c r="AK27" s="207"/>
      <c r="AL27" s="210"/>
      <c r="AM27" s="193"/>
      <c r="AN27" s="216"/>
      <c r="AO27" s="240"/>
      <c r="AP27" s="162"/>
      <c r="AQ27" s="163"/>
      <c r="AR27" s="164"/>
      <c r="AS27" s="164"/>
      <c r="AT27" s="165"/>
      <c r="AU27" s="164"/>
      <c r="AV27" s="163"/>
      <c r="AW27" s="165"/>
      <c r="AX27" s="196"/>
      <c r="AY27" s="227"/>
      <c r="AZ27" s="166"/>
      <c r="BA27" s="167"/>
      <c r="BB27" s="168"/>
      <c r="BF27" s="57"/>
      <c r="BG27" s="57"/>
      <c r="BH27" s="57"/>
      <c r="BI27" s="139"/>
    </row>
    <row r="28" spans="1:61" ht="26" x14ac:dyDescent="0.6">
      <c r="A28" s="233"/>
      <c r="B28" s="241"/>
      <c r="C28" s="235"/>
      <c r="D28" s="242"/>
      <c r="E28" s="184"/>
      <c r="F28" s="187"/>
      <c r="G28" s="204"/>
      <c r="H28" s="204"/>
      <c r="I28" s="186"/>
      <c r="J28" s="186"/>
      <c r="K28" s="244"/>
      <c r="L28" s="184"/>
      <c r="M28" s="224"/>
      <c r="N28" s="207"/>
      <c r="O28" s="186"/>
      <c r="P28" s="186"/>
      <c r="Q28" s="186"/>
      <c r="R28" s="186"/>
      <c r="S28" s="186"/>
      <c r="T28" s="186"/>
      <c r="U28" s="186"/>
      <c r="V28" s="186"/>
      <c r="W28" s="186"/>
      <c r="X28" s="186"/>
      <c r="Y28" s="186"/>
      <c r="Z28" s="186"/>
      <c r="AA28" s="186"/>
      <c r="AB28" s="186"/>
      <c r="AC28" s="188"/>
      <c r="AD28" s="224"/>
      <c r="AE28" s="184"/>
      <c r="AF28" s="188"/>
      <c r="AG28" s="225"/>
      <c r="AH28" s="243"/>
      <c r="AI28" s="238"/>
      <c r="AJ28" s="243"/>
      <c r="AK28" s="207"/>
      <c r="AL28" s="210"/>
      <c r="AM28" s="193"/>
      <c r="AN28" s="216"/>
      <c r="AO28" s="240"/>
      <c r="AP28" s="162"/>
      <c r="AQ28" s="163"/>
      <c r="AR28" s="164"/>
      <c r="AS28" s="164"/>
      <c r="AT28" s="165"/>
      <c r="AU28" s="164"/>
      <c r="AV28" s="163"/>
      <c r="AW28" s="165"/>
      <c r="AX28" s="196"/>
      <c r="AY28" s="227"/>
      <c r="AZ28" s="166"/>
      <c r="BA28" s="167"/>
      <c r="BB28" s="168"/>
      <c r="BF28" s="57"/>
      <c r="BG28" s="57"/>
      <c r="BH28" s="57"/>
      <c r="BI28" s="139"/>
    </row>
    <row r="29" spans="1:61" ht="26" x14ac:dyDescent="0.6">
      <c r="A29" s="233"/>
      <c r="B29" s="241"/>
      <c r="C29" s="235"/>
      <c r="D29" s="242"/>
      <c r="E29" s="184"/>
      <c r="F29" s="187"/>
      <c r="G29" s="204"/>
      <c r="H29" s="204"/>
      <c r="I29" s="186"/>
      <c r="J29" s="186"/>
      <c r="K29" s="244"/>
      <c r="L29" s="184"/>
      <c r="M29" s="224"/>
      <c r="N29" s="207"/>
      <c r="O29" s="186"/>
      <c r="P29" s="186"/>
      <c r="Q29" s="186"/>
      <c r="R29" s="186"/>
      <c r="S29" s="186"/>
      <c r="T29" s="186"/>
      <c r="U29" s="186"/>
      <c r="V29" s="186"/>
      <c r="W29" s="186"/>
      <c r="X29" s="186"/>
      <c r="Y29" s="186"/>
      <c r="Z29" s="186"/>
      <c r="AA29" s="186"/>
      <c r="AB29" s="186"/>
      <c r="AC29" s="188"/>
      <c r="AD29" s="224"/>
      <c r="AE29" s="184"/>
      <c r="AF29" s="188"/>
      <c r="AG29" s="225"/>
      <c r="AH29" s="243"/>
      <c r="AI29" s="238"/>
      <c r="AJ29" s="243"/>
      <c r="AK29" s="207"/>
      <c r="AL29" s="210"/>
      <c r="AM29" s="193"/>
      <c r="AN29" s="216"/>
      <c r="AO29" s="240"/>
      <c r="AP29" s="162"/>
      <c r="AQ29" s="163"/>
      <c r="AR29" s="164"/>
      <c r="AS29" s="164"/>
      <c r="AT29" s="165"/>
      <c r="AU29" s="164"/>
      <c r="AV29" s="163"/>
      <c r="AW29" s="165"/>
      <c r="AX29" s="196"/>
      <c r="AY29" s="227"/>
      <c r="AZ29" s="166"/>
      <c r="BA29" s="167"/>
      <c r="BB29" s="168"/>
      <c r="BF29" s="57"/>
      <c r="BG29" s="57"/>
      <c r="BH29" s="57"/>
      <c r="BI29" s="139"/>
    </row>
    <row r="30" spans="1:61" ht="26" x14ac:dyDescent="0.6">
      <c r="A30" s="233"/>
      <c r="B30" s="241"/>
      <c r="C30" s="235"/>
      <c r="D30" s="242"/>
      <c r="E30" s="184"/>
      <c r="F30" s="187"/>
      <c r="G30" s="204"/>
      <c r="H30" s="204"/>
      <c r="I30" s="186"/>
      <c r="J30" s="186"/>
      <c r="K30" s="244"/>
      <c r="L30" s="184"/>
      <c r="M30" s="224"/>
      <c r="N30" s="207"/>
      <c r="O30" s="186"/>
      <c r="P30" s="186"/>
      <c r="Q30" s="186"/>
      <c r="R30" s="186"/>
      <c r="S30" s="186"/>
      <c r="T30" s="186"/>
      <c r="U30" s="186"/>
      <c r="V30" s="186"/>
      <c r="W30" s="186"/>
      <c r="X30" s="186"/>
      <c r="Y30" s="186"/>
      <c r="Z30" s="186"/>
      <c r="AA30" s="186"/>
      <c r="AB30" s="186"/>
      <c r="AC30" s="188"/>
      <c r="AD30" s="224"/>
      <c r="AE30" s="184"/>
      <c r="AF30" s="188"/>
      <c r="AG30" s="225"/>
      <c r="AH30" s="243"/>
      <c r="AI30" s="238"/>
      <c r="AJ30" s="243"/>
      <c r="AK30" s="207"/>
      <c r="AL30" s="210"/>
      <c r="AM30" s="193"/>
      <c r="AN30" s="216"/>
      <c r="AO30" s="240"/>
      <c r="AP30" s="162"/>
      <c r="AQ30" s="163"/>
      <c r="AR30" s="164"/>
      <c r="AS30" s="164"/>
      <c r="AT30" s="165"/>
      <c r="AU30" s="164"/>
      <c r="AV30" s="163"/>
      <c r="AW30" s="165"/>
      <c r="AX30" s="196"/>
      <c r="AY30" s="227"/>
      <c r="AZ30" s="166"/>
      <c r="BA30" s="167"/>
      <c r="BB30" s="168"/>
      <c r="BF30" s="57"/>
      <c r="BG30" s="57"/>
      <c r="BH30" s="57"/>
      <c r="BI30" s="139"/>
    </row>
    <row r="31" spans="1:61" ht="26" x14ac:dyDescent="0.6">
      <c r="A31" s="233"/>
      <c r="B31" s="241"/>
      <c r="C31" s="235"/>
      <c r="D31" s="242"/>
      <c r="E31" s="184"/>
      <c r="F31" s="187"/>
      <c r="G31" s="204"/>
      <c r="H31" s="204"/>
      <c r="I31" s="186"/>
      <c r="J31" s="186"/>
      <c r="K31" s="244"/>
      <c r="L31" s="184"/>
      <c r="M31" s="224"/>
      <c r="N31" s="207"/>
      <c r="O31" s="186"/>
      <c r="P31" s="186"/>
      <c r="Q31" s="186"/>
      <c r="R31" s="186"/>
      <c r="S31" s="186"/>
      <c r="T31" s="186"/>
      <c r="U31" s="186"/>
      <c r="V31" s="186"/>
      <c r="W31" s="186"/>
      <c r="X31" s="186"/>
      <c r="Y31" s="186"/>
      <c r="Z31" s="186"/>
      <c r="AA31" s="186"/>
      <c r="AB31" s="186"/>
      <c r="AC31" s="188"/>
      <c r="AD31" s="224"/>
      <c r="AE31" s="184"/>
      <c r="AF31" s="188"/>
      <c r="AG31" s="225"/>
      <c r="AH31" s="243"/>
      <c r="AI31" s="238"/>
      <c r="AJ31" s="243"/>
      <c r="AK31" s="207"/>
      <c r="AL31" s="210"/>
      <c r="AM31" s="193"/>
      <c r="AN31" s="216"/>
      <c r="AO31" s="240"/>
      <c r="AP31" s="162"/>
      <c r="AQ31" s="163"/>
      <c r="AR31" s="164"/>
      <c r="AS31" s="164"/>
      <c r="AT31" s="165"/>
      <c r="AU31" s="164"/>
      <c r="AV31" s="163"/>
      <c r="AW31" s="165"/>
      <c r="AX31" s="196"/>
      <c r="AY31" s="227"/>
      <c r="AZ31" s="166"/>
      <c r="BA31" s="167"/>
      <c r="BB31" s="168"/>
      <c r="BF31" s="57"/>
      <c r="BG31" s="57"/>
      <c r="BH31" s="57"/>
      <c r="BI31" s="139"/>
    </row>
    <row r="32" spans="1:61" ht="26" x14ac:dyDescent="0.6">
      <c r="A32" s="233"/>
      <c r="B32" s="241"/>
      <c r="C32" s="235"/>
      <c r="D32" s="242"/>
      <c r="E32" s="184"/>
      <c r="F32" s="187"/>
      <c r="G32" s="204"/>
      <c r="H32" s="204"/>
      <c r="I32" s="186"/>
      <c r="J32" s="186"/>
      <c r="K32" s="244"/>
      <c r="L32" s="184"/>
      <c r="M32" s="224"/>
      <c r="N32" s="207"/>
      <c r="O32" s="186"/>
      <c r="P32" s="186"/>
      <c r="Q32" s="186"/>
      <c r="R32" s="186"/>
      <c r="S32" s="186"/>
      <c r="T32" s="186"/>
      <c r="U32" s="186"/>
      <c r="V32" s="186"/>
      <c r="W32" s="186"/>
      <c r="X32" s="186"/>
      <c r="Y32" s="186"/>
      <c r="Z32" s="186"/>
      <c r="AA32" s="186"/>
      <c r="AB32" s="186"/>
      <c r="AC32" s="188"/>
      <c r="AD32" s="224"/>
      <c r="AE32" s="184"/>
      <c r="AF32" s="188"/>
      <c r="AG32" s="225"/>
      <c r="AH32" s="243"/>
      <c r="AI32" s="238"/>
      <c r="AJ32" s="243"/>
      <c r="AK32" s="207"/>
      <c r="AL32" s="210"/>
      <c r="AM32" s="193"/>
      <c r="AN32" s="216"/>
      <c r="AO32" s="240"/>
      <c r="AP32" s="162"/>
      <c r="AQ32" s="163"/>
      <c r="AR32" s="164"/>
      <c r="AS32" s="164"/>
      <c r="AT32" s="165"/>
      <c r="AU32" s="164"/>
      <c r="AV32" s="163"/>
      <c r="AW32" s="165"/>
      <c r="AX32" s="196"/>
      <c r="AY32" s="227"/>
      <c r="AZ32" s="166"/>
      <c r="BA32" s="167"/>
      <c r="BB32" s="168"/>
      <c r="BF32" s="57"/>
      <c r="BG32" s="57"/>
      <c r="BH32" s="57"/>
      <c r="BI32" s="139"/>
    </row>
    <row r="33" spans="1:61" ht="26" x14ac:dyDescent="0.6">
      <c r="A33" s="233"/>
      <c r="B33" s="241"/>
      <c r="C33" s="235"/>
      <c r="D33" s="242"/>
      <c r="E33" s="184"/>
      <c r="F33" s="187"/>
      <c r="G33" s="204"/>
      <c r="H33" s="204"/>
      <c r="I33" s="186"/>
      <c r="J33" s="186"/>
      <c r="K33" s="244"/>
      <c r="L33" s="184"/>
      <c r="M33" s="224"/>
      <c r="N33" s="207"/>
      <c r="O33" s="186"/>
      <c r="P33" s="186"/>
      <c r="Q33" s="186"/>
      <c r="R33" s="186"/>
      <c r="S33" s="186"/>
      <c r="T33" s="186"/>
      <c r="U33" s="186"/>
      <c r="V33" s="186"/>
      <c r="W33" s="186"/>
      <c r="X33" s="186"/>
      <c r="Y33" s="186"/>
      <c r="Z33" s="186"/>
      <c r="AA33" s="186"/>
      <c r="AB33" s="186"/>
      <c r="AC33" s="188"/>
      <c r="AD33" s="224"/>
      <c r="AE33" s="184"/>
      <c r="AF33" s="188"/>
      <c r="AG33" s="225"/>
      <c r="AH33" s="243"/>
      <c r="AI33" s="238"/>
      <c r="AJ33" s="243"/>
      <c r="AK33" s="207"/>
      <c r="AL33" s="210"/>
      <c r="AM33" s="193"/>
      <c r="AN33" s="216"/>
      <c r="AO33" s="240"/>
      <c r="AP33" s="162"/>
      <c r="AQ33" s="163"/>
      <c r="AR33" s="164"/>
      <c r="AS33" s="164"/>
      <c r="AT33" s="165"/>
      <c r="AU33" s="164"/>
      <c r="AV33" s="163"/>
      <c r="AW33" s="165"/>
      <c r="AX33" s="196"/>
      <c r="AY33" s="227"/>
      <c r="AZ33" s="166"/>
      <c r="BA33" s="167"/>
      <c r="BB33" s="168"/>
      <c r="BF33" s="57"/>
      <c r="BG33" s="57"/>
      <c r="BH33" s="57"/>
      <c r="BI33" s="139"/>
    </row>
    <row r="34" spans="1:61" ht="26" x14ac:dyDescent="0.6">
      <c r="A34" s="233"/>
      <c r="B34" s="241"/>
      <c r="C34" s="235"/>
      <c r="D34" s="242"/>
      <c r="E34" s="184"/>
      <c r="F34" s="187"/>
      <c r="G34" s="204"/>
      <c r="H34" s="204"/>
      <c r="I34" s="186"/>
      <c r="J34" s="186"/>
      <c r="K34" s="244"/>
      <c r="L34" s="184"/>
      <c r="M34" s="224"/>
      <c r="N34" s="207"/>
      <c r="O34" s="186"/>
      <c r="P34" s="186"/>
      <c r="Q34" s="186"/>
      <c r="R34" s="186"/>
      <c r="S34" s="186"/>
      <c r="T34" s="186"/>
      <c r="U34" s="186"/>
      <c r="V34" s="186"/>
      <c r="W34" s="186"/>
      <c r="X34" s="186"/>
      <c r="Y34" s="186"/>
      <c r="Z34" s="186"/>
      <c r="AA34" s="186"/>
      <c r="AB34" s="186"/>
      <c r="AC34" s="188"/>
      <c r="AD34" s="224"/>
      <c r="AE34" s="184"/>
      <c r="AF34" s="188"/>
      <c r="AG34" s="225"/>
      <c r="AH34" s="243"/>
      <c r="AI34" s="238"/>
      <c r="AJ34" s="243"/>
      <c r="AK34" s="207"/>
      <c r="AL34" s="210"/>
      <c r="AM34" s="193"/>
      <c r="AN34" s="216"/>
      <c r="AO34" s="240"/>
      <c r="AP34" s="162"/>
      <c r="AQ34" s="163"/>
      <c r="AR34" s="164"/>
      <c r="AS34" s="164"/>
      <c r="AT34" s="165"/>
      <c r="AU34" s="164"/>
      <c r="AV34" s="163"/>
      <c r="AW34" s="165"/>
      <c r="AX34" s="196"/>
      <c r="AY34" s="227"/>
      <c r="AZ34" s="166"/>
      <c r="BA34" s="167"/>
      <c r="BB34" s="168"/>
      <c r="BF34" s="57"/>
      <c r="BG34" s="57"/>
      <c r="BH34" s="57"/>
      <c r="BI34" s="139"/>
    </row>
    <row r="35" spans="1:61" ht="26" x14ac:dyDescent="0.6">
      <c r="A35" s="233"/>
      <c r="B35" s="241"/>
      <c r="C35" s="235"/>
      <c r="D35" s="242"/>
      <c r="E35" s="184"/>
      <c r="F35" s="187"/>
      <c r="G35" s="204"/>
      <c r="H35" s="204"/>
      <c r="I35" s="186"/>
      <c r="J35" s="186"/>
      <c r="K35" s="244"/>
      <c r="L35" s="184"/>
      <c r="M35" s="224"/>
      <c r="N35" s="207"/>
      <c r="O35" s="186"/>
      <c r="P35" s="186"/>
      <c r="Q35" s="186"/>
      <c r="R35" s="186"/>
      <c r="S35" s="186"/>
      <c r="T35" s="186"/>
      <c r="U35" s="186"/>
      <c r="V35" s="186"/>
      <c r="W35" s="186"/>
      <c r="X35" s="186"/>
      <c r="Y35" s="186"/>
      <c r="Z35" s="186"/>
      <c r="AA35" s="186"/>
      <c r="AB35" s="186"/>
      <c r="AC35" s="188"/>
      <c r="AD35" s="224"/>
      <c r="AE35" s="184"/>
      <c r="AF35" s="188"/>
      <c r="AG35" s="225"/>
      <c r="AH35" s="243"/>
      <c r="AI35" s="238"/>
      <c r="AJ35" s="243"/>
      <c r="AK35" s="207"/>
      <c r="AL35" s="210"/>
      <c r="AM35" s="193"/>
      <c r="AN35" s="216"/>
      <c r="AO35" s="240"/>
      <c r="AP35" s="162"/>
      <c r="AQ35" s="163"/>
      <c r="AR35" s="164"/>
      <c r="AS35" s="164"/>
      <c r="AT35" s="165"/>
      <c r="AU35" s="164"/>
      <c r="AV35" s="163"/>
      <c r="AW35" s="165"/>
      <c r="AX35" s="196"/>
      <c r="AY35" s="227"/>
      <c r="AZ35" s="166"/>
      <c r="BA35" s="167"/>
      <c r="BB35" s="168"/>
      <c r="BF35" s="57"/>
      <c r="BG35" s="57"/>
      <c r="BH35" s="57"/>
      <c r="BI35" s="139"/>
    </row>
    <row r="36" spans="1:61" ht="26" x14ac:dyDescent="0.6">
      <c r="A36" s="233"/>
      <c r="B36" s="241"/>
      <c r="C36" s="235"/>
      <c r="D36" s="242"/>
      <c r="E36" s="184"/>
      <c r="F36" s="187"/>
      <c r="G36" s="204"/>
      <c r="H36" s="204"/>
      <c r="I36" s="186"/>
      <c r="J36" s="186"/>
      <c r="K36" s="244"/>
      <c r="L36" s="184"/>
      <c r="M36" s="224"/>
      <c r="N36" s="207"/>
      <c r="O36" s="186"/>
      <c r="P36" s="186"/>
      <c r="Q36" s="186"/>
      <c r="R36" s="186"/>
      <c r="S36" s="186"/>
      <c r="T36" s="186"/>
      <c r="U36" s="186"/>
      <c r="V36" s="186"/>
      <c r="W36" s="186"/>
      <c r="X36" s="186"/>
      <c r="Y36" s="186"/>
      <c r="Z36" s="186"/>
      <c r="AA36" s="186"/>
      <c r="AB36" s="186"/>
      <c r="AC36" s="188"/>
      <c r="AD36" s="224"/>
      <c r="AE36" s="184"/>
      <c r="AF36" s="188"/>
      <c r="AG36" s="225"/>
      <c r="AH36" s="243"/>
      <c r="AI36" s="238"/>
      <c r="AJ36" s="243"/>
      <c r="AK36" s="207"/>
      <c r="AL36" s="210"/>
      <c r="AM36" s="193"/>
      <c r="AN36" s="216"/>
      <c r="AO36" s="240"/>
      <c r="AP36" s="162"/>
      <c r="AQ36" s="163"/>
      <c r="AR36" s="164"/>
      <c r="AS36" s="164"/>
      <c r="AT36" s="165"/>
      <c r="AU36" s="164"/>
      <c r="AV36" s="163"/>
      <c r="AW36" s="165"/>
      <c r="AX36" s="196"/>
      <c r="AY36" s="227"/>
      <c r="AZ36" s="166"/>
      <c r="BA36" s="167"/>
      <c r="BB36" s="168"/>
      <c r="BF36" s="57"/>
      <c r="BG36" s="57"/>
      <c r="BH36" s="57"/>
      <c r="BI36" s="139"/>
    </row>
    <row r="37" spans="1:61" ht="26" x14ac:dyDescent="0.6">
      <c r="A37" s="233"/>
      <c r="B37" s="241"/>
      <c r="C37" s="235"/>
      <c r="D37" s="242"/>
      <c r="E37" s="184"/>
      <c r="F37" s="187"/>
      <c r="G37" s="204"/>
      <c r="H37" s="204"/>
      <c r="I37" s="186"/>
      <c r="J37" s="186"/>
      <c r="K37" s="244"/>
      <c r="L37" s="184"/>
      <c r="M37" s="224"/>
      <c r="N37" s="207"/>
      <c r="O37" s="186"/>
      <c r="P37" s="186"/>
      <c r="Q37" s="186"/>
      <c r="R37" s="186"/>
      <c r="S37" s="186"/>
      <c r="T37" s="186"/>
      <c r="U37" s="186"/>
      <c r="V37" s="186"/>
      <c r="W37" s="186"/>
      <c r="X37" s="186"/>
      <c r="Y37" s="186"/>
      <c r="Z37" s="186"/>
      <c r="AA37" s="186"/>
      <c r="AB37" s="186"/>
      <c r="AC37" s="188"/>
      <c r="AD37" s="224"/>
      <c r="AE37" s="184"/>
      <c r="AF37" s="188"/>
      <c r="AG37" s="225"/>
      <c r="AH37" s="243"/>
      <c r="AI37" s="238"/>
      <c r="AJ37" s="243"/>
      <c r="AK37" s="207"/>
      <c r="AL37" s="210"/>
      <c r="AM37" s="193"/>
      <c r="AN37" s="216"/>
      <c r="AO37" s="240"/>
      <c r="AP37" s="162"/>
      <c r="AQ37" s="163"/>
      <c r="AR37" s="164"/>
      <c r="AS37" s="164"/>
      <c r="AT37" s="165"/>
      <c r="AU37" s="164"/>
      <c r="AV37" s="163"/>
      <c r="AW37" s="165"/>
      <c r="AX37" s="196"/>
      <c r="AY37" s="227"/>
      <c r="AZ37" s="166"/>
      <c r="BA37" s="167"/>
      <c r="BB37" s="168"/>
      <c r="BF37" s="57"/>
      <c r="BG37" s="57"/>
      <c r="BH37" s="57"/>
      <c r="BI37" s="139"/>
    </row>
    <row r="38" spans="1:61" ht="26" x14ac:dyDescent="0.6">
      <c r="A38" s="233"/>
      <c r="B38" s="241"/>
      <c r="C38" s="235"/>
      <c r="D38" s="242"/>
      <c r="E38" s="184"/>
      <c r="F38" s="187"/>
      <c r="G38" s="204"/>
      <c r="H38" s="204"/>
      <c r="I38" s="186"/>
      <c r="J38" s="186"/>
      <c r="K38" s="244"/>
      <c r="L38" s="184"/>
      <c r="M38" s="224"/>
      <c r="N38" s="207"/>
      <c r="O38" s="186"/>
      <c r="P38" s="186"/>
      <c r="Q38" s="186"/>
      <c r="R38" s="186"/>
      <c r="S38" s="186"/>
      <c r="T38" s="186"/>
      <c r="U38" s="186"/>
      <c r="V38" s="186"/>
      <c r="W38" s="186"/>
      <c r="X38" s="186"/>
      <c r="Y38" s="186"/>
      <c r="Z38" s="186"/>
      <c r="AA38" s="186"/>
      <c r="AB38" s="186"/>
      <c r="AC38" s="188"/>
      <c r="AD38" s="224"/>
      <c r="AE38" s="184"/>
      <c r="AF38" s="188"/>
      <c r="AG38" s="225"/>
      <c r="AH38" s="243"/>
      <c r="AI38" s="238"/>
      <c r="AJ38" s="243"/>
      <c r="AK38" s="207"/>
      <c r="AL38" s="210"/>
      <c r="AM38" s="193"/>
      <c r="AN38" s="216"/>
      <c r="AO38" s="240"/>
      <c r="AP38" s="162"/>
      <c r="AQ38" s="163"/>
      <c r="AR38" s="164"/>
      <c r="AS38" s="164"/>
      <c r="AT38" s="165"/>
      <c r="AU38" s="164"/>
      <c r="AV38" s="163"/>
      <c r="AW38" s="165"/>
      <c r="AX38" s="196"/>
      <c r="AY38" s="227"/>
      <c r="AZ38" s="166"/>
      <c r="BA38" s="167"/>
      <c r="BB38" s="168"/>
      <c r="BF38" s="57"/>
      <c r="BG38" s="57"/>
      <c r="BH38" s="57"/>
      <c r="BI38" s="139"/>
    </row>
    <row r="39" spans="1:61" ht="26" x14ac:dyDescent="0.6">
      <c r="A39" s="233"/>
      <c r="B39" s="241"/>
      <c r="C39" s="235"/>
      <c r="D39" s="242"/>
      <c r="E39" s="184"/>
      <c r="F39" s="187"/>
      <c r="G39" s="204"/>
      <c r="H39" s="204"/>
      <c r="I39" s="186"/>
      <c r="J39" s="186"/>
      <c r="K39" s="244"/>
      <c r="L39" s="184"/>
      <c r="M39" s="224"/>
      <c r="N39" s="207"/>
      <c r="O39" s="186"/>
      <c r="P39" s="186"/>
      <c r="Q39" s="186"/>
      <c r="R39" s="186"/>
      <c r="S39" s="186"/>
      <c r="T39" s="186"/>
      <c r="U39" s="186"/>
      <c r="V39" s="186"/>
      <c r="W39" s="186"/>
      <c r="X39" s="186"/>
      <c r="Y39" s="186"/>
      <c r="Z39" s="186"/>
      <c r="AA39" s="186"/>
      <c r="AB39" s="186"/>
      <c r="AC39" s="188"/>
      <c r="AD39" s="224"/>
      <c r="AE39" s="184"/>
      <c r="AF39" s="188"/>
      <c r="AG39" s="225"/>
      <c r="AH39" s="243"/>
      <c r="AI39" s="238"/>
      <c r="AJ39" s="243"/>
      <c r="AK39" s="207"/>
      <c r="AL39" s="210"/>
      <c r="AM39" s="193"/>
      <c r="AN39" s="216"/>
      <c r="AO39" s="240"/>
      <c r="AP39" s="162"/>
      <c r="AQ39" s="163"/>
      <c r="AR39" s="164"/>
      <c r="AS39" s="164"/>
      <c r="AT39" s="165"/>
      <c r="AU39" s="164"/>
      <c r="AV39" s="163"/>
      <c r="AW39" s="165"/>
      <c r="AX39" s="196"/>
      <c r="AY39" s="227"/>
      <c r="AZ39" s="166"/>
      <c r="BA39" s="167"/>
      <c r="BB39" s="168"/>
      <c r="BF39" s="57"/>
      <c r="BG39" s="57"/>
      <c r="BH39" s="57"/>
      <c r="BI39" s="139"/>
    </row>
    <row r="40" spans="1:61" ht="26" x14ac:dyDescent="0.6">
      <c r="A40" s="233"/>
      <c r="B40" s="241"/>
      <c r="C40" s="235"/>
      <c r="D40" s="242"/>
      <c r="E40" s="184"/>
      <c r="F40" s="187"/>
      <c r="G40" s="204"/>
      <c r="H40" s="204"/>
      <c r="I40" s="186"/>
      <c r="J40" s="186"/>
      <c r="K40" s="244"/>
      <c r="L40" s="184"/>
      <c r="M40" s="224"/>
      <c r="N40" s="207"/>
      <c r="O40" s="186"/>
      <c r="P40" s="186"/>
      <c r="Q40" s="186"/>
      <c r="R40" s="186"/>
      <c r="S40" s="186"/>
      <c r="T40" s="186"/>
      <c r="U40" s="186"/>
      <c r="V40" s="186"/>
      <c r="W40" s="186"/>
      <c r="X40" s="186"/>
      <c r="Y40" s="186"/>
      <c r="Z40" s="186"/>
      <c r="AA40" s="186"/>
      <c r="AB40" s="186"/>
      <c r="AC40" s="188"/>
      <c r="AD40" s="224"/>
      <c r="AE40" s="184"/>
      <c r="AF40" s="188"/>
      <c r="AG40" s="225"/>
      <c r="AH40" s="243"/>
      <c r="AI40" s="238"/>
      <c r="AJ40" s="243"/>
      <c r="AK40" s="207"/>
      <c r="AL40" s="210"/>
      <c r="AM40" s="193"/>
      <c r="AN40" s="216"/>
      <c r="AO40" s="240"/>
      <c r="AP40" s="162"/>
      <c r="AQ40" s="163"/>
      <c r="AR40" s="164"/>
      <c r="AS40" s="164"/>
      <c r="AT40" s="165"/>
      <c r="AU40" s="164"/>
      <c r="AV40" s="163"/>
      <c r="AW40" s="165"/>
      <c r="AX40" s="196"/>
      <c r="AY40" s="227"/>
      <c r="AZ40" s="166"/>
      <c r="BA40" s="167"/>
      <c r="BB40" s="168"/>
      <c r="BF40" s="57"/>
      <c r="BG40" s="57"/>
      <c r="BH40" s="57"/>
      <c r="BI40" s="139"/>
    </row>
    <row r="41" spans="1:61" ht="26" x14ac:dyDescent="0.6">
      <c r="A41" s="233"/>
      <c r="B41" s="241"/>
      <c r="C41" s="235"/>
      <c r="D41" s="242"/>
      <c r="E41" s="184"/>
      <c r="F41" s="187"/>
      <c r="G41" s="204"/>
      <c r="H41" s="204"/>
      <c r="I41" s="186"/>
      <c r="J41" s="186"/>
      <c r="K41" s="244"/>
      <c r="L41" s="184"/>
      <c r="M41" s="224"/>
      <c r="N41" s="207"/>
      <c r="O41" s="186"/>
      <c r="P41" s="186"/>
      <c r="Q41" s="186"/>
      <c r="R41" s="186"/>
      <c r="S41" s="186"/>
      <c r="T41" s="186"/>
      <c r="U41" s="186"/>
      <c r="V41" s="186"/>
      <c r="W41" s="186"/>
      <c r="X41" s="186"/>
      <c r="Y41" s="186"/>
      <c r="Z41" s="186"/>
      <c r="AA41" s="186"/>
      <c r="AB41" s="186"/>
      <c r="AC41" s="188"/>
      <c r="AD41" s="224"/>
      <c r="AE41" s="184"/>
      <c r="AF41" s="188"/>
      <c r="AG41" s="225"/>
      <c r="AH41" s="243"/>
      <c r="AI41" s="238"/>
      <c r="AJ41" s="243"/>
      <c r="AK41" s="207"/>
      <c r="AL41" s="210"/>
      <c r="AM41" s="193"/>
      <c r="AN41" s="216"/>
      <c r="AO41" s="240"/>
      <c r="AP41" s="162"/>
      <c r="AQ41" s="163"/>
      <c r="AR41" s="164"/>
      <c r="AS41" s="164"/>
      <c r="AT41" s="165"/>
      <c r="AU41" s="164"/>
      <c r="AV41" s="163"/>
      <c r="AW41" s="165"/>
      <c r="AX41" s="196"/>
      <c r="AY41" s="227"/>
      <c r="AZ41" s="166"/>
      <c r="BA41" s="167"/>
      <c r="BB41" s="168"/>
      <c r="BF41" s="57"/>
      <c r="BG41" s="57"/>
      <c r="BH41" s="57"/>
      <c r="BI41" s="139"/>
    </row>
    <row r="42" spans="1:61" ht="26" x14ac:dyDescent="0.6">
      <c r="A42" s="233"/>
      <c r="B42" s="241"/>
      <c r="C42" s="235"/>
      <c r="D42" s="242"/>
      <c r="E42" s="184"/>
      <c r="F42" s="187"/>
      <c r="G42" s="204"/>
      <c r="H42" s="204"/>
      <c r="I42" s="186"/>
      <c r="J42" s="186"/>
      <c r="K42" s="244"/>
      <c r="L42" s="184"/>
      <c r="M42" s="224"/>
      <c r="N42" s="207"/>
      <c r="O42" s="186"/>
      <c r="P42" s="186"/>
      <c r="Q42" s="186"/>
      <c r="R42" s="186"/>
      <c r="S42" s="186"/>
      <c r="T42" s="186"/>
      <c r="U42" s="186"/>
      <c r="V42" s="186"/>
      <c r="W42" s="186"/>
      <c r="X42" s="186"/>
      <c r="Y42" s="186"/>
      <c r="Z42" s="186"/>
      <c r="AA42" s="186"/>
      <c r="AB42" s="186"/>
      <c r="AC42" s="188"/>
      <c r="AD42" s="224"/>
      <c r="AE42" s="184"/>
      <c r="AF42" s="188"/>
      <c r="AG42" s="225"/>
      <c r="AH42" s="243"/>
      <c r="AI42" s="238"/>
      <c r="AJ42" s="243"/>
      <c r="AK42" s="207"/>
      <c r="AL42" s="210"/>
      <c r="AM42" s="193"/>
      <c r="AN42" s="216"/>
      <c r="AO42" s="240"/>
      <c r="AP42" s="162"/>
      <c r="AQ42" s="163"/>
      <c r="AR42" s="164"/>
      <c r="AS42" s="164"/>
      <c r="AT42" s="165"/>
      <c r="AU42" s="164"/>
      <c r="AV42" s="163"/>
      <c r="AW42" s="165"/>
      <c r="AX42" s="196"/>
      <c r="AY42" s="227"/>
      <c r="AZ42" s="166"/>
      <c r="BA42" s="167"/>
      <c r="BB42" s="168"/>
      <c r="BF42" s="57"/>
      <c r="BG42" s="57"/>
      <c r="BH42" s="57"/>
      <c r="BI42" s="139"/>
    </row>
    <row r="43" spans="1:61" ht="26" x14ac:dyDescent="0.6">
      <c r="A43" s="233"/>
      <c r="B43" s="241"/>
      <c r="C43" s="235"/>
      <c r="D43" s="242"/>
      <c r="E43" s="184"/>
      <c r="F43" s="187"/>
      <c r="G43" s="204"/>
      <c r="H43" s="204"/>
      <c r="I43" s="186"/>
      <c r="J43" s="186"/>
      <c r="K43" s="244"/>
      <c r="L43" s="184"/>
      <c r="M43" s="224"/>
      <c r="N43" s="207"/>
      <c r="O43" s="186"/>
      <c r="P43" s="186"/>
      <c r="Q43" s="186"/>
      <c r="R43" s="186"/>
      <c r="S43" s="186"/>
      <c r="T43" s="186"/>
      <c r="U43" s="186"/>
      <c r="V43" s="186"/>
      <c r="W43" s="186"/>
      <c r="X43" s="186"/>
      <c r="Y43" s="186"/>
      <c r="Z43" s="186"/>
      <c r="AA43" s="186"/>
      <c r="AB43" s="186"/>
      <c r="AC43" s="188"/>
      <c r="AD43" s="224"/>
      <c r="AE43" s="184"/>
      <c r="AF43" s="188"/>
      <c r="AG43" s="225"/>
      <c r="AH43" s="243"/>
      <c r="AI43" s="238"/>
      <c r="AJ43" s="243"/>
      <c r="AK43" s="207"/>
      <c r="AL43" s="210"/>
      <c r="AM43" s="193"/>
      <c r="AN43" s="216"/>
      <c r="AO43" s="240"/>
      <c r="AP43" s="162"/>
      <c r="AQ43" s="163"/>
      <c r="AR43" s="164"/>
      <c r="AS43" s="164"/>
      <c r="AT43" s="165"/>
      <c r="AU43" s="164"/>
      <c r="AV43" s="163"/>
      <c r="AW43" s="165"/>
      <c r="AX43" s="196"/>
      <c r="AY43" s="227"/>
      <c r="AZ43" s="166"/>
      <c r="BA43" s="167"/>
      <c r="BB43" s="168"/>
      <c r="BF43" s="57"/>
      <c r="BG43" s="57"/>
      <c r="BH43" s="57"/>
      <c r="BI43" s="139"/>
    </row>
    <row r="44" spans="1:61" ht="26" x14ac:dyDescent="0.6">
      <c r="A44" s="233"/>
      <c r="B44" s="241"/>
      <c r="C44" s="235"/>
      <c r="D44" s="242"/>
      <c r="E44" s="184"/>
      <c r="F44" s="187"/>
      <c r="G44" s="204"/>
      <c r="H44" s="204"/>
      <c r="I44" s="186"/>
      <c r="J44" s="186"/>
      <c r="K44" s="244"/>
      <c r="L44" s="184"/>
      <c r="M44" s="224"/>
      <c r="N44" s="207"/>
      <c r="O44" s="186"/>
      <c r="P44" s="186"/>
      <c r="Q44" s="186"/>
      <c r="R44" s="186"/>
      <c r="S44" s="186"/>
      <c r="T44" s="186"/>
      <c r="U44" s="186"/>
      <c r="V44" s="186"/>
      <c r="W44" s="186"/>
      <c r="X44" s="186"/>
      <c r="Y44" s="186"/>
      <c r="Z44" s="186"/>
      <c r="AA44" s="186"/>
      <c r="AB44" s="186"/>
      <c r="AC44" s="188"/>
      <c r="AD44" s="224"/>
      <c r="AE44" s="184"/>
      <c r="AF44" s="188"/>
      <c r="AG44" s="225"/>
      <c r="AH44" s="243"/>
      <c r="AI44" s="238"/>
      <c r="AJ44" s="243"/>
      <c r="AK44" s="207"/>
      <c r="AL44" s="210"/>
      <c r="AM44" s="193"/>
      <c r="AN44" s="216"/>
      <c r="AO44" s="240"/>
      <c r="AP44" s="162"/>
      <c r="AQ44" s="163"/>
      <c r="AR44" s="164"/>
      <c r="AS44" s="164"/>
      <c r="AT44" s="165"/>
      <c r="AU44" s="164"/>
      <c r="AV44" s="163"/>
      <c r="AW44" s="165"/>
      <c r="AX44" s="196"/>
      <c r="AY44" s="227"/>
      <c r="AZ44" s="166"/>
      <c r="BA44" s="167"/>
      <c r="BB44" s="168"/>
      <c r="BF44" s="57"/>
      <c r="BG44" s="57"/>
      <c r="BH44" s="57"/>
      <c r="BI44" s="139"/>
    </row>
    <row r="45" spans="1:61" ht="26" x14ac:dyDescent="0.6">
      <c r="A45" s="233"/>
      <c r="B45" s="241"/>
      <c r="C45" s="235"/>
      <c r="D45" s="242"/>
      <c r="E45" s="184"/>
      <c r="F45" s="187"/>
      <c r="G45" s="204"/>
      <c r="H45" s="204"/>
      <c r="I45" s="186"/>
      <c r="J45" s="186"/>
      <c r="K45" s="244"/>
      <c r="L45" s="184"/>
      <c r="M45" s="224"/>
      <c r="N45" s="207"/>
      <c r="O45" s="186"/>
      <c r="P45" s="186"/>
      <c r="Q45" s="186"/>
      <c r="R45" s="186"/>
      <c r="S45" s="186"/>
      <c r="T45" s="186"/>
      <c r="U45" s="186"/>
      <c r="V45" s="186"/>
      <c r="W45" s="186"/>
      <c r="X45" s="186"/>
      <c r="Y45" s="186"/>
      <c r="Z45" s="186"/>
      <c r="AA45" s="186"/>
      <c r="AB45" s="186"/>
      <c r="AC45" s="188"/>
      <c r="AD45" s="224"/>
      <c r="AE45" s="184"/>
      <c r="AF45" s="188"/>
      <c r="AG45" s="225"/>
      <c r="AH45" s="243"/>
      <c r="AI45" s="238"/>
      <c r="AJ45" s="243"/>
      <c r="AK45" s="207"/>
      <c r="AL45" s="210"/>
      <c r="AM45" s="193"/>
      <c r="AN45" s="216"/>
      <c r="AO45" s="240"/>
      <c r="AP45" s="162"/>
      <c r="AQ45" s="163"/>
      <c r="AR45" s="164"/>
      <c r="AS45" s="164"/>
      <c r="AT45" s="165"/>
      <c r="AU45" s="164"/>
      <c r="AV45" s="163"/>
      <c r="AW45" s="165"/>
      <c r="AX45" s="196"/>
      <c r="AY45" s="227"/>
      <c r="AZ45" s="166"/>
      <c r="BA45" s="167"/>
      <c r="BB45" s="168"/>
      <c r="BF45" s="57"/>
      <c r="BG45" s="57"/>
      <c r="BH45" s="57"/>
      <c r="BI45" s="139"/>
    </row>
    <row r="46" spans="1:61" ht="26" x14ac:dyDescent="0.6">
      <c r="A46" s="233"/>
      <c r="B46" s="241"/>
      <c r="C46" s="235"/>
      <c r="D46" s="242"/>
      <c r="E46" s="184"/>
      <c r="F46" s="187"/>
      <c r="G46" s="204"/>
      <c r="H46" s="204"/>
      <c r="I46" s="186"/>
      <c r="J46" s="186"/>
      <c r="K46" s="244"/>
      <c r="L46" s="184"/>
      <c r="M46" s="224"/>
      <c r="N46" s="207"/>
      <c r="O46" s="186"/>
      <c r="P46" s="186"/>
      <c r="Q46" s="186"/>
      <c r="R46" s="186"/>
      <c r="S46" s="186"/>
      <c r="T46" s="186"/>
      <c r="U46" s="186"/>
      <c r="V46" s="186"/>
      <c r="W46" s="186"/>
      <c r="X46" s="186"/>
      <c r="Y46" s="186"/>
      <c r="Z46" s="186"/>
      <c r="AA46" s="186"/>
      <c r="AB46" s="186"/>
      <c r="AC46" s="188"/>
      <c r="AD46" s="224"/>
      <c r="AE46" s="184"/>
      <c r="AF46" s="188"/>
      <c r="AG46" s="225"/>
      <c r="AH46" s="243"/>
      <c r="AI46" s="238"/>
      <c r="AJ46" s="243"/>
      <c r="AK46" s="207"/>
      <c r="AL46" s="210"/>
      <c r="AM46" s="193"/>
      <c r="AN46" s="216"/>
      <c r="AO46" s="240"/>
      <c r="AP46" s="162"/>
      <c r="AQ46" s="163"/>
      <c r="AR46" s="164"/>
      <c r="AS46" s="164"/>
      <c r="AT46" s="165"/>
      <c r="AU46" s="164"/>
      <c r="AV46" s="163"/>
      <c r="AW46" s="165"/>
      <c r="AX46" s="196"/>
      <c r="AY46" s="227"/>
      <c r="AZ46" s="166"/>
      <c r="BA46" s="167"/>
      <c r="BB46" s="168"/>
      <c r="BF46" s="57"/>
      <c r="BG46" s="57"/>
      <c r="BH46" s="57"/>
      <c r="BI46" s="139"/>
    </row>
    <row r="47" spans="1:61" ht="26" x14ac:dyDescent="0.6">
      <c r="A47" s="233"/>
      <c r="B47" s="241"/>
      <c r="C47" s="235"/>
      <c r="D47" s="242"/>
      <c r="E47" s="184"/>
      <c r="F47" s="187"/>
      <c r="G47" s="204"/>
      <c r="H47" s="204"/>
      <c r="I47" s="186"/>
      <c r="J47" s="186"/>
      <c r="K47" s="244"/>
      <c r="L47" s="184"/>
      <c r="M47" s="224"/>
      <c r="N47" s="207"/>
      <c r="O47" s="186"/>
      <c r="P47" s="186"/>
      <c r="Q47" s="186"/>
      <c r="R47" s="186"/>
      <c r="S47" s="186"/>
      <c r="T47" s="186"/>
      <c r="U47" s="186"/>
      <c r="V47" s="186"/>
      <c r="W47" s="186"/>
      <c r="X47" s="186"/>
      <c r="Y47" s="186"/>
      <c r="Z47" s="186"/>
      <c r="AA47" s="186"/>
      <c r="AB47" s="186"/>
      <c r="AC47" s="188"/>
      <c r="AD47" s="224"/>
      <c r="AE47" s="184"/>
      <c r="AF47" s="188"/>
      <c r="AG47" s="225"/>
      <c r="AH47" s="243"/>
      <c r="AI47" s="238"/>
      <c r="AJ47" s="243"/>
      <c r="AK47" s="207"/>
      <c r="AL47" s="210"/>
      <c r="AM47" s="193"/>
      <c r="AN47" s="216"/>
      <c r="AO47" s="240"/>
      <c r="AP47" s="162"/>
      <c r="AQ47" s="163"/>
      <c r="AR47" s="164"/>
      <c r="AS47" s="164"/>
      <c r="AT47" s="165"/>
      <c r="AU47" s="164"/>
      <c r="AV47" s="163"/>
      <c r="AW47" s="165"/>
      <c r="AX47" s="196"/>
      <c r="AY47" s="227"/>
      <c r="AZ47" s="166"/>
      <c r="BA47" s="167"/>
      <c r="BB47" s="168"/>
      <c r="BF47" s="57"/>
      <c r="BG47" s="57"/>
      <c r="BH47" s="57"/>
      <c r="BI47" s="139"/>
    </row>
    <row r="48" spans="1:61" ht="26" x14ac:dyDescent="0.6">
      <c r="A48" s="233"/>
      <c r="B48" s="241"/>
      <c r="C48" s="235"/>
      <c r="D48" s="242"/>
      <c r="E48" s="184"/>
      <c r="F48" s="187"/>
      <c r="G48" s="204"/>
      <c r="H48" s="204"/>
      <c r="I48" s="186"/>
      <c r="J48" s="186"/>
      <c r="K48" s="244"/>
      <c r="L48" s="184"/>
      <c r="M48" s="224"/>
      <c r="N48" s="207"/>
      <c r="O48" s="186"/>
      <c r="P48" s="186"/>
      <c r="Q48" s="186"/>
      <c r="R48" s="186"/>
      <c r="S48" s="186"/>
      <c r="T48" s="186"/>
      <c r="U48" s="186"/>
      <c r="V48" s="186"/>
      <c r="W48" s="186"/>
      <c r="X48" s="186"/>
      <c r="Y48" s="186"/>
      <c r="Z48" s="186"/>
      <c r="AA48" s="186"/>
      <c r="AB48" s="186"/>
      <c r="AC48" s="188"/>
      <c r="AD48" s="224"/>
      <c r="AE48" s="184"/>
      <c r="AF48" s="188"/>
      <c r="AG48" s="225"/>
      <c r="AH48" s="243"/>
      <c r="AI48" s="238"/>
      <c r="AJ48" s="243"/>
      <c r="AK48" s="207"/>
      <c r="AL48" s="210"/>
      <c r="AM48" s="193"/>
      <c r="AN48" s="216"/>
      <c r="AO48" s="240"/>
      <c r="AP48" s="162"/>
      <c r="AQ48" s="163"/>
      <c r="AR48" s="164"/>
      <c r="AS48" s="164"/>
      <c r="AT48" s="165"/>
      <c r="AU48" s="164"/>
      <c r="AV48" s="163"/>
      <c r="AW48" s="165"/>
      <c r="AX48" s="196"/>
      <c r="AY48" s="227"/>
      <c r="AZ48" s="166"/>
      <c r="BA48" s="167"/>
      <c r="BB48" s="168"/>
      <c r="BF48" s="57"/>
      <c r="BG48" s="57"/>
      <c r="BH48" s="57"/>
      <c r="BI48" s="139"/>
    </row>
    <row r="49" spans="1:61" ht="26" x14ac:dyDescent="0.6">
      <c r="A49" s="233"/>
      <c r="B49" s="241"/>
      <c r="C49" s="235"/>
      <c r="D49" s="242"/>
      <c r="E49" s="184"/>
      <c r="F49" s="187"/>
      <c r="G49" s="204"/>
      <c r="H49" s="204"/>
      <c r="I49" s="186"/>
      <c r="J49" s="186"/>
      <c r="K49" s="244"/>
      <c r="L49" s="184"/>
      <c r="M49" s="224"/>
      <c r="N49" s="207"/>
      <c r="O49" s="186"/>
      <c r="P49" s="186"/>
      <c r="Q49" s="186"/>
      <c r="R49" s="186"/>
      <c r="S49" s="186"/>
      <c r="T49" s="186"/>
      <c r="U49" s="186"/>
      <c r="V49" s="186"/>
      <c r="W49" s="186"/>
      <c r="X49" s="186"/>
      <c r="Y49" s="186"/>
      <c r="Z49" s="186"/>
      <c r="AA49" s="186"/>
      <c r="AB49" s="186"/>
      <c r="AC49" s="188"/>
      <c r="AD49" s="224"/>
      <c r="AE49" s="184"/>
      <c r="AF49" s="188"/>
      <c r="AG49" s="225"/>
      <c r="AH49" s="243"/>
      <c r="AI49" s="238"/>
      <c r="AJ49" s="243"/>
      <c r="AK49" s="207"/>
      <c r="AL49" s="210"/>
      <c r="AM49" s="193"/>
      <c r="AN49" s="216"/>
      <c r="AO49" s="240"/>
      <c r="AP49" s="162"/>
      <c r="AQ49" s="163"/>
      <c r="AR49" s="164"/>
      <c r="AS49" s="164"/>
      <c r="AT49" s="165"/>
      <c r="AU49" s="164"/>
      <c r="AV49" s="163"/>
      <c r="AW49" s="165"/>
      <c r="AX49" s="196"/>
      <c r="AY49" s="227"/>
      <c r="AZ49" s="166"/>
      <c r="BA49" s="167"/>
      <c r="BB49" s="168"/>
      <c r="BF49" s="57"/>
      <c r="BG49" s="57"/>
      <c r="BH49" s="57"/>
      <c r="BI49" s="139"/>
    </row>
    <row r="50" spans="1:61" ht="26" x14ac:dyDescent="0.6">
      <c r="A50" s="233"/>
      <c r="B50" s="241"/>
      <c r="C50" s="235"/>
      <c r="D50" s="242"/>
      <c r="E50" s="184"/>
      <c r="F50" s="187"/>
      <c r="G50" s="204"/>
      <c r="H50" s="204"/>
      <c r="I50" s="186"/>
      <c r="J50" s="186"/>
      <c r="K50" s="244"/>
      <c r="L50" s="184"/>
      <c r="M50" s="224"/>
      <c r="N50" s="207"/>
      <c r="O50" s="186"/>
      <c r="P50" s="186"/>
      <c r="Q50" s="186"/>
      <c r="R50" s="186"/>
      <c r="S50" s="186"/>
      <c r="T50" s="186"/>
      <c r="U50" s="186"/>
      <c r="V50" s="186"/>
      <c r="W50" s="186"/>
      <c r="X50" s="186"/>
      <c r="Y50" s="186"/>
      <c r="Z50" s="186"/>
      <c r="AA50" s="186"/>
      <c r="AB50" s="186"/>
      <c r="AC50" s="188"/>
      <c r="AD50" s="224"/>
      <c r="AE50" s="184"/>
      <c r="AF50" s="188"/>
      <c r="AG50" s="225"/>
      <c r="AH50" s="243"/>
      <c r="AI50" s="238"/>
      <c r="AJ50" s="243"/>
      <c r="AK50" s="207"/>
      <c r="AL50" s="210"/>
      <c r="AM50" s="193"/>
      <c r="AN50" s="216"/>
      <c r="AO50" s="240"/>
      <c r="AP50" s="162"/>
      <c r="AQ50" s="163"/>
      <c r="AR50" s="164"/>
      <c r="AS50" s="164"/>
      <c r="AT50" s="165"/>
      <c r="AU50" s="164"/>
      <c r="AV50" s="163"/>
      <c r="AW50" s="165"/>
      <c r="AX50" s="196"/>
      <c r="AY50" s="227"/>
      <c r="AZ50" s="166"/>
      <c r="BA50" s="167"/>
      <c r="BB50" s="168"/>
      <c r="BF50" s="57"/>
      <c r="BG50" s="57"/>
      <c r="BH50" s="57"/>
      <c r="BI50" s="139"/>
    </row>
    <row r="51" spans="1:61" ht="26" x14ac:dyDescent="0.6">
      <c r="A51" s="233"/>
      <c r="B51" s="241"/>
      <c r="C51" s="235"/>
      <c r="D51" s="242"/>
      <c r="E51" s="184"/>
      <c r="F51" s="187"/>
      <c r="G51" s="204"/>
      <c r="H51" s="204"/>
      <c r="I51" s="186"/>
      <c r="J51" s="186"/>
      <c r="K51" s="244"/>
      <c r="L51" s="184"/>
      <c r="M51" s="224"/>
      <c r="N51" s="207"/>
      <c r="O51" s="186"/>
      <c r="P51" s="186"/>
      <c r="Q51" s="186"/>
      <c r="R51" s="186"/>
      <c r="S51" s="186"/>
      <c r="T51" s="186"/>
      <c r="U51" s="186"/>
      <c r="V51" s="186"/>
      <c r="W51" s="186"/>
      <c r="X51" s="186"/>
      <c r="Y51" s="186"/>
      <c r="Z51" s="186"/>
      <c r="AA51" s="186"/>
      <c r="AB51" s="186"/>
      <c r="AC51" s="188"/>
      <c r="AD51" s="224"/>
      <c r="AE51" s="184"/>
      <c r="AF51" s="188"/>
      <c r="AG51" s="225"/>
      <c r="AH51" s="243"/>
      <c r="AI51" s="238"/>
      <c r="AJ51" s="243"/>
      <c r="AK51" s="207"/>
      <c r="AL51" s="210"/>
      <c r="AM51" s="193"/>
      <c r="AN51" s="216"/>
      <c r="AO51" s="240"/>
      <c r="AP51" s="162"/>
      <c r="AQ51" s="163"/>
      <c r="AR51" s="164"/>
      <c r="AS51" s="164"/>
      <c r="AT51" s="165"/>
      <c r="AU51" s="164"/>
      <c r="AV51" s="163"/>
      <c r="AW51" s="165"/>
      <c r="AX51" s="196"/>
      <c r="AY51" s="227"/>
      <c r="AZ51" s="166"/>
      <c r="BA51" s="167"/>
      <c r="BB51" s="168"/>
      <c r="BF51" s="57"/>
      <c r="BG51" s="57"/>
      <c r="BH51" s="57"/>
      <c r="BI51" s="139"/>
    </row>
    <row r="52" spans="1:61" ht="26" x14ac:dyDescent="0.6">
      <c r="A52" s="233"/>
      <c r="B52" s="241"/>
      <c r="C52" s="235"/>
      <c r="D52" s="242"/>
      <c r="E52" s="184"/>
      <c r="F52" s="187"/>
      <c r="G52" s="204"/>
      <c r="H52" s="204"/>
      <c r="I52" s="186"/>
      <c r="J52" s="186"/>
      <c r="K52" s="244"/>
      <c r="L52" s="184"/>
      <c r="M52" s="224"/>
      <c r="N52" s="207"/>
      <c r="O52" s="186"/>
      <c r="P52" s="186"/>
      <c r="Q52" s="186"/>
      <c r="R52" s="186"/>
      <c r="S52" s="186"/>
      <c r="T52" s="186"/>
      <c r="U52" s="186"/>
      <c r="V52" s="186"/>
      <c r="W52" s="186"/>
      <c r="X52" s="186"/>
      <c r="Y52" s="186"/>
      <c r="Z52" s="186"/>
      <c r="AA52" s="186"/>
      <c r="AB52" s="186"/>
      <c r="AC52" s="188"/>
      <c r="AD52" s="224"/>
      <c r="AE52" s="184"/>
      <c r="AF52" s="188"/>
      <c r="AG52" s="225"/>
      <c r="AH52" s="243"/>
      <c r="AI52" s="238"/>
      <c r="AJ52" s="243"/>
      <c r="AK52" s="207"/>
      <c r="AL52" s="210"/>
      <c r="AM52" s="193"/>
      <c r="AN52" s="216"/>
      <c r="AO52" s="240"/>
      <c r="AP52" s="162"/>
      <c r="AQ52" s="163"/>
      <c r="AR52" s="164"/>
      <c r="AS52" s="164"/>
      <c r="AT52" s="165"/>
      <c r="AU52" s="164"/>
      <c r="AV52" s="163"/>
      <c r="AW52" s="165"/>
      <c r="AX52" s="196"/>
      <c r="AY52" s="227"/>
      <c r="AZ52" s="166"/>
      <c r="BA52" s="167"/>
      <c r="BB52" s="168"/>
      <c r="BF52" s="57"/>
      <c r="BG52" s="57"/>
      <c r="BH52" s="57"/>
      <c r="BI52" s="139"/>
    </row>
    <row r="53" spans="1:61" ht="26" x14ac:dyDescent="0.6">
      <c r="A53" s="233"/>
      <c r="B53" s="241"/>
      <c r="C53" s="235"/>
      <c r="D53" s="242"/>
      <c r="E53" s="184"/>
      <c r="F53" s="187"/>
      <c r="G53" s="204"/>
      <c r="H53" s="204"/>
      <c r="I53" s="186"/>
      <c r="J53" s="186"/>
      <c r="K53" s="244"/>
      <c r="L53" s="184"/>
      <c r="M53" s="224"/>
      <c r="N53" s="207"/>
      <c r="O53" s="186"/>
      <c r="P53" s="186"/>
      <c r="Q53" s="186"/>
      <c r="R53" s="186"/>
      <c r="S53" s="186"/>
      <c r="T53" s="186"/>
      <c r="U53" s="186"/>
      <c r="V53" s="186"/>
      <c r="W53" s="186"/>
      <c r="X53" s="186"/>
      <c r="Y53" s="186"/>
      <c r="Z53" s="186"/>
      <c r="AA53" s="186"/>
      <c r="AB53" s="186"/>
      <c r="AC53" s="188"/>
      <c r="AD53" s="224"/>
      <c r="AE53" s="184"/>
      <c r="AF53" s="188"/>
      <c r="AG53" s="225"/>
      <c r="AH53" s="243"/>
      <c r="AI53" s="238"/>
      <c r="AJ53" s="243"/>
      <c r="AK53" s="207"/>
      <c r="AL53" s="210"/>
      <c r="AM53" s="193"/>
      <c r="AN53" s="216"/>
      <c r="AO53" s="240"/>
      <c r="AP53" s="162"/>
      <c r="AQ53" s="163"/>
      <c r="AR53" s="164"/>
      <c r="AS53" s="164"/>
      <c r="AT53" s="165"/>
      <c r="AU53" s="164"/>
      <c r="AV53" s="163"/>
      <c r="AW53" s="165"/>
      <c r="AX53" s="196"/>
      <c r="AY53" s="227"/>
      <c r="AZ53" s="166"/>
      <c r="BA53" s="167"/>
      <c r="BB53" s="168"/>
      <c r="BF53" s="57"/>
      <c r="BG53" s="57"/>
      <c r="BH53" s="57"/>
      <c r="BI53" s="139"/>
    </row>
    <row r="54" spans="1:61" ht="26" x14ac:dyDescent="0.6">
      <c r="A54" s="233"/>
      <c r="B54" s="241"/>
      <c r="C54" s="235"/>
      <c r="D54" s="242"/>
      <c r="E54" s="184"/>
      <c r="F54" s="187"/>
      <c r="G54" s="204"/>
      <c r="H54" s="204"/>
      <c r="I54" s="186"/>
      <c r="J54" s="186"/>
      <c r="K54" s="244"/>
      <c r="L54" s="184"/>
      <c r="M54" s="224"/>
      <c r="N54" s="207"/>
      <c r="O54" s="186"/>
      <c r="P54" s="186"/>
      <c r="Q54" s="186"/>
      <c r="R54" s="186"/>
      <c r="S54" s="186"/>
      <c r="T54" s="186"/>
      <c r="U54" s="186"/>
      <c r="V54" s="186"/>
      <c r="W54" s="186"/>
      <c r="X54" s="186"/>
      <c r="Y54" s="186"/>
      <c r="Z54" s="186"/>
      <c r="AA54" s="186"/>
      <c r="AB54" s="186"/>
      <c r="AC54" s="188"/>
      <c r="AD54" s="224"/>
      <c r="AE54" s="184"/>
      <c r="AF54" s="188"/>
      <c r="AG54" s="225"/>
      <c r="AH54" s="243"/>
      <c r="AI54" s="238"/>
      <c r="AJ54" s="243"/>
      <c r="AK54" s="207"/>
      <c r="AL54" s="210"/>
      <c r="AM54" s="193"/>
      <c r="AN54" s="216"/>
      <c r="AO54" s="240"/>
      <c r="AP54" s="162"/>
      <c r="AQ54" s="163"/>
      <c r="AR54" s="164"/>
      <c r="AS54" s="164"/>
      <c r="AT54" s="165"/>
      <c r="AU54" s="164"/>
      <c r="AV54" s="163"/>
      <c r="AW54" s="165"/>
      <c r="AX54" s="196"/>
      <c r="AY54" s="227"/>
      <c r="AZ54" s="166"/>
      <c r="BA54" s="167"/>
      <c r="BB54" s="168"/>
      <c r="BF54" s="57"/>
      <c r="BG54" s="57"/>
      <c r="BH54" s="57"/>
      <c r="BI54" s="139"/>
    </row>
    <row r="55" spans="1:61" ht="26" x14ac:dyDescent="0.6">
      <c r="A55" s="233"/>
      <c r="B55" s="241"/>
      <c r="C55" s="235"/>
      <c r="D55" s="242"/>
      <c r="E55" s="184"/>
      <c r="F55" s="187"/>
      <c r="G55" s="204"/>
      <c r="H55" s="204"/>
      <c r="I55" s="186"/>
      <c r="J55" s="186"/>
      <c r="K55" s="244"/>
      <c r="L55" s="184"/>
      <c r="M55" s="224"/>
      <c r="N55" s="207"/>
      <c r="O55" s="186"/>
      <c r="P55" s="186"/>
      <c r="Q55" s="186"/>
      <c r="R55" s="186"/>
      <c r="S55" s="186"/>
      <c r="T55" s="186"/>
      <c r="U55" s="186"/>
      <c r="V55" s="186"/>
      <c r="W55" s="186"/>
      <c r="X55" s="186"/>
      <c r="Y55" s="186"/>
      <c r="Z55" s="186"/>
      <c r="AA55" s="186"/>
      <c r="AB55" s="186"/>
      <c r="AC55" s="188"/>
      <c r="AD55" s="224"/>
      <c r="AE55" s="184"/>
      <c r="AF55" s="188"/>
      <c r="AG55" s="225"/>
      <c r="AH55" s="243"/>
      <c r="AI55" s="238"/>
      <c r="AJ55" s="243"/>
      <c r="AK55" s="207"/>
      <c r="AL55" s="210"/>
      <c r="AM55" s="193"/>
      <c r="AN55" s="216"/>
      <c r="AO55" s="240"/>
      <c r="AP55" s="162"/>
      <c r="AQ55" s="163"/>
      <c r="AR55" s="164"/>
      <c r="AS55" s="164"/>
      <c r="AT55" s="165"/>
      <c r="AU55" s="164"/>
      <c r="AV55" s="163"/>
      <c r="AW55" s="165"/>
      <c r="AX55" s="196"/>
      <c r="AY55" s="227"/>
      <c r="AZ55" s="166"/>
      <c r="BA55" s="167"/>
      <c r="BB55" s="168"/>
      <c r="BF55" s="57"/>
      <c r="BG55" s="57"/>
      <c r="BH55" s="57"/>
      <c r="BI55" s="139"/>
    </row>
    <row r="56" spans="1:61" ht="26" x14ac:dyDescent="0.6">
      <c r="A56" s="233"/>
      <c r="B56" s="241"/>
      <c r="C56" s="235"/>
      <c r="D56" s="242"/>
      <c r="E56" s="184"/>
      <c r="F56" s="187"/>
      <c r="G56" s="204"/>
      <c r="H56" s="204"/>
      <c r="I56" s="186"/>
      <c r="J56" s="186"/>
      <c r="K56" s="244"/>
      <c r="L56" s="184"/>
      <c r="M56" s="224"/>
      <c r="N56" s="207"/>
      <c r="O56" s="186"/>
      <c r="P56" s="186"/>
      <c r="Q56" s="186"/>
      <c r="R56" s="186"/>
      <c r="S56" s="186"/>
      <c r="T56" s="186"/>
      <c r="U56" s="186"/>
      <c r="V56" s="186"/>
      <c r="W56" s="186"/>
      <c r="X56" s="186"/>
      <c r="Y56" s="186"/>
      <c r="Z56" s="186"/>
      <c r="AA56" s="186"/>
      <c r="AB56" s="186"/>
      <c r="AC56" s="188"/>
      <c r="AD56" s="224"/>
      <c r="AE56" s="184"/>
      <c r="AF56" s="188"/>
      <c r="AG56" s="225"/>
      <c r="AH56" s="243"/>
      <c r="AI56" s="238"/>
      <c r="AJ56" s="243"/>
      <c r="AK56" s="207"/>
      <c r="AL56" s="210"/>
      <c r="AM56" s="193"/>
      <c r="AN56" s="216"/>
      <c r="AO56" s="240"/>
      <c r="AP56" s="162"/>
      <c r="AQ56" s="163"/>
      <c r="AR56" s="164"/>
      <c r="AS56" s="164"/>
      <c r="AT56" s="165"/>
      <c r="AU56" s="164"/>
      <c r="AV56" s="163"/>
      <c r="AW56" s="165"/>
      <c r="AX56" s="196"/>
      <c r="AY56" s="227"/>
      <c r="AZ56" s="166"/>
      <c r="BA56" s="167"/>
      <c r="BB56" s="168"/>
      <c r="BF56" s="57"/>
      <c r="BG56" s="57"/>
      <c r="BH56" s="57"/>
      <c r="BI56" s="139"/>
    </row>
    <row r="57" spans="1:61" ht="26" x14ac:dyDescent="0.6">
      <c r="A57" s="233"/>
      <c r="B57" s="241"/>
      <c r="C57" s="235"/>
      <c r="D57" s="242"/>
      <c r="E57" s="184"/>
      <c r="F57" s="187"/>
      <c r="G57" s="204"/>
      <c r="H57" s="204"/>
      <c r="I57" s="186"/>
      <c r="J57" s="186"/>
      <c r="K57" s="244"/>
      <c r="L57" s="184"/>
      <c r="M57" s="224"/>
      <c r="N57" s="207"/>
      <c r="O57" s="186"/>
      <c r="P57" s="186"/>
      <c r="Q57" s="186"/>
      <c r="R57" s="186"/>
      <c r="S57" s="186"/>
      <c r="T57" s="186"/>
      <c r="U57" s="186"/>
      <c r="V57" s="186"/>
      <c r="W57" s="186"/>
      <c r="X57" s="186"/>
      <c r="Y57" s="186"/>
      <c r="Z57" s="186"/>
      <c r="AA57" s="186"/>
      <c r="AB57" s="186"/>
      <c r="AC57" s="188"/>
      <c r="AD57" s="224"/>
      <c r="AE57" s="184"/>
      <c r="AF57" s="188"/>
      <c r="AG57" s="225"/>
      <c r="AH57" s="243"/>
      <c r="AI57" s="238"/>
      <c r="AJ57" s="243"/>
      <c r="AK57" s="207"/>
      <c r="AL57" s="210"/>
      <c r="AM57" s="193"/>
      <c r="AN57" s="216"/>
      <c r="AO57" s="240"/>
      <c r="AP57" s="162"/>
      <c r="AQ57" s="163"/>
      <c r="AR57" s="164"/>
      <c r="AS57" s="164"/>
      <c r="AT57" s="165"/>
      <c r="AU57" s="164"/>
      <c r="AV57" s="163"/>
      <c r="AW57" s="165"/>
      <c r="AX57" s="196"/>
      <c r="AY57" s="227"/>
      <c r="AZ57" s="166"/>
      <c r="BA57" s="167"/>
      <c r="BB57" s="168"/>
      <c r="BF57" s="57"/>
      <c r="BG57" s="57"/>
      <c r="BH57" s="57"/>
      <c r="BI57" s="139"/>
    </row>
    <row r="58" spans="1:61" ht="26" x14ac:dyDescent="0.6">
      <c r="A58" s="233"/>
      <c r="B58" s="241"/>
      <c r="C58" s="235"/>
      <c r="D58" s="242"/>
      <c r="E58" s="184"/>
      <c r="F58" s="187"/>
      <c r="G58" s="204"/>
      <c r="H58" s="204"/>
      <c r="I58" s="186"/>
      <c r="J58" s="186"/>
      <c r="K58" s="244"/>
      <c r="L58" s="184"/>
      <c r="M58" s="224"/>
      <c r="N58" s="207"/>
      <c r="O58" s="186"/>
      <c r="P58" s="186"/>
      <c r="Q58" s="186"/>
      <c r="R58" s="186"/>
      <c r="S58" s="186"/>
      <c r="T58" s="186"/>
      <c r="U58" s="186"/>
      <c r="V58" s="186"/>
      <c r="W58" s="186"/>
      <c r="X58" s="186"/>
      <c r="Y58" s="186"/>
      <c r="Z58" s="186"/>
      <c r="AA58" s="186"/>
      <c r="AB58" s="186"/>
      <c r="AC58" s="188"/>
      <c r="AD58" s="224"/>
      <c r="AE58" s="184"/>
      <c r="AF58" s="188"/>
      <c r="AG58" s="225"/>
      <c r="AH58" s="243"/>
      <c r="AI58" s="238"/>
      <c r="AJ58" s="243"/>
      <c r="AK58" s="207"/>
      <c r="AL58" s="210"/>
      <c r="AM58" s="193"/>
      <c r="AN58" s="216"/>
      <c r="AO58" s="240"/>
      <c r="AP58" s="162"/>
      <c r="AQ58" s="163"/>
      <c r="AR58" s="164"/>
      <c r="AS58" s="164"/>
      <c r="AT58" s="165"/>
      <c r="AU58" s="164"/>
      <c r="AV58" s="163"/>
      <c r="AW58" s="165"/>
      <c r="AX58" s="196"/>
      <c r="AY58" s="227"/>
      <c r="AZ58" s="166"/>
      <c r="BA58" s="167"/>
      <c r="BB58" s="168"/>
      <c r="BF58" s="57"/>
      <c r="BG58" s="57"/>
      <c r="BH58" s="57"/>
      <c r="BI58" s="139"/>
    </row>
    <row r="59" spans="1:61" ht="26" x14ac:dyDescent="0.6">
      <c r="A59" s="233"/>
      <c r="B59" s="241"/>
      <c r="C59" s="235"/>
      <c r="D59" s="242"/>
      <c r="E59" s="184"/>
      <c r="F59" s="187"/>
      <c r="G59" s="204"/>
      <c r="H59" s="204"/>
      <c r="I59" s="186"/>
      <c r="J59" s="186"/>
      <c r="K59" s="244"/>
      <c r="L59" s="184"/>
      <c r="M59" s="224"/>
      <c r="N59" s="207"/>
      <c r="O59" s="186"/>
      <c r="P59" s="186"/>
      <c r="Q59" s="186"/>
      <c r="R59" s="186"/>
      <c r="S59" s="186"/>
      <c r="T59" s="186"/>
      <c r="U59" s="186"/>
      <c r="V59" s="186"/>
      <c r="W59" s="186"/>
      <c r="X59" s="186"/>
      <c r="Y59" s="186"/>
      <c r="Z59" s="186"/>
      <c r="AA59" s="186"/>
      <c r="AB59" s="186"/>
      <c r="AC59" s="188"/>
      <c r="AD59" s="224"/>
      <c r="AE59" s="184"/>
      <c r="AF59" s="188"/>
      <c r="AG59" s="225"/>
      <c r="AH59" s="243"/>
      <c r="AI59" s="238"/>
      <c r="AJ59" s="243"/>
      <c r="AK59" s="207"/>
      <c r="AL59" s="210"/>
      <c r="AM59" s="193"/>
      <c r="AN59" s="216"/>
      <c r="AO59" s="240"/>
      <c r="AP59" s="162"/>
      <c r="AQ59" s="163"/>
      <c r="AR59" s="164"/>
      <c r="AS59" s="164"/>
      <c r="AT59" s="165"/>
      <c r="AU59" s="164"/>
      <c r="AV59" s="163"/>
      <c r="AW59" s="165"/>
      <c r="AX59" s="196"/>
      <c r="AY59" s="227"/>
      <c r="AZ59" s="166"/>
      <c r="BA59" s="167"/>
      <c r="BB59" s="168"/>
      <c r="BF59" s="57"/>
      <c r="BG59" s="57"/>
      <c r="BH59" s="57"/>
      <c r="BI59" s="139"/>
    </row>
    <row r="60" spans="1:61" ht="26" x14ac:dyDescent="0.6">
      <c r="A60" s="233"/>
      <c r="B60" s="241"/>
      <c r="C60" s="235"/>
      <c r="D60" s="242"/>
      <c r="E60" s="184"/>
      <c r="F60" s="187"/>
      <c r="G60" s="204"/>
      <c r="H60" s="204"/>
      <c r="I60" s="186"/>
      <c r="J60" s="186"/>
      <c r="K60" s="244"/>
      <c r="L60" s="184"/>
      <c r="M60" s="224"/>
      <c r="N60" s="207"/>
      <c r="O60" s="186"/>
      <c r="P60" s="186"/>
      <c r="Q60" s="186"/>
      <c r="R60" s="186"/>
      <c r="S60" s="186"/>
      <c r="T60" s="186"/>
      <c r="U60" s="186"/>
      <c r="V60" s="186"/>
      <c r="W60" s="186"/>
      <c r="X60" s="186"/>
      <c r="Y60" s="186"/>
      <c r="Z60" s="186"/>
      <c r="AA60" s="186"/>
      <c r="AB60" s="186"/>
      <c r="AC60" s="188"/>
      <c r="AD60" s="224"/>
      <c r="AE60" s="184"/>
      <c r="AF60" s="188"/>
      <c r="AG60" s="225"/>
      <c r="AH60" s="243"/>
      <c r="AI60" s="238"/>
      <c r="AJ60" s="243"/>
      <c r="AK60" s="207"/>
      <c r="AL60" s="210"/>
      <c r="AM60" s="193"/>
      <c r="AN60" s="216"/>
      <c r="AO60" s="240"/>
      <c r="AP60" s="162"/>
      <c r="AQ60" s="163"/>
      <c r="AR60" s="164"/>
      <c r="AS60" s="164"/>
      <c r="AT60" s="165"/>
      <c r="AU60" s="164"/>
      <c r="AV60" s="163"/>
      <c r="AW60" s="165"/>
      <c r="AX60" s="196"/>
      <c r="AY60" s="227"/>
      <c r="AZ60" s="166"/>
      <c r="BA60" s="167"/>
      <c r="BB60" s="168"/>
      <c r="BF60" s="57"/>
      <c r="BG60" s="57"/>
      <c r="BH60" s="57"/>
      <c r="BI60" s="139"/>
    </row>
    <row r="61" spans="1:61" ht="26" x14ac:dyDescent="0.6">
      <c r="A61" s="233"/>
      <c r="B61" s="241"/>
      <c r="C61" s="235"/>
      <c r="D61" s="242"/>
      <c r="E61" s="184"/>
      <c r="F61" s="187"/>
      <c r="G61" s="204"/>
      <c r="H61" s="204"/>
      <c r="I61" s="186"/>
      <c r="J61" s="186"/>
      <c r="K61" s="244"/>
      <c r="L61" s="184"/>
      <c r="M61" s="224"/>
      <c r="N61" s="207"/>
      <c r="O61" s="186"/>
      <c r="P61" s="186"/>
      <c r="Q61" s="186"/>
      <c r="R61" s="186"/>
      <c r="S61" s="186"/>
      <c r="T61" s="186"/>
      <c r="U61" s="186"/>
      <c r="V61" s="186"/>
      <c r="W61" s="186"/>
      <c r="X61" s="186"/>
      <c r="Y61" s="186"/>
      <c r="Z61" s="186"/>
      <c r="AA61" s="186"/>
      <c r="AB61" s="186"/>
      <c r="AC61" s="188"/>
      <c r="AD61" s="224"/>
      <c r="AE61" s="184"/>
      <c r="AF61" s="188"/>
      <c r="AG61" s="225"/>
      <c r="AH61" s="243"/>
      <c r="AI61" s="238"/>
      <c r="AJ61" s="243"/>
      <c r="AK61" s="207"/>
      <c r="AL61" s="210"/>
      <c r="AM61" s="193"/>
      <c r="AN61" s="216"/>
      <c r="AO61" s="240"/>
      <c r="AP61" s="162"/>
      <c r="AQ61" s="163"/>
      <c r="AR61" s="164"/>
      <c r="AS61" s="164"/>
      <c r="AT61" s="165"/>
      <c r="AU61" s="164"/>
      <c r="AV61" s="163"/>
      <c r="AW61" s="165"/>
      <c r="AX61" s="196"/>
      <c r="AY61" s="227"/>
      <c r="AZ61" s="166"/>
      <c r="BA61" s="167"/>
      <c r="BB61" s="168"/>
      <c r="BF61" s="57"/>
      <c r="BG61" s="57"/>
      <c r="BH61" s="57"/>
      <c r="BI61" s="139"/>
    </row>
    <row r="62" spans="1:61" ht="26" x14ac:dyDescent="0.6">
      <c r="A62" s="233"/>
      <c r="B62" s="241"/>
      <c r="C62" s="235"/>
      <c r="D62" s="242"/>
      <c r="E62" s="184"/>
      <c r="F62" s="187"/>
      <c r="G62" s="204"/>
      <c r="H62" s="204"/>
      <c r="I62" s="186"/>
      <c r="J62" s="186"/>
      <c r="K62" s="244"/>
      <c r="L62" s="184"/>
      <c r="M62" s="224"/>
      <c r="N62" s="207"/>
      <c r="O62" s="186"/>
      <c r="P62" s="186"/>
      <c r="Q62" s="186"/>
      <c r="R62" s="186"/>
      <c r="S62" s="186"/>
      <c r="T62" s="186"/>
      <c r="U62" s="186"/>
      <c r="V62" s="186"/>
      <c r="W62" s="186"/>
      <c r="X62" s="186"/>
      <c r="Y62" s="186"/>
      <c r="Z62" s="186"/>
      <c r="AA62" s="186"/>
      <c r="AB62" s="186"/>
      <c r="AC62" s="188"/>
      <c r="AD62" s="224"/>
      <c r="AE62" s="184"/>
      <c r="AF62" s="188"/>
      <c r="AG62" s="225"/>
      <c r="AH62" s="243"/>
      <c r="AI62" s="238"/>
      <c r="AJ62" s="243"/>
      <c r="AK62" s="207"/>
      <c r="AL62" s="210"/>
      <c r="AM62" s="193"/>
      <c r="AN62" s="216"/>
      <c r="AO62" s="240"/>
      <c r="AP62" s="162"/>
      <c r="AQ62" s="163"/>
      <c r="AR62" s="164"/>
      <c r="AS62" s="164"/>
      <c r="AT62" s="165"/>
      <c r="AU62" s="164"/>
      <c r="AV62" s="163"/>
      <c r="AW62" s="165"/>
      <c r="AX62" s="196"/>
      <c r="AY62" s="227"/>
      <c r="AZ62" s="166"/>
      <c r="BA62" s="167"/>
      <c r="BB62" s="168"/>
      <c r="BF62" s="57"/>
      <c r="BG62" s="57"/>
      <c r="BH62" s="57"/>
      <c r="BI62" s="139"/>
    </row>
    <row r="63" spans="1:61" ht="26" x14ac:dyDescent="0.6">
      <c r="A63" s="233"/>
      <c r="B63" s="241"/>
      <c r="C63" s="235"/>
      <c r="D63" s="242"/>
      <c r="E63" s="184"/>
      <c r="F63" s="187"/>
      <c r="G63" s="204"/>
      <c r="H63" s="204"/>
      <c r="I63" s="186"/>
      <c r="J63" s="186"/>
      <c r="K63" s="244"/>
      <c r="L63" s="184"/>
      <c r="M63" s="224"/>
      <c r="N63" s="207"/>
      <c r="O63" s="186"/>
      <c r="P63" s="186"/>
      <c r="Q63" s="186"/>
      <c r="R63" s="186"/>
      <c r="S63" s="186"/>
      <c r="T63" s="186"/>
      <c r="U63" s="186"/>
      <c r="V63" s="186"/>
      <c r="W63" s="186"/>
      <c r="X63" s="186"/>
      <c r="Y63" s="186"/>
      <c r="Z63" s="186"/>
      <c r="AA63" s="186"/>
      <c r="AB63" s="186"/>
      <c r="AC63" s="188"/>
      <c r="AD63" s="224"/>
      <c r="AE63" s="184"/>
      <c r="AF63" s="188"/>
      <c r="AG63" s="225"/>
      <c r="AH63" s="243"/>
      <c r="AI63" s="238"/>
      <c r="AJ63" s="243"/>
      <c r="AK63" s="207"/>
      <c r="AL63" s="210"/>
      <c r="AM63" s="193"/>
      <c r="AN63" s="216"/>
      <c r="AO63" s="240"/>
      <c r="AP63" s="162"/>
      <c r="AQ63" s="163"/>
      <c r="AR63" s="164"/>
      <c r="AS63" s="164"/>
      <c r="AT63" s="165"/>
      <c r="AU63" s="164"/>
      <c r="AV63" s="163"/>
      <c r="AW63" s="165"/>
      <c r="AX63" s="196"/>
      <c r="AY63" s="227"/>
      <c r="AZ63" s="166"/>
      <c r="BA63" s="167"/>
      <c r="BB63" s="168"/>
      <c r="BF63" s="57"/>
      <c r="BG63" s="57"/>
      <c r="BH63" s="57"/>
      <c r="BI63" s="139"/>
    </row>
    <row r="64" spans="1:61" ht="26" x14ac:dyDescent="0.6">
      <c r="A64" s="233"/>
      <c r="B64" s="241"/>
      <c r="C64" s="235"/>
      <c r="D64" s="242"/>
      <c r="E64" s="184"/>
      <c r="F64" s="187"/>
      <c r="G64" s="204"/>
      <c r="H64" s="204"/>
      <c r="I64" s="186"/>
      <c r="J64" s="186"/>
      <c r="K64" s="244"/>
      <c r="L64" s="184"/>
      <c r="M64" s="224"/>
      <c r="N64" s="207"/>
      <c r="O64" s="186"/>
      <c r="P64" s="186"/>
      <c r="Q64" s="186"/>
      <c r="R64" s="186"/>
      <c r="S64" s="186"/>
      <c r="T64" s="186"/>
      <c r="U64" s="186"/>
      <c r="V64" s="186"/>
      <c r="W64" s="186"/>
      <c r="X64" s="186"/>
      <c r="Y64" s="186"/>
      <c r="Z64" s="186"/>
      <c r="AA64" s="186"/>
      <c r="AB64" s="186"/>
      <c r="AC64" s="188"/>
      <c r="AD64" s="224"/>
      <c r="AE64" s="184"/>
      <c r="AF64" s="188"/>
      <c r="AG64" s="225"/>
      <c r="AH64" s="243"/>
      <c r="AI64" s="238"/>
      <c r="AJ64" s="243"/>
      <c r="AK64" s="207"/>
      <c r="AL64" s="210"/>
      <c r="AM64" s="193"/>
      <c r="AN64" s="216"/>
      <c r="AO64" s="240"/>
      <c r="AP64" s="162"/>
      <c r="AQ64" s="163"/>
      <c r="AR64" s="164"/>
      <c r="AS64" s="164"/>
      <c r="AT64" s="165"/>
      <c r="AU64" s="164"/>
      <c r="AV64" s="163"/>
      <c r="AW64" s="165"/>
      <c r="AX64" s="196"/>
      <c r="AY64" s="227"/>
      <c r="AZ64" s="166"/>
      <c r="BA64" s="167"/>
      <c r="BB64" s="168"/>
      <c r="BF64" s="57"/>
      <c r="BG64" s="57"/>
      <c r="BH64" s="57"/>
      <c r="BI64" s="139"/>
    </row>
    <row r="65" spans="1:61" ht="26" x14ac:dyDescent="0.6">
      <c r="A65" s="233"/>
      <c r="B65" s="241"/>
      <c r="C65" s="235"/>
      <c r="D65" s="242"/>
      <c r="E65" s="184"/>
      <c r="F65" s="187"/>
      <c r="G65" s="204"/>
      <c r="H65" s="204"/>
      <c r="I65" s="186"/>
      <c r="J65" s="186"/>
      <c r="K65" s="244"/>
      <c r="L65" s="184"/>
      <c r="M65" s="224"/>
      <c r="N65" s="207"/>
      <c r="O65" s="186"/>
      <c r="P65" s="186"/>
      <c r="Q65" s="186"/>
      <c r="R65" s="186"/>
      <c r="S65" s="186"/>
      <c r="T65" s="186"/>
      <c r="U65" s="186"/>
      <c r="V65" s="186"/>
      <c r="W65" s="186"/>
      <c r="X65" s="186"/>
      <c r="Y65" s="186"/>
      <c r="Z65" s="186"/>
      <c r="AA65" s="186"/>
      <c r="AB65" s="186"/>
      <c r="AC65" s="188"/>
      <c r="AD65" s="224"/>
      <c r="AE65" s="184"/>
      <c r="AF65" s="188"/>
      <c r="AG65" s="225"/>
      <c r="AH65" s="243"/>
      <c r="AI65" s="238"/>
      <c r="AJ65" s="243"/>
      <c r="AK65" s="207"/>
      <c r="AL65" s="210"/>
      <c r="AM65" s="193"/>
      <c r="AN65" s="216"/>
      <c r="AO65" s="240"/>
      <c r="AP65" s="162"/>
      <c r="AQ65" s="163"/>
      <c r="AR65" s="164"/>
      <c r="AS65" s="164"/>
      <c r="AT65" s="165"/>
      <c r="AU65" s="164"/>
      <c r="AV65" s="163"/>
      <c r="AW65" s="165"/>
      <c r="AX65" s="196"/>
      <c r="AY65" s="227"/>
      <c r="AZ65" s="166"/>
      <c r="BA65" s="167"/>
      <c r="BB65" s="168"/>
      <c r="BF65" s="57"/>
      <c r="BG65" s="57"/>
      <c r="BH65" s="57"/>
      <c r="BI65" s="139"/>
    </row>
    <row r="66" spans="1:61" ht="26" x14ac:dyDescent="0.6">
      <c r="A66" s="233"/>
      <c r="B66" s="241"/>
      <c r="C66" s="235"/>
      <c r="D66" s="242"/>
      <c r="E66" s="184"/>
      <c r="F66" s="187"/>
      <c r="G66" s="204"/>
      <c r="H66" s="204"/>
      <c r="I66" s="186"/>
      <c r="J66" s="186"/>
      <c r="K66" s="244"/>
      <c r="L66" s="184"/>
      <c r="M66" s="224"/>
      <c r="N66" s="207"/>
      <c r="O66" s="186"/>
      <c r="P66" s="186"/>
      <c r="Q66" s="186"/>
      <c r="R66" s="186"/>
      <c r="S66" s="186"/>
      <c r="T66" s="186"/>
      <c r="U66" s="186"/>
      <c r="V66" s="186"/>
      <c r="W66" s="186"/>
      <c r="X66" s="186"/>
      <c r="Y66" s="186"/>
      <c r="Z66" s="186"/>
      <c r="AA66" s="186"/>
      <c r="AB66" s="186"/>
      <c r="AC66" s="188"/>
      <c r="AD66" s="224"/>
      <c r="AE66" s="184"/>
      <c r="AF66" s="188"/>
      <c r="AG66" s="225"/>
      <c r="AH66" s="243"/>
      <c r="AI66" s="238"/>
      <c r="AJ66" s="243"/>
      <c r="AK66" s="207"/>
      <c r="AL66" s="210"/>
      <c r="AM66" s="193"/>
      <c r="AN66" s="216"/>
      <c r="AO66" s="240"/>
      <c r="AP66" s="162"/>
      <c r="AQ66" s="163"/>
      <c r="AR66" s="164"/>
      <c r="AS66" s="164"/>
      <c r="AT66" s="165"/>
      <c r="AU66" s="164"/>
      <c r="AV66" s="163"/>
      <c r="AW66" s="165"/>
      <c r="AX66" s="196"/>
      <c r="AY66" s="227"/>
      <c r="AZ66" s="166"/>
      <c r="BA66" s="167"/>
      <c r="BB66" s="168"/>
      <c r="BF66" s="57"/>
      <c r="BG66" s="57"/>
      <c r="BH66" s="57"/>
      <c r="BI66" s="139"/>
    </row>
    <row r="67" spans="1:61" ht="26" x14ac:dyDescent="0.6">
      <c r="A67" s="245"/>
      <c r="B67" s="241"/>
      <c r="C67" s="246"/>
      <c r="D67" s="247"/>
      <c r="E67" s="184"/>
      <c r="F67" s="187"/>
      <c r="G67" s="186"/>
      <c r="H67" s="186"/>
      <c r="I67" s="186"/>
      <c r="J67" s="186"/>
      <c r="K67" s="244"/>
      <c r="L67" s="184"/>
      <c r="M67" s="224"/>
      <c r="N67" s="207"/>
      <c r="O67" s="186"/>
      <c r="P67" s="186"/>
      <c r="Q67" s="186"/>
      <c r="R67" s="186"/>
      <c r="S67" s="186"/>
      <c r="T67" s="186"/>
      <c r="U67" s="186"/>
      <c r="V67" s="186"/>
      <c r="W67" s="186"/>
      <c r="X67" s="186"/>
      <c r="Y67" s="186"/>
      <c r="Z67" s="186"/>
      <c r="AA67" s="186"/>
      <c r="AB67" s="186"/>
      <c r="AC67" s="188"/>
      <c r="AD67" s="224"/>
      <c r="AE67" s="184"/>
      <c r="AF67" s="188"/>
      <c r="AG67" s="225"/>
      <c r="AH67" s="243"/>
      <c r="AI67" s="238"/>
      <c r="AJ67" s="243"/>
      <c r="AK67" s="207"/>
      <c r="AL67" s="210"/>
      <c r="AM67" s="193"/>
      <c r="AN67" s="216"/>
      <c r="AO67" s="240"/>
      <c r="AP67" s="162"/>
      <c r="AQ67" s="163"/>
      <c r="AR67" s="164"/>
      <c r="AS67" s="164"/>
      <c r="AT67" s="165"/>
      <c r="AU67" s="164"/>
      <c r="AV67" s="163"/>
      <c r="AW67" s="165"/>
      <c r="AX67" s="196"/>
      <c r="AY67" s="227"/>
      <c r="AZ67" s="166"/>
      <c r="BA67" s="167"/>
      <c r="BB67" s="168"/>
      <c r="BF67" s="57"/>
      <c r="BG67" s="57"/>
      <c r="BH67" s="57"/>
      <c r="BI67" s="139"/>
    </row>
    <row r="68" spans="1:61" ht="26" x14ac:dyDescent="0.6">
      <c r="A68" s="245"/>
      <c r="B68" s="241"/>
      <c r="C68" s="246"/>
      <c r="D68" s="247"/>
      <c r="E68" s="184"/>
      <c r="F68" s="187"/>
      <c r="G68" s="186"/>
      <c r="H68" s="186"/>
      <c r="I68" s="186"/>
      <c r="J68" s="186"/>
      <c r="K68" s="244"/>
      <c r="L68" s="184"/>
      <c r="M68" s="224"/>
      <c r="N68" s="207"/>
      <c r="O68" s="186"/>
      <c r="P68" s="186"/>
      <c r="Q68" s="186"/>
      <c r="R68" s="186"/>
      <c r="S68" s="186"/>
      <c r="T68" s="186"/>
      <c r="U68" s="186"/>
      <c r="V68" s="186"/>
      <c r="W68" s="186"/>
      <c r="X68" s="186"/>
      <c r="Y68" s="186"/>
      <c r="Z68" s="186"/>
      <c r="AA68" s="186"/>
      <c r="AB68" s="186"/>
      <c r="AC68" s="188"/>
      <c r="AD68" s="224"/>
      <c r="AE68" s="184"/>
      <c r="AF68" s="188"/>
      <c r="AG68" s="225"/>
      <c r="AH68" s="243"/>
      <c r="AI68" s="238"/>
      <c r="AJ68" s="243"/>
      <c r="AK68" s="207"/>
      <c r="AL68" s="210"/>
      <c r="AM68" s="193"/>
      <c r="AN68" s="216"/>
      <c r="AO68" s="240"/>
      <c r="AP68" s="162"/>
      <c r="AQ68" s="163"/>
      <c r="AR68" s="164"/>
      <c r="AS68" s="164"/>
      <c r="AT68" s="165"/>
      <c r="AU68" s="164"/>
      <c r="AV68" s="163"/>
      <c r="AW68" s="165"/>
      <c r="AX68" s="196"/>
      <c r="AY68" s="227"/>
      <c r="AZ68" s="166"/>
      <c r="BA68" s="167"/>
      <c r="BB68" s="168"/>
      <c r="BF68" s="57"/>
      <c r="BG68" s="57"/>
      <c r="BH68" s="57"/>
      <c r="BI68" s="139"/>
    </row>
    <row r="69" spans="1:61" ht="26" x14ac:dyDescent="0.6">
      <c r="A69" s="245"/>
      <c r="B69" s="241"/>
      <c r="C69" s="246"/>
      <c r="D69" s="247"/>
      <c r="E69" s="184"/>
      <c r="F69" s="187"/>
      <c r="G69" s="186"/>
      <c r="H69" s="186"/>
      <c r="I69" s="186"/>
      <c r="J69" s="186"/>
      <c r="K69" s="244"/>
      <c r="L69" s="184"/>
      <c r="M69" s="224"/>
      <c r="N69" s="207"/>
      <c r="O69" s="186"/>
      <c r="P69" s="186"/>
      <c r="Q69" s="186"/>
      <c r="R69" s="186"/>
      <c r="S69" s="186"/>
      <c r="T69" s="186"/>
      <c r="U69" s="186"/>
      <c r="V69" s="186"/>
      <c r="W69" s="186"/>
      <c r="X69" s="186"/>
      <c r="Y69" s="186"/>
      <c r="Z69" s="186"/>
      <c r="AA69" s="186"/>
      <c r="AB69" s="186"/>
      <c r="AC69" s="188"/>
      <c r="AD69" s="224"/>
      <c r="AE69" s="184"/>
      <c r="AF69" s="188"/>
      <c r="AG69" s="225"/>
      <c r="AH69" s="243"/>
      <c r="AI69" s="238"/>
      <c r="AJ69" s="243"/>
      <c r="AK69" s="207"/>
      <c r="AL69" s="210"/>
      <c r="AM69" s="193"/>
      <c r="AN69" s="216"/>
      <c r="AO69" s="240"/>
      <c r="AP69" s="162"/>
      <c r="AQ69" s="163"/>
      <c r="AR69" s="164"/>
      <c r="AS69" s="164"/>
      <c r="AT69" s="165"/>
      <c r="AU69" s="164"/>
      <c r="AV69" s="163"/>
      <c r="AW69" s="165"/>
      <c r="AX69" s="196"/>
      <c r="AY69" s="227"/>
      <c r="AZ69" s="166"/>
      <c r="BA69" s="167"/>
      <c r="BB69" s="168"/>
      <c r="BF69" s="57"/>
      <c r="BG69" s="57"/>
      <c r="BH69" s="57"/>
      <c r="BI69" s="139"/>
    </row>
    <row r="70" spans="1:61" ht="26" x14ac:dyDescent="0.6">
      <c r="A70" s="245"/>
      <c r="B70" s="241"/>
      <c r="C70" s="246"/>
      <c r="D70" s="242"/>
      <c r="E70" s="184"/>
      <c r="F70" s="187"/>
      <c r="G70" s="186"/>
      <c r="H70" s="186"/>
      <c r="I70" s="186"/>
      <c r="J70" s="186"/>
      <c r="K70" s="244"/>
      <c r="L70" s="184"/>
      <c r="M70" s="224"/>
      <c r="N70" s="207"/>
      <c r="O70" s="186"/>
      <c r="P70" s="186"/>
      <c r="Q70" s="186"/>
      <c r="R70" s="186"/>
      <c r="S70" s="186"/>
      <c r="T70" s="186"/>
      <c r="U70" s="186"/>
      <c r="V70" s="186"/>
      <c r="W70" s="186"/>
      <c r="X70" s="186"/>
      <c r="Y70" s="186"/>
      <c r="Z70" s="186"/>
      <c r="AA70" s="186"/>
      <c r="AB70" s="186"/>
      <c r="AC70" s="188"/>
      <c r="AD70" s="224"/>
      <c r="AE70" s="184"/>
      <c r="AF70" s="188"/>
      <c r="AG70" s="225"/>
      <c r="AH70" s="243"/>
      <c r="AI70" s="238"/>
      <c r="AJ70" s="243"/>
      <c r="AK70" s="207"/>
      <c r="AL70" s="210"/>
      <c r="AM70" s="193"/>
      <c r="AN70" s="216"/>
      <c r="AO70" s="240"/>
      <c r="AP70" s="162"/>
      <c r="AQ70" s="163"/>
      <c r="AR70" s="164"/>
      <c r="AS70" s="164"/>
      <c r="AT70" s="165"/>
      <c r="AU70" s="164"/>
      <c r="AV70" s="163"/>
      <c r="AW70" s="165"/>
      <c r="AX70" s="196"/>
      <c r="AY70" s="227"/>
      <c r="AZ70" s="166"/>
      <c r="BA70" s="167"/>
      <c r="BB70" s="168"/>
      <c r="BF70" s="57"/>
      <c r="BG70" s="57"/>
      <c r="BH70" s="57"/>
      <c r="BI70" s="139"/>
    </row>
    <row r="71" spans="1:61" ht="26" x14ac:dyDescent="0.6">
      <c r="A71" s="245"/>
      <c r="B71" s="241"/>
      <c r="C71" s="246"/>
      <c r="D71" s="242"/>
      <c r="E71" s="184"/>
      <c r="F71" s="187"/>
      <c r="G71" s="186"/>
      <c r="H71" s="186"/>
      <c r="I71" s="186"/>
      <c r="J71" s="186"/>
      <c r="K71" s="244"/>
      <c r="L71" s="184"/>
      <c r="M71" s="224"/>
      <c r="N71" s="207"/>
      <c r="O71" s="186"/>
      <c r="P71" s="186"/>
      <c r="Q71" s="186"/>
      <c r="R71" s="186"/>
      <c r="S71" s="186"/>
      <c r="T71" s="186"/>
      <c r="U71" s="186"/>
      <c r="V71" s="186"/>
      <c r="W71" s="186"/>
      <c r="X71" s="186"/>
      <c r="Y71" s="186"/>
      <c r="Z71" s="186"/>
      <c r="AA71" s="186"/>
      <c r="AB71" s="186"/>
      <c r="AC71" s="188"/>
      <c r="AD71" s="224"/>
      <c r="AE71" s="184"/>
      <c r="AF71" s="188"/>
      <c r="AG71" s="225"/>
      <c r="AH71" s="243"/>
      <c r="AI71" s="238"/>
      <c r="AJ71" s="243"/>
      <c r="AK71" s="207"/>
      <c r="AL71" s="210"/>
      <c r="AM71" s="193"/>
      <c r="AN71" s="216"/>
      <c r="AO71" s="240"/>
      <c r="AP71" s="162"/>
      <c r="AQ71" s="163"/>
      <c r="AR71" s="164"/>
      <c r="AS71" s="164"/>
      <c r="AT71" s="165"/>
      <c r="AU71" s="164"/>
      <c r="AV71" s="163"/>
      <c r="AW71" s="165"/>
      <c r="AX71" s="196"/>
      <c r="AY71" s="227"/>
      <c r="AZ71" s="166"/>
      <c r="BA71" s="167"/>
      <c r="BB71" s="168"/>
      <c r="BF71" s="57"/>
      <c r="BG71" s="57"/>
      <c r="BH71" s="57"/>
      <c r="BI71" s="139"/>
    </row>
    <row r="72" spans="1:61" ht="26" x14ac:dyDescent="0.6">
      <c r="A72" s="245"/>
      <c r="B72" s="241"/>
      <c r="C72" s="246"/>
      <c r="D72" s="242"/>
      <c r="E72" s="184"/>
      <c r="F72" s="187"/>
      <c r="G72" s="186"/>
      <c r="H72" s="186"/>
      <c r="I72" s="186"/>
      <c r="J72" s="186"/>
      <c r="K72" s="244"/>
      <c r="L72" s="184"/>
      <c r="M72" s="224"/>
      <c r="N72" s="207"/>
      <c r="O72" s="186"/>
      <c r="P72" s="186"/>
      <c r="Q72" s="186"/>
      <c r="R72" s="186"/>
      <c r="S72" s="186"/>
      <c r="T72" s="186"/>
      <c r="U72" s="186"/>
      <c r="V72" s="186"/>
      <c r="W72" s="186"/>
      <c r="X72" s="186"/>
      <c r="Y72" s="186"/>
      <c r="Z72" s="186"/>
      <c r="AA72" s="186"/>
      <c r="AB72" s="186"/>
      <c r="AC72" s="188"/>
      <c r="AD72" s="224"/>
      <c r="AE72" s="184"/>
      <c r="AF72" s="188"/>
      <c r="AG72" s="225"/>
      <c r="AH72" s="243"/>
      <c r="AI72" s="238"/>
      <c r="AJ72" s="243"/>
      <c r="AK72" s="207"/>
      <c r="AL72" s="210"/>
      <c r="AM72" s="193"/>
      <c r="AN72" s="216"/>
      <c r="AO72" s="240"/>
      <c r="AP72" s="162"/>
      <c r="AQ72" s="163"/>
      <c r="AR72" s="164"/>
      <c r="AS72" s="164"/>
      <c r="AT72" s="165"/>
      <c r="AU72" s="164"/>
      <c r="AV72" s="163"/>
      <c r="AW72" s="165"/>
      <c r="AX72" s="196"/>
      <c r="AY72" s="227"/>
      <c r="AZ72" s="166"/>
      <c r="BA72" s="167"/>
      <c r="BB72" s="168"/>
      <c r="BF72" s="57"/>
      <c r="BG72" s="57"/>
      <c r="BH72" s="57"/>
      <c r="BI72" s="139"/>
    </row>
    <row r="73" spans="1:61" ht="26" x14ac:dyDescent="0.6">
      <c r="A73" s="245"/>
      <c r="B73" s="241"/>
      <c r="C73" s="246"/>
      <c r="D73" s="242"/>
      <c r="E73" s="184"/>
      <c r="F73" s="187"/>
      <c r="G73" s="186"/>
      <c r="H73" s="186"/>
      <c r="I73" s="186"/>
      <c r="J73" s="186"/>
      <c r="K73" s="244"/>
      <c r="L73" s="184"/>
      <c r="M73" s="224"/>
      <c r="N73" s="207"/>
      <c r="O73" s="186"/>
      <c r="P73" s="186"/>
      <c r="Q73" s="186"/>
      <c r="R73" s="186"/>
      <c r="S73" s="186"/>
      <c r="T73" s="186"/>
      <c r="U73" s="186"/>
      <c r="V73" s="186"/>
      <c r="W73" s="186"/>
      <c r="X73" s="186"/>
      <c r="Y73" s="186"/>
      <c r="Z73" s="186"/>
      <c r="AA73" s="186"/>
      <c r="AB73" s="186"/>
      <c r="AC73" s="188"/>
      <c r="AD73" s="224"/>
      <c r="AE73" s="184"/>
      <c r="AF73" s="188"/>
      <c r="AG73" s="225"/>
      <c r="AH73" s="243"/>
      <c r="AI73" s="238"/>
      <c r="AJ73" s="243"/>
      <c r="AK73" s="207"/>
      <c r="AL73" s="210"/>
      <c r="AM73" s="193"/>
      <c r="AN73" s="216"/>
      <c r="AO73" s="240"/>
      <c r="AP73" s="162"/>
      <c r="AQ73" s="163"/>
      <c r="AR73" s="164"/>
      <c r="AS73" s="164"/>
      <c r="AT73" s="165"/>
      <c r="AU73" s="164"/>
      <c r="AV73" s="163"/>
      <c r="AW73" s="165"/>
      <c r="AX73" s="196"/>
      <c r="AY73" s="227"/>
      <c r="AZ73" s="166"/>
      <c r="BA73" s="167"/>
      <c r="BB73" s="168"/>
      <c r="BF73" s="57"/>
      <c r="BG73" s="57"/>
      <c r="BH73" s="57"/>
      <c r="BI73" s="139"/>
    </row>
    <row r="74" spans="1:61" ht="26" x14ac:dyDescent="0.6">
      <c r="A74" s="245"/>
      <c r="B74" s="241"/>
      <c r="C74" s="246"/>
      <c r="D74" s="247"/>
      <c r="E74" s="184"/>
      <c r="F74" s="187"/>
      <c r="G74" s="186"/>
      <c r="H74" s="186"/>
      <c r="I74" s="186"/>
      <c r="J74" s="186"/>
      <c r="K74" s="244"/>
      <c r="L74" s="184"/>
      <c r="M74" s="224"/>
      <c r="N74" s="207"/>
      <c r="O74" s="186"/>
      <c r="P74" s="186"/>
      <c r="Q74" s="186"/>
      <c r="R74" s="186"/>
      <c r="S74" s="186"/>
      <c r="T74" s="186"/>
      <c r="U74" s="186"/>
      <c r="V74" s="186"/>
      <c r="W74" s="186"/>
      <c r="X74" s="186"/>
      <c r="Y74" s="186"/>
      <c r="Z74" s="186"/>
      <c r="AA74" s="186"/>
      <c r="AB74" s="186"/>
      <c r="AC74" s="188"/>
      <c r="AD74" s="224"/>
      <c r="AE74" s="184"/>
      <c r="AF74" s="188"/>
      <c r="AG74" s="225"/>
      <c r="AH74" s="243"/>
      <c r="AI74" s="238"/>
      <c r="AJ74" s="243"/>
      <c r="AK74" s="207"/>
      <c r="AL74" s="210"/>
      <c r="AM74" s="193"/>
      <c r="AN74" s="216"/>
      <c r="AO74" s="240"/>
      <c r="AP74" s="162"/>
      <c r="AQ74" s="163"/>
      <c r="AR74" s="164"/>
      <c r="AS74" s="164"/>
      <c r="AT74" s="165"/>
      <c r="AU74" s="164"/>
      <c r="AV74" s="163"/>
      <c r="AW74" s="165"/>
      <c r="AX74" s="196"/>
      <c r="AY74" s="227"/>
      <c r="AZ74" s="166"/>
      <c r="BA74" s="167"/>
      <c r="BB74" s="168"/>
      <c r="BF74" s="57"/>
      <c r="BG74" s="57"/>
      <c r="BH74" s="57"/>
      <c r="BI74" s="139"/>
    </row>
    <row r="75" spans="1:61" ht="26" x14ac:dyDescent="0.6">
      <c r="A75" s="245"/>
      <c r="B75" s="241"/>
      <c r="C75" s="246"/>
      <c r="D75" s="242"/>
      <c r="E75" s="184"/>
      <c r="F75" s="187"/>
      <c r="G75" s="186"/>
      <c r="H75" s="186"/>
      <c r="I75" s="186"/>
      <c r="J75" s="186"/>
      <c r="K75" s="244"/>
      <c r="L75" s="184"/>
      <c r="M75" s="224"/>
      <c r="N75" s="207"/>
      <c r="O75" s="186"/>
      <c r="P75" s="186"/>
      <c r="Q75" s="186"/>
      <c r="R75" s="186"/>
      <c r="S75" s="186"/>
      <c r="T75" s="186"/>
      <c r="U75" s="186"/>
      <c r="V75" s="186"/>
      <c r="W75" s="186"/>
      <c r="X75" s="186"/>
      <c r="Y75" s="186"/>
      <c r="Z75" s="186"/>
      <c r="AA75" s="186"/>
      <c r="AB75" s="186"/>
      <c r="AC75" s="188"/>
      <c r="AD75" s="224"/>
      <c r="AE75" s="184"/>
      <c r="AF75" s="188"/>
      <c r="AG75" s="225"/>
      <c r="AH75" s="243"/>
      <c r="AI75" s="238"/>
      <c r="AJ75" s="243"/>
      <c r="AK75" s="207"/>
      <c r="AL75" s="210"/>
      <c r="AM75" s="193"/>
      <c r="AN75" s="216"/>
      <c r="AO75" s="240"/>
      <c r="AP75" s="162"/>
      <c r="AQ75" s="163"/>
      <c r="AR75" s="164"/>
      <c r="AS75" s="164"/>
      <c r="AT75" s="165"/>
      <c r="AU75" s="164"/>
      <c r="AV75" s="163"/>
      <c r="AW75" s="165"/>
      <c r="AX75" s="196"/>
      <c r="AY75" s="227"/>
      <c r="AZ75" s="166"/>
      <c r="BA75" s="167"/>
      <c r="BB75" s="168"/>
      <c r="BF75" s="57"/>
      <c r="BG75" s="57"/>
      <c r="BH75" s="57"/>
      <c r="BI75" s="139"/>
    </row>
    <row r="76" spans="1:61" ht="26" x14ac:dyDescent="0.6">
      <c r="A76" s="245"/>
      <c r="B76" s="241"/>
      <c r="C76" s="246"/>
      <c r="D76" s="242"/>
      <c r="E76" s="184"/>
      <c r="F76" s="187"/>
      <c r="G76" s="186"/>
      <c r="H76" s="186"/>
      <c r="I76" s="186"/>
      <c r="J76" s="186"/>
      <c r="K76" s="244"/>
      <c r="L76" s="184"/>
      <c r="M76" s="224"/>
      <c r="N76" s="207"/>
      <c r="O76" s="186"/>
      <c r="P76" s="186"/>
      <c r="Q76" s="186"/>
      <c r="R76" s="186"/>
      <c r="S76" s="186"/>
      <c r="T76" s="186"/>
      <c r="U76" s="186"/>
      <c r="V76" s="186"/>
      <c r="W76" s="186"/>
      <c r="X76" s="186"/>
      <c r="Y76" s="186"/>
      <c r="Z76" s="186"/>
      <c r="AA76" s="186"/>
      <c r="AB76" s="186"/>
      <c r="AC76" s="188"/>
      <c r="AD76" s="224"/>
      <c r="AE76" s="184"/>
      <c r="AF76" s="188"/>
      <c r="AG76" s="225"/>
      <c r="AH76" s="243"/>
      <c r="AI76" s="238"/>
      <c r="AJ76" s="243"/>
      <c r="AK76" s="207"/>
      <c r="AL76" s="210"/>
      <c r="AM76" s="193"/>
      <c r="AN76" s="216"/>
      <c r="AO76" s="240"/>
      <c r="AP76" s="162"/>
      <c r="AQ76" s="163"/>
      <c r="AR76" s="164"/>
      <c r="AS76" s="164"/>
      <c r="AT76" s="165"/>
      <c r="AU76" s="164"/>
      <c r="AV76" s="163"/>
      <c r="AW76" s="165"/>
      <c r="AX76" s="196"/>
      <c r="AY76" s="227"/>
      <c r="AZ76" s="166"/>
      <c r="BA76" s="167"/>
      <c r="BB76" s="168"/>
      <c r="BF76" s="57"/>
      <c r="BG76" s="57"/>
      <c r="BH76" s="57"/>
      <c r="BI76" s="139"/>
    </row>
    <row r="77" spans="1:61" ht="26" x14ac:dyDescent="0.6">
      <c r="A77" s="245"/>
      <c r="B77" s="241"/>
      <c r="C77" s="246"/>
      <c r="D77" s="247"/>
      <c r="E77" s="184"/>
      <c r="F77" s="187"/>
      <c r="G77" s="186"/>
      <c r="H77" s="186"/>
      <c r="I77" s="186"/>
      <c r="J77" s="186"/>
      <c r="K77" s="244"/>
      <c r="L77" s="184"/>
      <c r="M77" s="224"/>
      <c r="N77" s="207"/>
      <c r="O77" s="186"/>
      <c r="P77" s="186"/>
      <c r="Q77" s="186"/>
      <c r="R77" s="186"/>
      <c r="S77" s="186"/>
      <c r="T77" s="186"/>
      <c r="U77" s="186"/>
      <c r="V77" s="186"/>
      <c r="W77" s="186"/>
      <c r="X77" s="186"/>
      <c r="Y77" s="186"/>
      <c r="Z77" s="186"/>
      <c r="AA77" s="186"/>
      <c r="AB77" s="186"/>
      <c r="AC77" s="188"/>
      <c r="AD77" s="224"/>
      <c r="AE77" s="184"/>
      <c r="AF77" s="188"/>
      <c r="AG77" s="225"/>
      <c r="AH77" s="243"/>
      <c r="AI77" s="238"/>
      <c r="AJ77" s="243"/>
      <c r="AK77" s="207"/>
      <c r="AL77" s="210"/>
      <c r="AM77" s="193"/>
      <c r="AN77" s="216"/>
      <c r="AO77" s="240"/>
      <c r="AP77" s="162"/>
      <c r="AQ77" s="163"/>
      <c r="AR77" s="164"/>
      <c r="AS77" s="164"/>
      <c r="AT77" s="165"/>
      <c r="AU77" s="164"/>
      <c r="AV77" s="163"/>
      <c r="AW77" s="165"/>
      <c r="AX77" s="196"/>
      <c r="AY77" s="227"/>
      <c r="AZ77" s="166"/>
      <c r="BA77" s="167"/>
      <c r="BB77" s="168"/>
      <c r="BF77" s="57"/>
      <c r="BG77" s="57"/>
      <c r="BH77" s="57"/>
      <c r="BI77" s="139"/>
    </row>
    <row r="78" spans="1:61" ht="26" x14ac:dyDescent="0.6">
      <c r="A78" s="245"/>
      <c r="B78" s="241"/>
      <c r="C78" s="246"/>
      <c r="D78" s="242"/>
      <c r="E78" s="184"/>
      <c r="F78" s="187"/>
      <c r="G78" s="186"/>
      <c r="H78" s="186"/>
      <c r="I78" s="186"/>
      <c r="J78" s="186"/>
      <c r="K78" s="244"/>
      <c r="L78" s="184"/>
      <c r="M78" s="224"/>
      <c r="N78" s="207"/>
      <c r="O78" s="186"/>
      <c r="P78" s="186"/>
      <c r="Q78" s="186"/>
      <c r="R78" s="186"/>
      <c r="S78" s="186"/>
      <c r="T78" s="186"/>
      <c r="U78" s="186"/>
      <c r="V78" s="186"/>
      <c r="W78" s="186"/>
      <c r="X78" s="186"/>
      <c r="Y78" s="186"/>
      <c r="Z78" s="186"/>
      <c r="AA78" s="186"/>
      <c r="AB78" s="186"/>
      <c r="AC78" s="188"/>
      <c r="AD78" s="224"/>
      <c r="AE78" s="184"/>
      <c r="AF78" s="188"/>
      <c r="AG78" s="225"/>
      <c r="AH78" s="243"/>
      <c r="AI78" s="238"/>
      <c r="AJ78" s="243"/>
      <c r="AK78" s="207"/>
      <c r="AL78" s="210"/>
      <c r="AM78" s="193"/>
      <c r="AN78" s="216"/>
      <c r="AO78" s="240"/>
      <c r="AP78" s="162"/>
      <c r="AQ78" s="163"/>
      <c r="AR78" s="164"/>
      <c r="AS78" s="164"/>
      <c r="AT78" s="165"/>
      <c r="AU78" s="164"/>
      <c r="AV78" s="163"/>
      <c r="AW78" s="165"/>
      <c r="AX78" s="196"/>
      <c r="AY78" s="227"/>
      <c r="AZ78" s="166"/>
      <c r="BA78" s="167"/>
      <c r="BB78" s="168"/>
      <c r="BF78" s="57"/>
      <c r="BG78" s="57"/>
      <c r="BH78" s="57"/>
      <c r="BI78" s="139"/>
    </row>
    <row r="79" spans="1:61" ht="26" x14ac:dyDescent="0.6">
      <c r="A79" s="245"/>
      <c r="B79" s="241"/>
      <c r="C79" s="246"/>
      <c r="D79" s="242"/>
      <c r="E79" s="184"/>
      <c r="F79" s="187"/>
      <c r="G79" s="186"/>
      <c r="H79" s="186"/>
      <c r="I79" s="186"/>
      <c r="J79" s="186"/>
      <c r="K79" s="244"/>
      <c r="L79" s="184"/>
      <c r="M79" s="224"/>
      <c r="N79" s="207"/>
      <c r="O79" s="186"/>
      <c r="P79" s="186"/>
      <c r="Q79" s="186"/>
      <c r="R79" s="186"/>
      <c r="S79" s="186"/>
      <c r="T79" s="186"/>
      <c r="U79" s="186"/>
      <c r="V79" s="186"/>
      <c r="W79" s="186"/>
      <c r="X79" s="186"/>
      <c r="Y79" s="186"/>
      <c r="Z79" s="186"/>
      <c r="AA79" s="186"/>
      <c r="AB79" s="186"/>
      <c r="AC79" s="188"/>
      <c r="AD79" s="224"/>
      <c r="AE79" s="184"/>
      <c r="AF79" s="188"/>
      <c r="AG79" s="225"/>
      <c r="AH79" s="243"/>
      <c r="AI79" s="238"/>
      <c r="AJ79" s="243"/>
      <c r="AK79" s="207"/>
      <c r="AL79" s="210"/>
      <c r="AM79" s="193"/>
      <c r="AN79" s="216"/>
      <c r="AO79" s="240"/>
      <c r="AP79" s="162"/>
      <c r="AQ79" s="163"/>
      <c r="AR79" s="164"/>
      <c r="AS79" s="164"/>
      <c r="AT79" s="165"/>
      <c r="AU79" s="164"/>
      <c r="AV79" s="163"/>
      <c r="AW79" s="165"/>
      <c r="AX79" s="196"/>
      <c r="AY79" s="227"/>
      <c r="AZ79" s="166"/>
      <c r="BA79" s="167"/>
      <c r="BB79" s="168"/>
      <c r="BF79" s="57"/>
      <c r="BG79" s="57"/>
      <c r="BH79" s="57"/>
      <c r="BI79" s="139"/>
    </row>
    <row r="80" spans="1:61" ht="26" x14ac:dyDescent="0.6">
      <c r="A80" s="245"/>
      <c r="B80" s="241"/>
      <c r="C80" s="246"/>
      <c r="D80" s="242"/>
      <c r="E80" s="184"/>
      <c r="F80" s="187"/>
      <c r="G80" s="186"/>
      <c r="H80" s="186"/>
      <c r="I80" s="186"/>
      <c r="J80" s="186"/>
      <c r="K80" s="244"/>
      <c r="L80" s="184"/>
      <c r="M80" s="224"/>
      <c r="N80" s="207"/>
      <c r="O80" s="186"/>
      <c r="P80" s="186"/>
      <c r="Q80" s="186"/>
      <c r="R80" s="186"/>
      <c r="S80" s="186"/>
      <c r="T80" s="186"/>
      <c r="U80" s="186"/>
      <c r="V80" s="186"/>
      <c r="W80" s="186"/>
      <c r="X80" s="186"/>
      <c r="Y80" s="186"/>
      <c r="Z80" s="186"/>
      <c r="AA80" s="186"/>
      <c r="AB80" s="186"/>
      <c r="AC80" s="188"/>
      <c r="AD80" s="224"/>
      <c r="AE80" s="184"/>
      <c r="AF80" s="188"/>
      <c r="AG80" s="225"/>
      <c r="AH80" s="243"/>
      <c r="AI80" s="238"/>
      <c r="AJ80" s="243"/>
      <c r="AK80" s="207"/>
      <c r="AL80" s="210"/>
      <c r="AM80" s="193"/>
      <c r="AN80" s="216"/>
      <c r="AO80" s="240"/>
      <c r="AP80" s="162"/>
      <c r="AQ80" s="163"/>
      <c r="AR80" s="164"/>
      <c r="AS80" s="164"/>
      <c r="AT80" s="165"/>
      <c r="AU80" s="164"/>
      <c r="AV80" s="163"/>
      <c r="AW80" s="165"/>
      <c r="AX80" s="196"/>
      <c r="AY80" s="227"/>
      <c r="AZ80" s="166"/>
      <c r="BA80" s="167"/>
      <c r="BB80" s="168"/>
      <c r="BF80" s="57"/>
      <c r="BG80" s="57"/>
      <c r="BH80" s="57"/>
      <c r="BI80" s="139"/>
    </row>
    <row r="81" spans="1:61" ht="26" x14ac:dyDescent="0.6">
      <c r="A81" s="245"/>
      <c r="B81" s="241"/>
      <c r="C81" s="246"/>
      <c r="D81" s="242"/>
      <c r="E81" s="184"/>
      <c r="F81" s="187"/>
      <c r="G81" s="186"/>
      <c r="H81" s="186"/>
      <c r="I81" s="186"/>
      <c r="J81" s="186"/>
      <c r="K81" s="244"/>
      <c r="L81" s="184"/>
      <c r="M81" s="224"/>
      <c r="N81" s="207"/>
      <c r="O81" s="186"/>
      <c r="P81" s="186"/>
      <c r="Q81" s="186"/>
      <c r="R81" s="186"/>
      <c r="S81" s="186"/>
      <c r="T81" s="186"/>
      <c r="U81" s="186"/>
      <c r="V81" s="186"/>
      <c r="W81" s="186"/>
      <c r="X81" s="186"/>
      <c r="Y81" s="186"/>
      <c r="Z81" s="186"/>
      <c r="AA81" s="186"/>
      <c r="AB81" s="186"/>
      <c r="AC81" s="188"/>
      <c r="AD81" s="224"/>
      <c r="AE81" s="184"/>
      <c r="AF81" s="188"/>
      <c r="AG81" s="225"/>
      <c r="AH81" s="243"/>
      <c r="AI81" s="238"/>
      <c r="AJ81" s="243"/>
      <c r="AK81" s="207"/>
      <c r="AL81" s="210"/>
      <c r="AM81" s="193"/>
      <c r="AN81" s="216"/>
      <c r="AO81" s="240"/>
      <c r="AP81" s="162"/>
      <c r="AQ81" s="163"/>
      <c r="AR81" s="164"/>
      <c r="AS81" s="164"/>
      <c r="AT81" s="165"/>
      <c r="AU81" s="164"/>
      <c r="AV81" s="163"/>
      <c r="AW81" s="165"/>
      <c r="AX81" s="196"/>
      <c r="AY81" s="227"/>
      <c r="AZ81" s="166"/>
      <c r="BA81" s="167"/>
      <c r="BB81" s="168"/>
      <c r="BF81" s="57"/>
      <c r="BG81" s="57"/>
      <c r="BH81" s="57"/>
      <c r="BI81" s="139"/>
    </row>
    <row r="82" spans="1:61" ht="26" x14ac:dyDescent="0.6">
      <c r="A82" s="245"/>
      <c r="B82" s="241"/>
      <c r="C82" s="246"/>
      <c r="D82" s="242"/>
      <c r="E82" s="184"/>
      <c r="F82" s="187"/>
      <c r="G82" s="186"/>
      <c r="H82" s="186"/>
      <c r="I82" s="186"/>
      <c r="J82" s="186"/>
      <c r="K82" s="244"/>
      <c r="L82" s="184"/>
      <c r="M82" s="224"/>
      <c r="N82" s="207"/>
      <c r="O82" s="186"/>
      <c r="P82" s="186"/>
      <c r="Q82" s="186"/>
      <c r="R82" s="186"/>
      <c r="S82" s="186"/>
      <c r="T82" s="186"/>
      <c r="U82" s="186"/>
      <c r="V82" s="186"/>
      <c r="W82" s="186"/>
      <c r="X82" s="186"/>
      <c r="Y82" s="186"/>
      <c r="Z82" s="186"/>
      <c r="AA82" s="186"/>
      <c r="AB82" s="186"/>
      <c r="AC82" s="188"/>
      <c r="AD82" s="224"/>
      <c r="AE82" s="184"/>
      <c r="AF82" s="188"/>
      <c r="AG82" s="225"/>
      <c r="AH82" s="243"/>
      <c r="AI82" s="238"/>
      <c r="AJ82" s="243"/>
      <c r="AK82" s="207"/>
      <c r="AL82" s="210"/>
      <c r="AM82" s="193"/>
      <c r="AN82" s="216"/>
      <c r="AO82" s="240"/>
      <c r="AP82" s="162"/>
      <c r="AQ82" s="163"/>
      <c r="AR82" s="164"/>
      <c r="AS82" s="164"/>
      <c r="AT82" s="165"/>
      <c r="AU82" s="164"/>
      <c r="AV82" s="163"/>
      <c r="AW82" s="165"/>
      <c r="AX82" s="196"/>
      <c r="AY82" s="227"/>
      <c r="AZ82" s="166"/>
      <c r="BA82" s="167"/>
      <c r="BB82" s="168"/>
      <c r="BF82" s="57"/>
      <c r="BG82" s="57"/>
      <c r="BH82" s="57"/>
      <c r="BI82" s="139"/>
    </row>
    <row r="83" spans="1:61" ht="26" x14ac:dyDescent="0.6">
      <c r="A83" s="245"/>
      <c r="B83" s="241"/>
      <c r="C83" s="246"/>
      <c r="D83" s="242"/>
      <c r="E83" s="184"/>
      <c r="F83" s="187"/>
      <c r="G83" s="186"/>
      <c r="H83" s="186"/>
      <c r="I83" s="186"/>
      <c r="J83" s="186"/>
      <c r="K83" s="244"/>
      <c r="L83" s="184"/>
      <c r="M83" s="224"/>
      <c r="N83" s="207"/>
      <c r="O83" s="186"/>
      <c r="P83" s="186"/>
      <c r="Q83" s="186"/>
      <c r="R83" s="186"/>
      <c r="S83" s="186"/>
      <c r="T83" s="186"/>
      <c r="U83" s="186"/>
      <c r="V83" s="186"/>
      <c r="W83" s="186"/>
      <c r="X83" s="186"/>
      <c r="Y83" s="186"/>
      <c r="Z83" s="186"/>
      <c r="AA83" s="186"/>
      <c r="AB83" s="186"/>
      <c r="AC83" s="188"/>
      <c r="AD83" s="224"/>
      <c r="AE83" s="184"/>
      <c r="AF83" s="188"/>
      <c r="AG83" s="225"/>
      <c r="AH83" s="243"/>
      <c r="AI83" s="238"/>
      <c r="AJ83" s="243"/>
      <c r="AK83" s="207"/>
      <c r="AL83" s="210"/>
      <c r="AM83" s="193"/>
      <c r="AN83" s="216"/>
      <c r="AO83" s="240"/>
      <c r="AP83" s="162"/>
      <c r="AQ83" s="163"/>
      <c r="AR83" s="164"/>
      <c r="AS83" s="164"/>
      <c r="AT83" s="165"/>
      <c r="AU83" s="164"/>
      <c r="AV83" s="163"/>
      <c r="AW83" s="165"/>
      <c r="AX83" s="196"/>
      <c r="AY83" s="227"/>
      <c r="AZ83" s="166"/>
      <c r="BA83" s="167"/>
      <c r="BB83" s="168"/>
      <c r="BF83" s="57"/>
      <c r="BG83" s="57"/>
      <c r="BH83" s="57"/>
      <c r="BI83" s="139"/>
    </row>
    <row r="84" spans="1:61" ht="26" x14ac:dyDescent="0.6">
      <c r="A84" s="245"/>
      <c r="B84" s="241"/>
      <c r="C84" s="246"/>
      <c r="D84" s="242"/>
      <c r="E84" s="184"/>
      <c r="F84" s="187"/>
      <c r="G84" s="186"/>
      <c r="H84" s="186"/>
      <c r="I84" s="186"/>
      <c r="J84" s="186"/>
      <c r="K84" s="244"/>
      <c r="L84" s="184"/>
      <c r="M84" s="224"/>
      <c r="N84" s="207"/>
      <c r="O84" s="186"/>
      <c r="P84" s="186"/>
      <c r="Q84" s="186"/>
      <c r="R84" s="186"/>
      <c r="S84" s="186"/>
      <c r="T84" s="186"/>
      <c r="U84" s="186"/>
      <c r="V84" s="186"/>
      <c r="W84" s="186"/>
      <c r="X84" s="186"/>
      <c r="Y84" s="186"/>
      <c r="Z84" s="186"/>
      <c r="AA84" s="186"/>
      <c r="AB84" s="186"/>
      <c r="AC84" s="188"/>
      <c r="AD84" s="224"/>
      <c r="AE84" s="184"/>
      <c r="AF84" s="188"/>
      <c r="AG84" s="225"/>
      <c r="AH84" s="243"/>
      <c r="AI84" s="238"/>
      <c r="AJ84" s="243"/>
      <c r="AK84" s="207"/>
      <c r="AL84" s="210"/>
      <c r="AM84" s="193"/>
      <c r="AN84" s="216"/>
      <c r="AO84" s="240"/>
      <c r="AP84" s="162"/>
      <c r="AQ84" s="163"/>
      <c r="AR84" s="164"/>
      <c r="AS84" s="164"/>
      <c r="AT84" s="165"/>
      <c r="AU84" s="164"/>
      <c r="AV84" s="163"/>
      <c r="AW84" s="165"/>
      <c r="AX84" s="196"/>
      <c r="AY84" s="227"/>
      <c r="AZ84" s="166"/>
      <c r="BA84" s="167"/>
      <c r="BB84" s="168"/>
      <c r="BF84" s="57"/>
      <c r="BG84" s="57"/>
      <c r="BH84" s="57"/>
      <c r="BI84" s="139"/>
    </row>
    <row r="85" spans="1:61" ht="26" x14ac:dyDescent="0.6">
      <c r="A85" s="245"/>
      <c r="B85" s="241"/>
      <c r="C85" s="246"/>
      <c r="D85" s="242"/>
      <c r="E85" s="184"/>
      <c r="F85" s="187"/>
      <c r="G85" s="186"/>
      <c r="H85" s="186"/>
      <c r="I85" s="186"/>
      <c r="J85" s="186"/>
      <c r="K85" s="244"/>
      <c r="L85" s="184"/>
      <c r="M85" s="224"/>
      <c r="N85" s="207"/>
      <c r="O85" s="186"/>
      <c r="P85" s="186"/>
      <c r="Q85" s="186"/>
      <c r="R85" s="186"/>
      <c r="S85" s="186"/>
      <c r="T85" s="186"/>
      <c r="U85" s="186"/>
      <c r="V85" s="186"/>
      <c r="W85" s="186"/>
      <c r="X85" s="186"/>
      <c r="Y85" s="186"/>
      <c r="Z85" s="186"/>
      <c r="AA85" s="186"/>
      <c r="AB85" s="186"/>
      <c r="AC85" s="188"/>
      <c r="AD85" s="224"/>
      <c r="AE85" s="184"/>
      <c r="AF85" s="188"/>
      <c r="AG85" s="225"/>
      <c r="AH85" s="243"/>
      <c r="AI85" s="238"/>
      <c r="AJ85" s="243"/>
      <c r="AK85" s="207"/>
      <c r="AL85" s="210"/>
      <c r="AM85" s="193"/>
      <c r="AN85" s="216"/>
      <c r="AO85" s="240"/>
      <c r="AP85" s="162"/>
      <c r="AQ85" s="163"/>
      <c r="AR85" s="164"/>
      <c r="AS85" s="164"/>
      <c r="AT85" s="165"/>
      <c r="AU85" s="164"/>
      <c r="AV85" s="163"/>
      <c r="AW85" s="165"/>
      <c r="AX85" s="196"/>
      <c r="AY85" s="227"/>
      <c r="AZ85" s="166"/>
      <c r="BA85" s="167"/>
      <c r="BB85" s="168"/>
      <c r="BF85" s="57"/>
      <c r="BG85" s="57"/>
      <c r="BH85" s="57"/>
      <c r="BI85" s="139"/>
    </row>
    <row r="86" spans="1:61" ht="26" x14ac:dyDescent="0.6">
      <c r="A86" s="245"/>
      <c r="B86" s="241"/>
      <c r="C86" s="246"/>
      <c r="D86" s="242"/>
      <c r="E86" s="184"/>
      <c r="F86" s="187"/>
      <c r="G86" s="186"/>
      <c r="H86" s="186"/>
      <c r="I86" s="186"/>
      <c r="J86" s="186"/>
      <c r="K86" s="244"/>
      <c r="L86" s="184"/>
      <c r="M86" s="224"/>
      <c r="N86" s="207"/>
      <c r="O86" s="186"/>
      <c r="P86" s="186"/>
      <c r="Q86" s="186"/>
      <c r="R86" s="186"/>
      <c r="S86" s="186"/>
      <c r="T86" s="186"/>
      <c r="U86" s="186"/>
      <c r="V86" s="186"/>
      <c r="W86" s="186"/>
      <c r="X86" s="186"/>
      <c r="Y86" s="186"/>
      <c r="Z86" s="186"/>
      <c r="AA86" s="186"/>
      <c r="AB86" s="186"/>
      <c r="AC86" s="188"/>
      <c r="AD86" s="224"/>
      <c r="AE86" s="184"/>
      <c r="AF86" s="188"/>
      <c r="AG86" s="225"/>
      <c r="AH86" s="243"/>
      <c r="AI86" s="238"/>
      <c r="AJ86" s="243"/>
      <c r="AK86" s="207"/>
      <c r="AL86" s="210"/>
      <c r="AM86" s="193"/>
      <c r="AN86" s="216"/>
      <c r="AO86" s="240"/>
      <c r="AP86" s="162"/>
      <c r="AQ86" s="163"/>
      <c r="AR86" s="164"/>
      <c r="AS86" s="164"/>
      <c r="AT86" s="165"/>
      <c r="AU86" s="164"/>
      <c r="AV86" s="163"/>
      <c r="AW86" s="165"/>
      <c r="AX86" s="196"/>
      <c r="AY86" s="227"/>
      <c r="AZ86" s="166"/>
      <c r="BA86" s="167"/>
      <c r="BB86" s="168"/>
      <c r="BF86" s="57"/>
      <c r="BG86" s="57"/>
      <c r="BH86" s="57"/>
      <c r="BI86" s="139"/>
    </row>
    <row r="87" spans="1:61" ht="26" x14ac:dyDescent="0.6">
      <c r="A87" s="245"/>
      <c r="B87" s="241"/>
      <c r="C87" s="246"/>
      <c r="D87" s="247"/>
      <c r="E87" s="184"/>
      <c r="F87" s="187"/>
      <c r="G87" s="186"/>
      <c r="H87" s="186"/>
      <c r="I87" s="186"/>
      <c r="J87" s="186"/>
      <c r="K87" s="244"/>
      <c r="L87" s="184"/>
      <c r="M87" s="224"/>
      <c r="N87" s="207"/>
      <c r="O87" s="186"/>
      <c r="P87" s="186"/>
      <c r="Q87" s="186"/>
      <c r="R87" s="186"/>
      <c r="S87" s="186"/>
      <c r="T87" s="186"/>
      <c r="U87" s="186"/>
      <c r="V87" s="186"/>
      <c r="W87" s="186"/>
      <c r="X87" s="186"/>
      <c r="Y87" s="186"/>
      <c r="Z87" s="186"/>
      <c r="AA87" s="186"/>
      <c r="AB87" s="186"/>
      <c r="AC87" s="188"/>
      <c r="AD87" s="224"/>
      <c r="AE87" s="184"/>
      <c r="AF87" s="188"/>
      <c r="AG87" s="225"/>
      <c r="AH87" s="243"/>
      <c r="AI87" s="238"/>
      <c r="AJ87" s="243"/>
      <c r="AK87" s="207"/>
      <c r="AL87" s="210"/>
      <c r="AM87" s="193"/>
      <c r="AN87" s="216"/>
      <c r="AO87" s="240"/>
      <c r="AP87" s="162"/>
      <c r="AQ87" s="163"/>
      <c r="AR87" s="164"/>
      <c r="AS87" s="164"/>
      <c r="AT87" s="165"/>
      <c r="AU87" s="164"/>
      <c r="AV87" s="163"/>
      <c r="AW87" s="165"/>
      <c r="AX87" s="196"/>
      <c r="AY87" s="227"/>
      <c r="AZ87" s="166"/>
      <c r="BA87" s="167"/>
      <c r="BB87" s="168"/>
      <c r="BF87" s="57"/>
      <c r="BG87" s="57"/>
      <c r="BH87" s="57"/>
      <c r="BI87" s="139"/>
    </row>
    <row r="88" spans="1:61" ht="26" x14ac:dyDescent="0.6">
      <c r="A88" s="245"/>
      <c r="B88" s="241"/>
      <c r="C88" s="246"/>
      <c r="D88" s="247"/>
      <c r="E88" s="184"/>
      <c r="F88" s="187"/>
      <c r="G88" s="186"/>
      <c r="H88" s="186"/>
      <c r="I88" s="186"/>
      <c r="J88" s="186"/>
      <c r="K88" s="244"/>
      <c r="L88" s="184"/>
      <c r="M88" s="224"/>
      <c r="N88" s="207"/>
      <c r="O88" s="186"/>
      <c r="P88" s="186"/>
      <c r="Q88" s="186"/>
      <c r="R88" s="186"/>
      <c r="S88" s="186"/>
      <c r="T88" s="186"/>
      <c r="U88" s="186"/>
      <c r="V88" s="186"/>
      <c r="W88" s="186"/>
      <c r="X88" s="186"/>
      <c r="Y88" s="186"/>
      <c r="Z88" s="186"/>
      <c r="AA88" s="186"/>
      <c r="AB88" s="186"/>
      <c r="AC88" s="188"/>
      <c r="AD88" s="224"/>
      <c r="AE88" s="184"/>
      <c r="AF88" s="188"/>
      <c r="AG88" s="225"/>
      <c r="AH88" s="243"/>
      <c r="AI88" s="238"/>
      <c r="AJ88" s="243"/>
      <c r="AK88" s="207"/>
      <c r="AL88" s="210"/>
      <c r="AM88" s="193"/>
      <c r="AN88" s="216"/>
      <c r="AO88" s="240"/>
      <c r="AP88" s="162"/>
      <c r="AQ88" s="163"/>
      <c r="AR88" s="164"/>
      <c r="AS88" s="164"/>
      <c r="AT88" s="165"/>
      <c r="AU88" s="164"/>
      <c r="AV88" s="163"/>
      <c r="AW88" s="165"/>
      <c r="AX88" s="196"/>
      <c r="AY88" s="227"/>
      <c r="AZ88" s="166"/>
      <c r="BA88" s="167"/>
      <c r="BB88" s="168"/>
      <c r="BF88" s="57"/>
      <c r="BG88" s="57"/>
      <c r="BH88" s="57"/>
      <c r="BI88" s="139"/>
    </row>
    <row r="89" spans="1:61" ht="26" x14ac:dyDescent="0.6">
      <c r="A89" s="245"/>
      <c r="B89" s="241"/>
      <c r="C89" s="246"/>
      <c r="D89" s="247"/>
      <c r="E89" s="184"/>
      <c r="F89" s="187"/>
      <c r="G89" s="186"/>
      <c r="H89" s="186"/>
      <c r="I89" s="186"/>
      <c r="J89" s="186"/>
      <c r="K89" s="244"/>
      <c r="L89" s="184"/>
      <c r="M89" s="224"/>
      <c r="N89" s="207"/>
      <c r="O89" s="186"/>
      <c r="P89" s="186"/>
      <c r="Q89" s="186"/>
      <c r="R89" s="186"/>
      <c r="S89" s="186"/>
      <c r="T89" s="186"/>
      <c r="U89" s="186"/>
      <c r="V89" s="186"/>
      <c r="W89" s="186"/>
      <c r="X89" s="186"/>
      <c r="Y89" s="186"/>
      <c r="Z89" s="186"/>
      <c r="AA89" s="186"/>
      <c r="AB89" s="186"/>
      <c r="AC89" s="188"/>
      <c r="AD89" s="224"/>
      <c r="AE89" s="184"/>
      <c r="AF89" s="188"/>
      <c r="AG89" s="225"/>
      <c r="AH89" s="243"/>
      <c r="AI89" s="238"/>
      <c r="AJ89" s="243"/>
      <c r="AK89" s="207"/>
      <c r="AL89" s="210"/>
      <c r="AM89" s="193"/>
      <c r="AN89" s="216"/>
      <c r="AO89" s="240"/>
      <c r="AP89" s="162"/>
      <c r="AQ89" s="163"/>
      <c r="AR89" s="164"/>
      <c r="AS89" s="164"/>
      <c r="AT89" s="165"/>
      <c r="AU89" s="164"/>
      <c r="AV89" s="163"/>
      <c r="AW89" s="165"/>
      <c r="AX89" s="196"/>
      <c r="AY89" s="227"/>
      <c r="AZ89" s="166"/>
      <c r="BA89" s="167"/>
      <c r="BB89" s="168"/>
      <c r="BF89" s="57"/>
      <c r="BG89" s="57"/>
      <c r="BH89" s="57"/>
      <c r="BI89" s="139"/>
    </row>
    <row r="90" spans="1:61" ht="26" x14ac:dyDescent="0.6">
      <c r="A90" s="245"/>
      <c r="B90" s="241"/>
      <c r="C90" s="246"/>
      <c r="D90" s="242"/>
      <c r="E90" s="184"/>
      <c r="F90" s="187"/>
      <c r="G90" s="186"/>
      <c r="H90" s="186"/>
      <c r="I90" s="186"/>
      <c r="J90" s="186"/>
      <c r="K90" s="244"/>
      <c r="L90" s="184"/>
      <c r="M90" s="224"/>
      <c r="N90" s="207"/>
      <c r="O90" s="186"/>
      <c r="P90" s="186"/>
      <c r="Q90" s="186"/>
      <c r="R90" s="186"/>
      <c r="S90" s="186"/>
      <c r="T90" s="186"/>
      <c r="U90" s="186"/>
      <c r="V90" s="186"/>
      <c r="W90" s="186"/>
      <c r="X90" s="186"/>
      <c r="Y90" s="186"/>
      <c r="Z90" s="186"/>
      <c r="AA90" s="186"/>
      <c r="AB90" s="186"/>
      <c r="AC90" s="188"/>
      <c r="AD90" s="224"/>
      <c r="AE90" s="184"/>
      <c r="AF90" s="188"/>
      <c r="AG90" s="225"/>
      <c r="AH90" s="243"/>
      <c r="AI90" s="238"/>
      <c r="AJ90" s="243"/>
      <c r="AK90" s="207"/>
      <c r="AL90" s="210"/>
      <c r="AM90" s="193"/>
      <c r="AN90" s="216"/>
      <c r="AO90" s="240"/>
      <c r="AP90" s="162"/>
      <c r="AQ90" s="163"/>
      <c r="AR90" s="164"/>
      <c r="AS90" s="164"/>
      <c r="AT90" s="165"/>
      <c r="AU90" s="164"/>
      <c r="AV90" s="163"/>
      <c r="AW90" s="165"/>
      <c r="AX90" s="196"/>
      <c r="AY90" s="227"/>
      <c r="AZ90" s="166"/>
      <c r="BA90" s="167"/>
      <c r="BB90" s="168"/>
      <c r="BF90" s="57"/>
      <c r="BG90" s="57"/>
      <c r="BH90" s="57"/>
      <c r="BI90" s="139"/>
    </row>
    <row r="91" spans="1:61" ht="26" x14ac:dyDescent="0.6">
      <c r="A91" s="245"/>
      <c r="B91" s="241"/>
      <c r="C91" s="246"/>
      <c r="D91" s="242"/>
      <c r="E91" s="184"/>
      <c r="F91" s="187"/>
      <c r="G91" s="186"/>
      <c r="H91" s="186"/>
      <c r="I91" s="186"/>
      <c r="J91" s="186"/>
      <c r="K91" s="244"/>
      <c r="L91" s="184"/>
      <c r="M91" s="224"/>
      <c r="N91" s="207"/>
      <c r="O91" s="186"/>
      <c r="P91" s="186"/>
      <c r="Q91" s="186"/>
      <c r="R91" s="186"/>
      <c r="S91" s="186"/>
      <c r="T91" s="186"/>
      <c r="U91" s="186"/>
      <c r="V91" s="186"/>
      <c r="W91" s="186"/>
      <c r="X91" s="186"/>
      <c r="Y91" s="186"/>
      <c r="Z91" s="186"/>
      <c r="AA91" s="186"/>
      <c r="AB91" s="186"/>
      <c r="AC91" s="188"/>
      <c r="AD91" s="224"/>
      <c r="AE91" s="184"/>
      <c r="AF91" s="188"/>
      <c r="AG91" s="225"/>
      <c r="AH91" s="243"/>
      <c r="AI91" s="238"/>
      <c r="AJ91" s="243"/>
      <c r="AK91" s="207"/>
      <c r="AL91" s="210"/>
      <c r="AM91" s="193"/>
      <c r="AN91" s="216"/>
      <c r="AO91" s="240"/>
      <c r="AP91" s="162"/>
      <c r="AQ91" s="163"/>
      <c r="AR91" s="164"/>
      <c r="AS91" s="164"/>
      <c r="AT91" s="165"/>
      <c r="AU91" s="164"/>
      <c r="AV91" s="163"/>
      <c r="AW91" s="165"/>
      <c r="AX91" s="196"/>
      <c r="AY91" s="227"/>
      <c r="AZ91" s="166"/>
      <c r="BA91" s="167"/>
      <c r="BB91" s="168"/>
      <c r="BF91" s="57"/>
      <c r="BG91" s="57"/>
      <c r="BH91" s="57"/>
      <c r="BI91" s="139"/>
    </row>
    <row r="92" spans="1:61" ht="26" x14ac:dyDescent="0.6">
      <c r="A92" s="245"/>
      <c r="B92" s="241"/>
      <c r="C92" s="246"/>
      <c r="D92" s="247"/>
      <c r="E92" s="184"/>
      <c r="F92" s="187"/>
      <c r="G92" s="186"/>
      <c r="H92" s="186"/>
      <c r="I92" s="186"/>
      <c r="J92" s="186"/>
      <c r="K92" s="244"/>
      <c r="L92" s="184"/>
      <c r="M92" s="224"/>
      <c r="N92" s="207"/>
      <c r="O92" s="186"/>
      <c r="P92" s="186"/>
      <c r="Q92" s="186"/>
      <c r="R92" s="186"/>
      <c r="S92" s="186"/>
      <c r="T92" s="186"/>
      <c r="U92" s="186"/>
      <c r="V92" s="186"/>
      <c r="W92" s="186"/>
      <c r="X92" s="186"/>
      <c r="Y92" s="186"/>
      <c r="Z92" s="186"/>
      <c r="AA92" s="186"/>
      <c r="AB92" s="186"/>
      <c r="AC92" s="188"/>
      <c r="AD92" s="224"/>
      <c r="AE92" s="184"/>
      <c r="AF92" s="188"/>
      <c r="AG92" s="225"/>
      <c r="AH92" s="243"/>
      <c r="AI92" s="238"/>
      <c r="AJ92" s="243"/>
      <c r="AK92" s="207"/>
      <c r="AL92" s="210"/>
      <c r="AM92" s="193"/>
      <c r="AN92" s="216"/>
      <c r="AO92" s="240"/>
      <c r="AP92" s="162"/>
      <c r="AQ92" s="163"/>
      <c r="AR92" s="164"/>
      <c r="AS92" s="164"/>
      <c r="AT92" s="165"/>
      <c r="AU92" s="164"/>
      <c r="AV92" s="163"/>
      <c r="AW92" s="165"/>
      <c r="AX92" s="196"/>
      <c r="AY92" s="227"/>
      <c r="AZ92" s="166"/>
      <c r="BA92" s="167"/>
      <c r="BB92" s="168"/>
      <c r="BF92" s="57"/>
      <c r="BG92" s="57"/>
      <c r="BH92" s="57"/>
      <c r="BI92" s="139"/>
    </row>
    <row r="93" spans="1:61" ht="26" x14ac:dyDescent="0.6">
      <c r="A93" s="245"/>
      <c r="B93" s="241"/>
      <c r="C93" s="246"/>
      <c r="D93" s="247"/>
      <c r="E93" s="184"/>
      <c r="F93" s="187"/>
      <c r="G93" s="186"/>
      <c r="H93" s="186"/>
      <c r="I93" s="186"/>
      <c r="J93" s="186"/>
      <c r="K93" s="244"/>
      <c r="L93" s="184"/>
      <c r="M93" s="224"/>
      <c r="N93" s="207"/>
      <c r="O93" s="186"/>
      <c r="P93" s="186"/>
      <c r="Q93" s="186"/>
      <c r="R93" s="186"/>
      <c r="S93" s="186"/>
      <c r="T93" s="186"/>
      <c r="U93" s="186"/>
      <c r="V93" s="186"/>
      <c r="W93" s="186"/>
      <c r="X93" s="186"/>
      <c r="Y93" s="186"/>
      <c r="Z93" s="186"/>
      <c r="AA93" s="186"/>
      <c r="AB93" s="186"/>
      <c r="AC93" s="188"/>
      <c r="AD93" s="224"/>
      <c r="AE93" s="184"/>
      <c r="AF93" s="188"/>
      <c r="AG93" s="225"/>
      <c r="AH93" s="243"/>
      <c r="AI93" s="238"/>
      <c r="AJ93" s="243"/>
      <c r="AK93" s="207"/>
      <c r="AL93" s="210"/>
      <c r="AM93" s="193"/>
      <c r="AN93" s="216"/>
      <c r="AO93" s="240"/>
      <c r="AP93" s="162"/>
      <c r="AQ93" s="163"/>
      <c r="AR93" s="164"/>
      <c r="AS93" s="164"/>
      <c r="AT93" s="165"/>
      <c r="AU93" s="164"/>
      <c r="AV93" s="163"/>
      <c r="AW93" s="165"/>
      <c r="AX93" s="196"/>
      <c r="AY93" s="227"/>
      <c r="AZ93" s="166"/>
      <c r="BA93" s="167"/>
      <c r="BB93" s="168"/>
      <c r="BF93" s="57"/>
      <c r="BG93" s="57"/>
      <c r="BH93" s="57"/>
      <c r="BI93" s="139"/>
    </row>
    <row r="94" spans="1:61" ht="26" x14ac:dyDescent="0.6">
      <c r="A94" s="245"/>
      <c r="B94" s="241"/>
      <c r="C94" s="246"/>
      <c r="D94" s="247"/>
      <c r="E94" s="184"/>
      <c r="F94" s="187"/>
      <c r="G94" s="186"/>
      <c r="H94" s="186"/>
      <c r="I94" s="186"/>
      <c r="J94" s="186"/>
      <c r="K94" s="244"/>
      <c r="L94" s="184"/>
      <c r="M94" s="224"/>
      <c r="N94" s="207"/>
      <c r="O94" s="186"/>
      <c r="P94" s="186"/>
      <c r="Q94" s="186"/>
      <c r="R94" s="186"/>
      <c r="S94" s="186"/>
      <c r="T94" s="186"/>
      <c r="U94" s="186"/>
      <c r="V94" s="186"/>
      <c r="W94" s="186"/>
      <c r="X94" s="186"/>
      <c r="Y94" s="186"/>
      <c r="Z94" s="186"/>
      <c r="AA94" s="186"/>
      <c r="AB94" s="186"/>
      <c r="AC94" s="188"/>
      <c r="AD94" s="224"/>
      <c r="AE94" s="184"/>
      <c r="AF94" s="188"/>
      <c r="AG94" s="225"/>
      <c r="AH94" s="243"/>
      <c r="AI94" s="238"/>
      <c r="AJ94" s="243"/>
      <c r="AK94" s="207"/>
      <c r="AL94" s="210"/>
      <c r="AM94" s="193"/>
      <c r="AN94" s="216"/>
      <c r="AO94" s="240"/>
      <c r="AP94" s="162"/>
      <c r="AQ94" s="163"/>
      <c r="AR94" s="164"/>
      <c r="AS94" s="164"/>
      <c r="AT94" s="165"/>
      <c r="AU94" s="164"/>
      <c r="AV94" s="163"/>
      <c r="AW94" s="165"/>
      <c r="AX94" s="196"/>
      <c r="AY94" s="227"/>
      <c r="AZ94" s="166"/>
      <c r="BA94" s="167"/>
      <c r="BB94" s="168"/>
      <c r="BF94" s="57"/>
      <c r="BG94" s="57"/>
      <c r="BH94" s="57"/>
      <c r="BI94" s="139"/>
    </row>
    <row r="95" spans="1:61" ht="26" x14ac:dyDescent="0.6">
      <c r="A95" s="245"/>
      <c r="B95" s="241"/>
      <c r="C95" s="246"/>
      <c r="D95" s="247"/>
      <c r="E95" s="184"/>
      <c r="F95" s="187"/>
      <c r="G95" s="186"/>
      <c r="H95" s="186"/>
      <c r="I95" s="186"/>
      <c r="J95" s="186"/>
      <c r="K95" s="244"/>
      <c r="L95" s="184"/>
      <c r="M95" s="224"/>
      <c r="N95" s="207"/>
      <c r="O95" s="186"/>
      <c r="P95" s="186"/>
      <c r="Q95" s="186"/>
      <c r="R95" s="186"/>
      <c r="S95" s="186"/>
      <c r="T95" s="186"/>
      <c r="U95" s="186"/>
      <c r="V95" s="186"/>
      <c r="W95" s="186"/>
      <c r="X95" s="186"/>
      <c r="Y95" s="186"/>
      <c r="Z95" s="186"/>
      <c r="AA95" s="186"/>
      <c r="AB95" s="186"/>
      <c r="AC95" s="188"/>
      <c r="AD95" s="224"/>
      <c r="AE95" s="184"/>
      <c r="AF95" s="188"/>
      <c r="AG95" s="225"/>
      <c r="AH95" s="243"/>
      <c r="AI95" s="238"/>
      <c r="AJ95" s="243"/>
      <c r="AK95" s="207"/>
      <c r="AL95" s="210"/>
      <c r="AM95" s="193"/>
      <c r="AN95" s="216"/>
      <c r="AO95" s="240"/>
      <c r="AP95" s="162"/>
      <c r="AQ95" s="163"/>
      <c r="AR95" s="164"/>
      <c r="AS95" s="164"/>
      <c r="AT95" s="165"/>
      <c r="AU95" s="164"/>
      <c r="AV95" s="163"/>
      <c r="AW95" s="165"/>
      <c r="AX95" s="196"/>
      <c r="AY95" s="227"/>
      <c r="AZ95" s="166"/>
      <c r="BA95" s="167"/>
      <c r="BB95" s="168"/>
      <c r="BF95" s="57"/>
      <c r="BG95" s="57"/>
      <c r="BH95" s="57"/>
      <c r="BI95" s="139"/>
    </row>
    <row r="96" spans="1:61" ht="26" x14ac:dyDescent="0.6">
      <c r="A96" s="245"/>
      <c r="B96" s="241"/>
      <c r="C96" s="246"/>
      <c r="D96" s="247"/>
      <c r="E96" s="184"/>
      <c r="F96" s="187"/>
      <c r="G96" s="186"/>
      <c r="H96" s="186"/>
      <c r="I96" s="186"/>
      <c r="J96" s="186"/>
      <c r="K96" s="244"/>
      <c r="L96" s="184"/>
      <c r="M96" s="224"/>
      <c r="N96" s="207"/>
      <c r="O96" s="186"/>
      <c r="P96" s="186"/>
      <c r="Q96" s="186"/>
      <c r="R96" s="186"/>
      <c r="S96" s="186"/>
      <c r="T96" s="186"/>
      <c r="U96" s="186"/>
      <c r="V96" s="186"/>
      <c r="W96" s="186"/>
      <c r="X96" s="186"/>
      <c r="Y96" s="186"/>
      <c r="Z96" s="186"/>
      <c r="AA96" s="186"/>
      <c r="AB96" s="186"/>
      <c r="AC96" s="188"/>
      <c r="AD96" s="224"/>
      <c r="AE96" s="184"/>
      <c r="AF96" s="188"/>
      <c r="AG96" s="225"/>
      <c r="AH96" s="243"/>
      <c r="AI96" s="238"/>
      <c r="AJ96" s="243"/>
      <c r="AK96" s="207"/>
      <c r="AL96" s="210"/>
      <c r="AM96" s="193"/>
      <c r="AN96" s="216"/>
      <c r="AO96" s="240"/>
      <c r="AP96" s="162"/>
      <c r="AQ96" s="163"/>
      <c r="AR96" s="164"/>
      <c r="AS96" s="164"/>
      <c r="AT96" s="165"/>
      <c r="AU96" s="164"/>
      <c r="AV96" s="163"/>
      <c r="AW96" s="165"/>
      <c r="AX96" s="196"/>
      <c r="AY96" s="227"/>
      <c r="AZ96" s="166"/>
      <c r="BA96" s="167"/>
      <c r="BB96" s="168"/>
      <c r="BF96" s="57"/>
      <c r="BG96" s="57"/>
      <c r="BH96" s="57"/>
      <c r="BI96" s="139"/>
    </row>
    <row r="97" spans="1:61" ht="26" x14ac:dyDescent="0.6">
      <c r="A97" s="245"/>
      <c r="B97" s="241"/>
      <c r="C97" s="246"/>
      <c r="D97" s="247"/>
      <c r="E97" s="184"/>
      <c r="F97" s="187"/>
      <c r="G97" s="186"/>
      <c r="H97" s="186"/>
      <c r="I97" s="186"/>
      <c r="J97" s="186"/>
      <c r="K97" s="244"/>
      <c r="L97" s="184"/>
      <c r="M97" s="224"/>
      <c r="N97" s="207"/>
      <c r="O97" s="186"/>
      <c r="P97" s="186"/>
      <c r="Q97" s="186"/>
      <c r="R97" s="186"/>
      <c r="S97" s="186"/>
      <c r="T97" s="186"/>
      <c r="U97" s="186"/>
      <c r="V97" s="186"/>
      <c r="W97" s="186"/>
      <c r="X97" s="186"/>
      <c r="Y97" s="186"/>
      <c r="Z97" s="186"/>
      <c r="AA97" s="186"/>
      <c r="AB97" s="186"/>
      <c r="AC97" s="188"/>
      <c r="AD97" s="224"/>
      <c r="AE97" s="184"/>
      <c r="AF97" s="188"/>
      <c r="AG97" s="225"/>
      <c r="AH97" s="243"/>
      <c r="AI97" s="238"/>
      <c r="AJ97" s="243"/>
      <c r="AK97" s="207"/>
      <c r="AL97" s="210"/>
      <c r="AM97" s="193"/>
      <c r="AN97" s="216"/>
      <c r="AO97" s="240"/>
      <c r="AP97" s="162"/>
      <c r="AQ97" s="163"/>
      <c r="AR97" s="164"/>
      <c r="AS97" s="164"/>
      <c r="AT97" s="165"/>
      <c r="AU97" s="164"/>
      <c r="AV97" s="163"/>
      <c r="AW97" s="165"/>
      <c r="AX97" s="196"/>
      <c r="AY97" s="227"/>
      <c r="AZ97" s="166"/>
      <c r="BA97" s="167"/>
      <c r="BB97" s="168"/>
      <c r="BF97" s="57"/>
      <c r="BG97" s="57"/>
      <c r="BH97" s="57"/>
      <c r="BI97" s="139"/>
    </row>
    <row r="98" spans="1:61" ht="26" x14ac:dyDescent="0.6">
      <c r="A98" s="245"/>
      <c r="B98" s="241"/>
      <c r="C98" s="246"/>
      <c r="D98" s="247"/>
      <c r="E98" s="184"/>
      <c r="F98" s="187"/>
      <c r="G98" s="186"/>
      <c r="H98" s="186"/>
      <c r="I98" s="186"/>
      <c r="J98" s="186"/>
      <c r="K98" s="244"/>
      <c r="L98" s="184"/>
      <c r="M98" s="224"/>
      <c r="N98" s="207"/>
      <c r="O98" s="186"/>
      <c r="P98" s="186"/>
      <c r="Q98" s="186"/>
      <c r="R98" s="186"/>
      <c r="S98" s="186"/>
      <c r="T98" s="186"/>
      <c r="U98" s="186"/>
      <c r="V98" s="186"/>
      <c r="W98" s="186"/>
      <c r="X98" s="186"/>
      <c r="Y98" s="186"/>
      <c r="Z98" s="186"/>
      <c r="AA98" s="186"/>
      <c r="AB98" s="186"/>
      <c r="AC98" s="188"/>
      <c r="AD98" s="224"/>
      <c r="AE98" s="184"/>
      <c r="AF98" s="188"/>
      <c r="AG98" s="225"/>
      <c r="AH98" s="243"/>
      <c r="AI98" s="238"/>
      <c r="AJ98" s="243"/>
      <c r="AK98" s="207"/>
      <c r="AL98" s="210"/>
      <c r="AM98" s="193"/>
      <c r="AN98" s="216"/>
      <c r="AO98" s="240"/>
      <c r="AP98" s="162"/>
      <c r="AQ98" s="163"/>
      <c r="AR98" s="164"/>
      <c r="AS98" s="164"/>
      <c r="AT98" s="165"/>
      <c r="AU98" s="164"/>
      <c r="AV98" s="163"/>
      <c r="AW98" s="165"/>
      <c r="AX98" s="196"/>
      <c r="AY98" s="227"/>
      <c r="AZ98" s="166"/>
      <c r="BA98" s="167"/>
      <c r="BB98" s="168"/>
      <c r="BF98" s="57"/>
      <c r="BG98" s="57"/>
      <c r="BH98" s="57"/>
      <c r="BI98" s="139"/>
    </row>
    <row r="99" spans="1:61" ht="26" x14ac:dyDescent="0.6">
      <c r="A99" s="245"/>
      <c r="B99" s="241"/>
      <c r="C99" s="246"/>
      <c r="D99" s="247"/>
      <c r="E99" s="184"/>
      <c r="F99" s="187"/>
      <c r="G99" s="186"/>
      <c r="H99" s="186"/>
      <c r="I99" s="186"/>
      <c r="J99" s="186"/>
      <c r="K99" s="244"/>
      <c r="L99" s="184"/>
      <c r="M99" s="224"/>
      <c r="N99" s="207"/>
      <c r="O99" s="186"/>
      <c r="P99" s="186"/>
      <c r="Q99" s="186"/>
      <c r="R99" s="186"/>
      <c r="S99" s="186"/>
      <c r="T99" s="186"/>
      <c r="U99" s="186"/>
      <c r="V99" s="186"/>
      <c r="W99" s="186"/>
      <c r="X99" s="186"/>
      <c r="Y99" s="186"/>
      <c r="Z99" s="186"/>
      <c r="AA99" s="186"/>
      <c r="AB99" s="186"/>
      <c r="AC99" s="188"/>
      <c r="AD99" s="224"/>
      <c r="AE99" s="184"/>
      <c r="AF99" s="188"/>
      <c r="AG99" s="225"/>
      <c r="AH99" s="243"/>
      <c r="AI99" s="238"/>
      <c r="AJ99" s="243"/>
      <c r="AK99" s="207"/>
      <c r="AL99" s="210"/>
      <c r="AM99" s="193"/>
      <c r="AN99" s="216"/>
      <c r="AO99" s="240"/>
      <c r="AP99" s="162"/>
      <c r="AQ99" s="163"/>
      <c r="AR99" s="164"/>
      <c r="AS99" s="164"/>
      <c r="AT99" s="165"/>
      <c r="AU99" s="164"/>
      <c r="AV99" s="163"/>
      <c r="AW99" s="165"/>
      <c r="AX99" s="196"/>
      <c r="AY99" s="227"/>
      <c r="AZ99" s="166"/>
      <c r="BA99" s="167"/>
      <c r="BB99" s="168"/>
      <c r="BF99" s="57"/>
      <c r="BG99" s="57"/>
      <c r="BH99" s="57"/>
      <c r="BI99" s="139"/>
    </row>
    <row r="100" spans="1:61" ht="26" x14ac:dyDescent="0.6">
      <c r="A100" s="245"/>
      <c r="B100" s="241"/>
      <c r="C100" s="246"/>
      <c r="D100" s="247"/>
      <c r="E100" s="184"/>
      <c r="F100" s="187"/>
      <c r="G100" s="186"/>
      <c r="H100" s="186"/>
      <c r="I100" s="186"/>
      <c r="J100" s="186"/>
      <c r="K100" s="244"/>
      <c r="L100" s="184"/>
      <c r="M100" s="224"/>
      <c r="N100" s="207"/>
      <c r="O100" s="186"/>
      <c r="P100" s="186"/>
      <c r="Q100" s="186"/>
      <c r="R100" s="186"/>
      <c r="S100" s="186"/>
      <c r="T100" s="186"/>
      <c r="U100" s="186"/>
      <c r="V100" s="186"/>
      <c r="W100" s="186"/>
      <c r="X100" s="186"/>
      <c r="Y100" s="186"/>
      <c r="Z100" s="186"/>
      <c r="AA100" s="186"/>
      <c r="AB100" s="186"/>
      <c r="AC100" s="188"/>
      <c r="AD100" s="224"/>
      <c r="AE100" s="184"/>
      <c r="AF100" s="188"/>
      <c r="AG100" s="225"/>
      <c r="AH100" s="243"/>
      <c r="AI100" s="238"/>
      <c r="AJ100" s="243"/>
      <c r="AK100" s="207"/>
      <c r="AL100" s="210"/>
      <c r="AM100" s="193"/>
      <c r="AN100" s="216"/>
      <c r="AO100" s="240"/>
      <c r="AP100" s="162"/>
      <c r="AQ100" s="163"/>
      <c r="AR100" s="164"/>
      <c r="AS100" s="164"/>
      <c r="AT100" s="165"/>
      <c r="AU100" s="164"/>
      <c r="AV100" s="163"/>
      <c r="AW100" s="165"/>
      <c r="AX100" s="196"/>
      <c r="AY100" s="227"/>
      <c r="AZ100" s="166"/>
      <c r="BA100" s="167"/>
      <c r="BB100" s="168"/>
      <c r="BF100" s="57"/>
      <c r="BG100" s="57"/>
      <c r="BH100" s="57"/>
      <c r="BI100" s="139"/>
    </row>
    <row r="101" spans="1:61" ht="26" x14ac:dyDescent="0.6">
      <c r="A101" s="245"/>
      <c r="B101" s="241"/>
      <c r="C101" s="246"/>
      <c r="D101" s="247"/>
      <c r="E101" s="184"/>
      <c r="F101" s="187"/>
      <c r="G101" s="186"/>
      <c r="H101" s="186"/>
      <c r="I101" s="186"/>
      <c r="J101" s="186"/>
      <c r="K101" s="244"/>
      <c r="L101" s="184"/>
      <c r="M101" s="224"/>
      <c r="N101" s="207"/>
      <c r="O101" s="186"/>
      <c r="P101" s="186"/>
      <c r="Q101" s="186"/>
      <c r="R101" s="186"/>
      <c r="S101" s="186"/>
      <c r="T101" s="186"/>
      <c r="U101" s="186"/>
      <c r="V101" s="186"/>
      <c r="W101" s="186"/>
      <c r="X101" s="186"/>
      <c r="Y101" s="186"/>
      <c r="Z101" s="186"/>
      <c r="AA101" s="186"/>
      <c r="AB101" s="186"/>
      <c r="AC101" s="188"/>
      <c r="AD101" s="224"/>
      <c r="AE101" s="184"/>
      <c r="AF101" s="188"/>
      <c r="AG101" s="225"/>
      <c r="AH101" s="243"/>
      <c r="AI101" s="238"/>
      <c r="AJ101" s="243"/>
      <c r="AK101" s="207"/>
      <c r="AL101" s="210"/>
      <c r="AM101" s="193"/>
      <c r="AN101" s="216"/>
      <c r="AO101" s="240"/>
      <c r="AP101" s="162"/>
      <c r="AQ101" s="163"/>
      <c r="AR101" s="164"/>
      <c r="AS101" s="164"/>
      <c r="AT101" s="165"/>
      <c r="AU101" s="164"/>
      <c r="AV101" s="163"/>
      <c r="AW101" s="165"/>
      <c r="AX101" s="196"/>
      <c r="AY101" s="227"/>
      <c r="AZ101" s="166"/>
      <c r="BA101" s="167"/>
      <c r="BB101" s="168"/>
      <c r="BE101" s="57"/>
      <c r="BF101" s="57"/>
      <c r="BG101" s="57"/>
      <c r="BH101" s="57"/>
      <c r="BI101" s="139"/>
    </row>
    <row r="102" spans="1:61" ht="26" x14ac:dyDescent="0.6">
      <c r="A102" s="245"/>
      <c r="B102" s="241"/>
      <c r="C102" s="246"/>
      <c r="D102" s="247"/>
      <c r="E102" s="184"/>
      <c r="F102" s="187"/>
      <c r="G102" s="186"/>
      <c r="H102" s="186"/>
      <c r="I102" s="186"/>
      <c r="J102" s="186"/>
      <c r="K102" s="244"/>
      <c r="L102" s="184"/>
      <c r="M102" s="224"/>
      <c r="N102" s="207"/>
      <c r="O102" s="186"/>
      <c r="P102" s="186"/>
      <c r="Q102" s="186"/>
      <c r="R102" s="186"/>
      <c r="S102" s="186"/>
      <c r="T102" s="186"/>
      <c r="U102" s="186"/>
      <c r="V102" s="186"/>
      <c r="W102" s="186"/>
      <c r="X102" s="186"/>
      <c r="Y102" s="186"/>
      <c r="Z102" s="186"/>
      <c r="AA102" s="186"/>
      <c r="AB102" s="186"/>
      <c r="AC102" s="188"/>
      <c r="AD102" s="224"/>
      <c r="AE102" s="184"/>
      <c r="AF102" s="188"/>
      <c r="AG102" s="225"/>
      <c r="AH102" s="243"/>
      <c r="AI102" s="238"/>
      <c r="AJ102" s="243"/>
      <c r="AK102" s="207"/>
      <c r="AL102" s="210"/>
      <c r="AM102" s="193"/>
      <c r="AN102" s="216"/>
      <c r="AO102" s="240"/>
      <c r="AP102" s="162"/>
      <c r="AQ102" s="163"/>
      <c r="AR102" s="164"/>
      <c r="AS102" s="164"/>
      <c r="AT102" s="165"/>
      <c r="AU102" s="164"/>
      <c r="AV102" s="163"/>
      <c r="AW102" s="165"/>
      <c r="AX102" s="196"/>
      <c r="AY102" s="227"/>
      <c r="AZ102" s="166"/>
      <c r="BA102" s="167"/>
      <c r="BB102" s="168"/>
      <c r="BE102" s="57"/>
      <c r="BF102" s="57"/>
      <c r="BG102" s="57"/>
      <c r="BH102" s="57"/>
      <c r="BI102" s="139"/>
    </row>
    <row r="103" spans="1:61" ht="26" x14ac:dyDescent="0.6">
      <c r="A103" s="245"/>
      <c r="B103" s="241"/>
      <c r="C103" s="246"/>
      <c r="D103" s="247"/>
      <c r="E103" s="184"/>
      <c r="F103" s="187"/>
      <c r="G103" s="186"/>
      <c r="H103" s="186"/>
      <c r="I103" s="186"/>
      <c r="J103" s="186"/>
      <c r="K103" s="244"/>
      <c r="L103" s="184"/>
      <c r="M103" s="224"/>
      <c r="N103" s="207"/>
      <c r="O103" s="186"/>
      <c r="P103" s="186"/>
      <c r="Q103" s="186"/>
      <c r="R103" s="186"/>
      <c r="S103" s="186"/>
      <c r="T103" s="186"/>
      <c r="U103" s="186"/>
      <c r="V103" s="186"/>
      <c r="W103" s="186"/>
      <c r="X103" s="186"/>
      <c r="Y103" s="186"/>
      <c r="Z103" s="186"/>
      <c r="AA103" s="186"/>
      <c r="AB103" s="186"/>
      <c r="AC103" s="188"/>
      <c r="AD103" s="224"/>
      <c r="AE103" s="184"/>
      <c r="AF103" s="188"/>
      <c r="AG103" s="225"/>
      <c r="AH103" s="243"/>
      <c r="AI103" s="238"/>
      <c r="AJ103" s="243"/>
      <c r="AK103" s="207"/>
      <c r="AL103" s="210"/>
      <c r="AM103" s="193"/>
      <c r="AN103" s="216"/>
      <c r="AO103" s="240"/>
      <c r="AP103" s="162"/>
      <c r="AQ103" s="163"/>
      <c r="AR103" s="164"/>
      <c r="AS103" s="164"/>
      <c r="AT103" s="165"/>
      <c r="AU103" s="164"/>
      <c r="AV103" s="163"/>
      <c r="AW103" s="165"/>
      <c r="AX103" s="196"/>
      <c r="AY103" s="227"/>
      <c r="AZ103" s="166"/>
      <c r="BA103" s="167"/>
      <c r="BB103" s="168"/>
      <c r="BE103" s="57"/>
      <c r="BF103" s="57"/>
      <c r="BG103" s="57"/>
      <c r="BH103" s="57"/>
      <c r="BI103" s="139"/>
    </row>
    <row r="104" spans="1:61" ht="26" x14ac:dyDescent="0.6">
      <c r="A104" s="245"/>
      <c r="B104" s="241"/>
      <c r="C104" s="246"/>
      <c r="D104" s="247"/>
      <c r="E104" s="184"/>
      <c r="F104" s="187"/>
      <c r="G104" s="186"/>
      <c r="H104" s="186"/>
      <c r="I104" s="186"/>
      <c r="J104" s="186"/>
      <c r="K104" s="244"/>
      <c r="L104" s="184"/>
      <c r="M104" s="224"/>
      <c r="N104" s="207"/>
      <c r="O104" s="186"/>
      <c r="P104" s="186"/>
      <c r="Q104" s="186"/>
      <c r="R104" s="186"/>
      <c r="S104" s="186"/>
      <c r="T104" s="186"/>
      <c r="U104" s="186"/>
      <c r="V104" s="186"/>
      <c r="W104" s="186"/>
      <c r="X104" s="186"/>
      <c r="Y104" s="186"/>
      <c r="Z104" s="186"/>
      <c r="AA104" s="186"/>
      <c r="AB104" s="186"/>
      <c r="AC104" s="188"/>
      <c r="AD104" s="224"/>
      <c r="AE104" s="184"/>
      <c r="AF104" s="188"/>
      <c r="AG104" s="225"/>
      <c r="AH104" s="243"/>
      <c r="AI104" s="238"/>
      <c r="AJ104" s="243"/>
      <c r="AK104" s="207"/>
      <c r="AL104" s="210"/>
      <c r="AM104" s="193"/>
      <c r="AN104" s="216"/>
      <c r="AO104" s="240"/>
      <c r="AP104" s="162"/>
      <c r="AQ104" s="163"/>
      <c r="AR104" s="164"/>
      <c r="AS104" s="164"/>
      <c r="AT104" s="165"/>
      <c r="AU104" s="164"/>
      <c r="AV104" s="163"/>
      <c r="AW104" s="165"/>
      <c r="AX104" s="196"/>
      <c r="AY104" s="227"/>
      <c r="AZ104" s="166"/>
      <c r="BA104" s="167"/>
      <c r="BB104" s="168"/>
      <c r="BF104" s="57"/>
      <c r="BG104" s="57"/>
      <c r="BH104" s="57"/>
      <c r="BI104" s="139"/>
    </row>
    <row r="105" spans="1:61" ht="26" x14ac:dyDescent="0.6">
      <c r="A105" s="245"/>
      <c r="B105" s="241"/>
      <c r="C105" s="246"/>
      <c r="D105" s="242"/>
      <c r="E105" s="184"/>
      <c r="F105" s="187"/>
      <c r="G105" s="186"/>
      <c r="H105" s="186"/>
      <c r="I105" s="186"/>
      <c r="J105" s="186"/>
      <c r="K105" s="244"/>
      <c r="L105" s="184"/>
      <c r="M105" s="224"/>
      <c r="N105" s="207"/>
      <c r="O105" s="186"/>
      <c r="P105" s="186"/>
      <c r="Q105" s="186"/>
      <c r="R105" s="186"/>
      <c r="S105" s="186"/>
      <c r="T105" s="186"/>
      <c r="U105" s="186"/>
      <c r="V105" s="186"/>
      <c r="W105" s="186"/>
      <c r="X105" s="186"/>
      <c r="Y105" s="186"/>
      <c r="Z105" s="186"/>
      <c r="AA105" s="186"/>
      <c r="AB105" s="186"/>
      <c r="AC105" s="188"/>
      <c r="AD105" s="224"/>
      <c r="AE105" s="184"/>
      <c r="AF105" s="188"/>
      <c r="AG105" s="225"/>
      <c r="AH105" s="243"/>
      <c r="AI105" s="238"/>
      <c r="AJ105" s="243"/>
      <c r="AK105" s="207"/>
      <c r="AL105" s="210"/>
      <c r="AM105" s="193"/>
      <c r="AN105" s="216"/>
      <c r="AO105" s="240"/>
      <c r="AP105" s="162"/>
      <c r="AQ105" s="163"/>
      <c r="AR105" s="164"/>
      <c r="AS105" s="164"/>
      <c r="AT105" s="165"/>
      <c r="AU105" s="164"/>
      <c r="AV105" s="163"/>
      <c r="AW105" s="165"/>
      <c r="AX105" s="196"/>
      <c r="AY105" s="227"/>
      <c r="AZ105" s="166"/>
      <c r="BA105" s="167"/>
      <c r="BB105" s="168"/>
      <c r="BF105" s="57"/>
      <c r="BG105" s="57"/>
      <c r="BH105" s="57"/>
      <c r="BI105" s="139"/>
    </row>
    <row r="106" spans="1:61" ht="26" x14ac:dyDescent="0.6">
      <c r="A106" s="245"/>
      <c r="B106" s="241"/>
      <c r="C106" s="246"/>
      <c r="D106" s="247"/>
      <c r="E106" s="184"/>
      <c r="F106" s="187"/>
      <c r="G106" s="186"/>
      <c r="H106" s="186"/>
      <c r="I106" s="186"/>
      <c r="J106" s="186"/>
      <c r="K106" s="244"/>
      <c r="L106" s="184"/>
      <c r="M106" s="224"/>
      <c r="N106" s="207"/>
      <c r="O106" s="186"/>
      <c r="P106" s="186"/>
      <c r="Q106" s="186"/>
      <c r="R106" s="186"/>
      <c r="S106" s="186"/>
      <c r="T106" s="186"/>
      <c r="U106" s="186"/>
      <c r="V106" s="186"/>
      <c r="W106" s="186"/>
      <c r="X106" s="186"/>
      <c r="Y106" s="186"/>
      <c r="Z106" s="186"/>
      <c r="AA106" s="186"/>
      <c r="AB106" s="186"/>
      <c r="AC106" s="188"/>
      <c r="AD106" s="224"/>
      <c r="AE106" s="184"/>
      <c r="AF106" s="188"/>
      <c r="AG106" s="225"/>
      <c r="AH106" s="243"/>
      <c r="AI106" s="238"/>
      <c r="AJ106" s="243"/>
      <c r="AK106" s="207"/>
      <c r="AL106" s="210"/>
      <c r="AM106" s="193"/>
      <c r="AN106" s="216"/>
      <c r="AO106" s="240"/>
      <c r="AP106" s="162"/>
      <c r="AQ106" s="163"/>
      <c r="AR106" s="164"/>
      <c r="AS106" s="164"/>
      <c r="AT106" s="165"/>
      <c r="AU106" s="164"/>
      <c r="AV106" s="163"/>
      <c r="AW106" s="165"/>
      <c r="AX106" s="196"/>
      <c r="AY106" s="227"/>
      <c r="AZ106" s="166"/>
      <c r="BA106" s="167"/>
      <c r="BB106" s="168"/>
      <c r="BF106" s="57"/>
      <c r="BG106" s="57"/>
      <c r="BH106" s="57"/>
      <c r="BI106" s="139"/>
    </row>
    <row r="107" spans="1:61" ht="26" x14ac:dyDescent="0.6">
      <c r="A107" s="245"/>
      <c r="B107" s="241"/>
      <c r="C107" s="246"/>
      <c r="D107" s="242"/>
      <c r="E107" s="184"/>
      <c r="F107" s="187"/>
      <c r="G107" s="186"/>
      <c r="H107" s="186"/>
      <c r="I107" s="186"/>
      <c r="J107" s="186"/>
      <c r="K107" s="244"/>
      <c r="L107" s="184"/>
      <c r="M107" s="224"/>
      <c r="N107" s="207"/>
      <c r="O107" s="186"/>
      <c r="P107" s="186"/>
      <c r="Q107" s="186"/>
      <c r="R107" s="186"/>
      <c r="S107" s="186"/>
      <c r="T107" s="186"/>
      <c r="U107" s="186"/>
      <c r="V107" s="186"/>
      <c r="W107" s="186"/>
      <c r="X107" s="186"/>
      <c r="Y107" s="186"/>
      <c r="Z107" s="186"/>
      <c r="AA107" s="186"/>
      <c r="AB107" s="186"/>
      <c r="AC107" s="188"/>
      <c r="AD107" s="224"/>
      <c r="AE107" s="184"/>
      <c r="AF107" s="188"/>
      <c r="AG107" s="225"/>
      <c r="AH107" s="243"/>
      <c r="AI107" s="238"/>
      <c r="AJ107" s="243"/>
      <c r="AK107" s="207"/>
      <c r="AL107" s="210"/>
      <c r="AM107" s="193"/>
      <c r="AN107" s="216"/>
      <c r="AO107" s="240"/>
      <c r="AP107" s="162"/>
      <c r="AQ107" s="163"/>
      <c r="AR107" s="164"/>
      <c r="AS107" s="164"/>
      <c r="AT107" s="165"/>
      <c r="AU107" s="164"/>
      <c r="AV107" s="163"/>
      <c r="AW107" s="165"/>
      <c r="AX107" s="196"/>
      <c r="AY107" s="227"/>
      <c r="AZ107" s="166"/>
      <c r="BA107" s="167"/>
      <c r="BB107" s="168"/>
      <c r="BE107" s="57"/>
      <c r="BF107" s="57"/>
      <c r="BG107" s="57"/>
      <c r="BH107" s="57"/>
      <c r="BI107" s="139"/>
    </row>
    <row r="108" spans="1:61" ht="26" x14ac:dyDescent="0.6">
      <c r="A108" s="245"/>
      <c r="B108" s="241"/>
      <c r="C108" s="246"/>
      <c r="D108" s="242"/>
      <c r="E108" s="184"/>
      <c r="F108" s="187"/>
      <c r="G108" s="186"/>
      <c r="H108" s="186"/>
      <c r="I108" s="186"/>
      <c r="J108" s="186"/>
      <c r="K108" s="244"/>
      <c r="L108" s="184"/>
      <c r="M108" s="224"/>
      <c r="N108" s="207"/>
      <c r="O108" s="186"/>
      <c r="P108" s="186"/>
      <c r="Q108" s="186"/>
      <c r="R108" s="186"/>
      <c r="S108" s="186"/>
      <c r="T108" s="186"/>
      <c r="U108" s="186"/>
      <c r="V108" s="186"/>
      <c r="W108" s="186"/>
      <c r="X108" s="186"/>
      <c r="Y108" s="186"/>
      <c r="Z108" s="186"/>
      <c r="AA108" s="186"/>
      <c r="AB108" s="186"/>
      <c r="AC108" s="188"/>
      <c r="AD108" s="224"/>
      <c r="AE108" s="184"/>
      <c r="AF108" s="188"/>
      <c r="AG108" s="225"/>
      <c r="AH108" s="243"/>
      <c r="AI108" s="238"/>
      <c r="AJ108" s="243"/>
      <c r="AK108" s="207"/>
      <c r="AL108" s="210"/>
      <c r="AM108" s="193"/>
      <c r="AN108" s="216"/>
      <c r="AO108" s="240"/>
      <c r="AP108" s="162"/>
      <c r="AQ108" s="163"/>
      <c r="AR108" s="164"/>
      <c r="AS108" s="164"/>
      <c r="AT108" s="165"/>
      <c r="AU108" s="164"/>
      <c r="AV108" s="163"/>
      <c r="AW108" s="165"/>
      <c r="AX108" s="196"/>
      <c r="AY108" s="227"/>
      <c r="AZ108" s="166"/>
      <c r="BA108" s="167"/>
      <c r="BB108" s="168"/>
      <c r="BF108" s="57"/>
      <c r="BG108" s="57"/>
      <c r="BH108" s="57"/>
      <c r="BI108" s="139"/>
    </row>
    <row r="109" spans="1:61" ht="26" x14ac:dyDescent="0.6">
      <c r="A109" s="245"/>
      <c r="B109" s="241"/>
      <c r="C109" s="246"/>
      <c r="D109" s="242"/>
      <c r="E109" s="184"/>
      <c r="F109" s="187"/>
      <c r="G109" s="186"/>
      <c r="H109" s="186"/>
      <c r="I109" s="186"/>
      <c r="J109" s="186"/>
      <c r="K109" s="244"/>
      <c r="L109" s="184"/>
      <c r="M109" s="224"/>
      <c r="N109" s="207"/>
      <c r="O109" s="186"/>
      <c r="P109" s="186"/>
      <c r="Q109" s="186"/>
      <c r="R109" s="186"/>
      <c r="S109" s="186"/>
      <c r="T109" s="186"/>
      <c r="U109" s="186"/>
      <c r="V109" s="186"/>
      <c r="W109" s="186"/>
      <c r="X109" s="186"/>
      <c r="Y109" s="186"/>
      <c r="Z109" s="186"/>
      <c r="AA109" s="186"/>
      <c r="AB109" s="186"/>
      <c r="AC109" s="188"/>
      <c r="AD109" s="224"/>
      <c r="AE109" s="184"/>
      <c r="AF109" s="188"/>
      <c r="AG109" s="225"/>
      <c r="AH109" s="243"/>
      <c r="AI109" s="238"/>
      <c r="AJ109" s="243"/>
      <c r="AK109" s="207"/>
      <c r="AL109" s="210"/>
      <c r="AM109" s="193"/>
      <c r="AN109" s="216"/>
      <c r="AO109" s="240"/>
      <c r="AP109" s="162"/>
      <c r="AQ109" s="163"/>
      <c r="AR109" s="164"/>
      <c r="AS109" s="164"/>
      <c r="AT109" s="165"/>
      <c r="AU109" s="164"/>
      <c r="AV109" s="163"/>
      <c r="AW109" s="165"/>
      <c r="AX109" s="196"/>
      <c r="AY109" s="227"/>
      <c r="AZ109" s="166"/>
      <c r="BA109" s="167"/>
      <c r="BB109" s="168"/>
      <c r="BF109" s="57"/>
      <c r="BG109" s="57"/>
      <c r="BH109" s="57"/>
      <c r="BI109" s="139"/>
    </row>
    <row r="110" spans="1:61" ht="26" x14ac:dyDescent="0.6">
      <c r="A110" s="245"/>
      <c r="B110" s="241"/>
      <c r="C110" s="246"/>
      <c r="D110" s="242"/>
      <c r="E110" s="184"/>
      <c r="F110" s="187"/>
      <c r="G110" s="186"/>
      <c r="H110" s="186"/>
      <c r="I110" s="186"/>
      <c r="J110" s="186"/>
      <c r="K110" s="244"/>
      <c r="L110" s="184"/>
      <c r="M110" s="224"/>
      <c r="N110" s="207"/>
      <c r="O110" s="186"/>
      <c r="P110" s="186"/>
      <c r="Q110" s="186"/>
      <c r="R110" s="186"/>
      <c r="S110" s="186"/>
      <c r="T110" s="186"/>
      <c r="U110" s="186"/>
      <c r="V110" s="186"/>
      <c r="W110" s="186"/>
      <c r="X110" s="186"/>
      <c r="Y110" s="186"/>
      <c r="Z110" s="186"/>
      <c r="AA110" s="186"/>
      <c r="AB110" s="186"/>
      <c r="AC110" s="188"/>
      <c r="AD110" s="224"/>
      <c r="AE110" s="184"/>
      <c r="AF110" s="188"/>
      <c r="AG110" s="225"/>
      <c r="AH110" s="243"/>
      <c r="AI110" s="238"/>
      <c r="AJ110" s="243"/>
      <c r="AK110" s="207"/>
      <c r="AL110" s="210"/>
      <c r="AM110" s="193"/>
      <c r="AN110" s="216"/>
      <c r="AO110" s="240"/>
      <c r="AP110" s="162"/>
      <c r="AQ110" s="163"/>
      <c r="AR110" s="164"/>
      <c r="AS110" s="164"/>
      <c r="AT110" s="165"/>
      <c r="AU110" s="164"/>
      <c r="AV110" s="163"/>
      <c r="AW110" s="165"/>
      <c r="AX110" s="196"/>
      <c r="AY110" s="227"/>
      <c r="AZ110" s="166"/>
      <c r="BA110" s="167"/>
      <c r="BB110" s="168"/>
      <c r="BF110" s="57"/>
      <c r="BG110" s="57"/>
      <c r="BH110" s="57"/>
      <c r="BI110" s="139"/>
    </row>
    <row r="111" spans="1:61" ht="26" x14ac:dyDescent="0.6">
      <c r="A111" s="245"/>
      <c r="B111" s="241"/>
      <c r="C111" s="246"/>
      <c r="D111" s="247"/>
      <c r="E111" s="184"/>
      <c r="F111" s="187"/>
      <c r="G111" s="186"/>
      <c r="H111" s="186"/>
      <c r="I111" s="186"/>
      <c r="J111" s="186"/>
      <c r="K111" s="244"/>
      <c r="L111" s="184"/>
      <c r="M111" s="224"/>
      <c r="N111" s="207"/>
      <c r="O111" s="186"/>
      <c r="P111" s="186"/>
      <c r="Q111" s="186"/>
      <c r="R111" s="186"/>
      <c r="S111" s="186"/>
      <c r="T111" s="186"/>
      <c r="U111" s="186"/>
      <c r="V111" s="186"/>
      <c r="W111" s="186"/>
      <c r="X111" s="186"/>
      <c r="Y111" s="186"/>
      <c r="Z111" s="186"/>
      <c r="AA111" s="186"/>
      <c r="AB111" s="186"/>
      <c r="AC111" s="188"/>
      <c r="AD111" s="224"/>
      <c r="AE111" s="184"/>
      <c r="AF111" s="188"/>
      <c r="AG111" s="225"/>
      <c r="AH111" s="243"/>
      <c r="AI111" s="238"/>
      <c r="AJ111" s="243"/>
      <c r="AK111" s="207"/>
      <c r="AL111" s="210"/>
      <c r="AM111" s="193"/>
      <c r="AN111" s="216"/>
      <c r="AO111" s="240"/>
      <c r="AP111" s="162"/>
      <c r="AQ111" s="163"/>
      <c r="AR111" s="164"/>
      <c r="AS111" s="164"/>
      <c r="AT111" s="165"/>
      <c r="AU111" s="164"/>
      <c r="AV111" s="163"/>
      <c r="AW111" s="165"/>
      <c r="AX111" s="196"/>
      <c r="AY111" s="227"/>
      <c r="AZ111" s="166"/>
      <c r="BA111" s="167"/>
      <c r="BB111" s="168"/>
      <c r="BF111" s="57"/>
      <c r="BG111" s="57"/>
      <c r="BH111" s="57"/>
      <c r="BI111" s="139"/>
    </row>
    <row r="112" spans="1:61" ht="26" x14ac:dyDescent="0.6">
      <c r="A112" s="245"/>
      <c r="B112" s="241"/>
      <c r="C112" s="246"/>
      <c r="D112" s="247"/>
      <c r="E112" s="184"/>
      <c r="F112" s="187"/>
      <c r="G112" s="186"/>
      <c r="H112" s="186"/>
      <c r="I112" s="186"/>
      <c r="J112" s="186"/>
      <c r="K112" s="244"/>
      <c r="L112" s="184"/>
      <c r="M112" s="224"/>
      <c r="N112" s="207"/>
      <c r="O112" s="186"/>
      <c r="P112" s="186"/>
      <c r="Q112" s="186"/>
      <c r="R112" s="186"/>
      <c r="S112" s="186"/>
      <c r="T112" s="186"/>
      <c r="U112" s="186"/>
      <c r="V112" s="186"/>
      <c r="W112" s="186"/>
      <c r="X112" s="186"/>
      <c r="Y112" s="186"/>
      <c r="Z112" s="186"/>
      <c r="AA112" s="186"/>
      <c r="AB112" s="186"/>
      <c r="AC112" s="188"/>
      <c r="AD112" s="224"/>
      <c r="AE112" s="184"/>
      <c r="AF112" s="188"/>
      <c r="AG112" s="225"/>
      <c r="AH112" s="243"/>
      <c r="AI112" s="238"/>
      <c r="AJ112" s="243"/>
      <c r="AK112" s="207"/>
      <c r="AL112" s="210"/>
      <c r="AM112" s="193"/>
      <c r="AN112" s="216"/>
      <c r="AO112" s="240"/>
      <c r="AP112" s="162"/>
      <c r="AQ112" s="163"/>
      <c r="AR112" s="164"/>
      <c r="AS112" s="164"/>
      <c r="AT112" s="165"/>
      <c r="AU112" s="164"/>
      <c r="AV112" s="163"/>
      <c r="AW112" s="165"/>
      <c r="AX112" s="196"/>
      <c r="AY112" s="227"/>
      <c r="AZ112" s="166"/>
      <c r="BA112" s="167"/>
      <c r="BB112" s="168"/>
      <c r="BF112" s="57"/>
      <c r="BG112" s="57"/>
      <c r="BH112" s="57"/>
      <c r="BI112" s="139"/>
    </row>
    <row r="113" spans="1:61" ht="26" x14ac:dyDescent="0.6">
      <c r="A113" s="245"/>
      <c r="B113" s="241"/>
      <c r="C113" s="246"/>
      <c r="D113" s="247"/>
      <c r="E113" s="184"/>
      <c r="F113" s="187"/>
      <c r="G113" s="186"/>
      <c r="H113" s="186"/>
      <c r="I113" s="186"/>
      <c r="J113" s="186"/>
      <c r="K113" s="244"/>
      <c r="L113" s="184"/>
      <c r="M113" s="224"/>
      <c r="N113" s="207"/>
      <c r="O113" s="186"/>
      <c r="P113" s="186"/>
      <c r="Q113" s="186"/>
      <c r="R113" s="186"/>
      <c r="S113" s="186"/>
      <c r="T113" s="186"/>
      <c r="U113" s="186"/>
      <c r="V113" s="186"/>
      <c r="W113" s="186"/>
      <c r="X113" s="186"/>
      <c r="Y113" s="186"/>
      <c r="Z113" s="186"/>
      <c r="AA113" s="186"/>
      <c r="AB113" s="186"/>
      <c r="AC113" s="188"/>
      <c r="AD113" s="224"/>
      <c r="AE113" s="184"/>
      <c r="AF113" s="188"/>
      <c r="AG113" s="225"/>
      <c r="AH113" s="243"/>
      <c r="AI113" s="238"/>
      <c r="AJ113" s="243"/>
      <c r="AK113" s="207"/>
      <c r="AL113" s="210"/>
      <c r="AM113" s="193"/>
      <c r="AN113" s="216"/>
      <c r="AO113" s="240"/>
      <c r="AP113" s="162"/>
      <c r="AQ113" s="163"/>
      <c r="AR113" s="164"/>
      <c r="AS113" s="164"/>
      <c r="AT113" s="165"/>
      <c r="AU113" s="164"/>
      <c r="AV113" s="163"/>
      <c r="AW113" s="165"/>
      <c r="AX113" s="196"/>
      <c r="AY113" s="227"/>
      <c r="AZ113" s="166"/>
      <c r="BA113" s="167"/>
      <c r="BB113" s="168"/>
      <c r="BF113" s="57"/>
      <c r="BG113" s="57"/>
      <c r="BH113" s="57"/>
      <c r="BI113" s="139"/>
    </row>
    <row r="114" spans="1:61" ht="26" x14ac:dyDescent="0.6">
      <c r="A114" s="245"/>
      <c r="B114" s="241"/>
      <c r="C114" s="246"/>
      <c r="D114" s="247"/>
      <c r="E114" s="184"/>
      <c r="F114" s="187"/>
      <c r="G114" s="186"/>
      <c r="H114" s="186"/>
      <c r="I114" s="186"/>
      <c r="J114" s="186"/>
      <c r="K114" s="244"/>
      <c r="L114" s="184"/>
      <c r="M114" s="224"/>
      <c r="N114" s="207"/>
      <c r="O114" s="186"/>
      <c r="P114" s="186"/>
      <c r="Q114" s="186"/>
      <c r="R114" s="186"/>
      <c r="S114" s="186"/>
      <c r="T114" s="186"/>
      <c r="U114" s="186"/>
      <c r="V114" s="186"/>
      <c r="W114" s="186"/>
      <c r="X114" s="186"/>
      <c r="Y114" s="186"/>
      <c r="Z114" s="186"/>
      <c r="AA114" s="186"/>
      <c r="AB114" s="186"/>
      <c r="AC114" s="188"/>
      <c r="AD114" s="224"/>
      <c r="AE114" s="184"/>
      <c r="AF114" s="188"/>
      <c r="AG114" s="225"/>
      <c r="AH114" s="243"/>
      <c r="AI114" s="238"/>
      <c r="AJ114" s="243"/>
      <c r="AK114" s="207"/>
      <c r="AL114" s="210"/>
      <c r="AM114" s="193"/>
      <c r="AN114" s="216"/>
      <c r="AO114" s="240"/>
      <c r="AP114" s="162"/>
      <c r="AQ114" s="163"/>
      <c r="AR114" s="164"/>
      <c r="AS114" s="164"/>
      <c r="AT114" s="165"/>
      <c r="AU114" s="164"/>
      <c r="AV114" s="163"/>
      <c r="AW114" s="165"/>
      <c r="AX114" s="196"/>
      <c r="AY114" s="227"/>
      <c r="AZ114" s="166"/>
      <c r="BA114" s="167"/>
      <c r="BB114" s="168"/>
      <c r="BF114" s="57"/>
      <c r="BG114" s="57"/>
      <c r="BH114" s="57"/>
      <c r="BI114" s="139"/>
    </row>
    <row r="115" spans="1:61" ht="26" x14ac:dyDescent="0.6">
      <c r="A115" s="245"/>
      <c r="B115" s="241"/>
      <c r="C115" s="246"/>
      <c r="D115" s="247"/>
      <c r="E115" s="184"/>
      <c r="F115" s="187"/>
      <c r="G115" s="186"/>
      <c r="H115" s="186"/>
      <c r="I115" s="186"/>
      <c r="J115" s="186"/>
      <c r="K115" s="244"/>
      <c r="L115" s="184"/>
      <c r="M115" s="224"/>
      <c r="N115" s="207"/>
      <c r="O115" s="186"/>
      <c r="P115" s="186"/>
      <c r="Q115" s="186"/>
      <c r="R115" s="186"/>
      <c r="S115" s="186"/>
      <c r="T115" s="186"/>
      <c r="U115" s="186"/>
      <c r="V115" s="186"/>
      <c r="W115" s="186"/>
      <c r="X115" s="186"/>
      <c r="Y115" s="186"/>
      <c r="Z115" s="186"/>
      <c r="AA115" s="186"/>
      <c r="AB115" s="186"/>
      <c r="AC115" s="188"/>
      <c r="AD115" s="224"/>
      <c r="AE115" s="184"/>
      <c r="AF115" s="188"/>
      <c r="AG115" s="225"/>
      <c r="AH115" s="243"/>
      <c r="AI115" s="238"/>
      <c r="AJ115" s="243"/>
      <c r="AK115" s="207"/>
      <c r="AL115" s="210"/>
      <c r="AM115" s="193"/>
      <c r="AN115" s="216"/>
      <c r="AO115" s="240"/>
      <c r="AP115" s="162"/>
      <c r="AQ115" s="163"/>
      <c r="AR115" s="164"/>
      <c r="AS115" s="164"/>
      <c r="AT115" s="165"/>
      <c r="AU115" s="164"/>
      <c r="AV115" s="163"/>
      <c r="AW115" s="165"/>
      <c r="AX115" s="196"/>
      <c r="AY115" s="227"/>
      <c r="AZ115" s="166"/>
      <c r="BA115" s="167"/>
      <c r="BB115" s="168"/>
      <c r="BE115" s="57"/>
      <c r="BF115" s="57"/>
      <c r="BG115" s="57"/>
      <c r="BH115" s="57"/>
      <c r="BI115" s="139"/>
    </row>
    <row r="116" spans="1:61" ht="26" x14ac:dyDescent="0.6">
      <c r="A116" s="245"/>
      <c r="B116" s="241"/>
      <c r="C116" s="246"/>
      <c r="D116" s="247"/>
      <c r="E116" s="184"/>
      <c r="F116" s="187"/>
      <c r="G116" s="186"/>
      <c r="H116" s="186"/>
      <c r="I116" s="186"/>
      <c r="J116" s="186"/>
      <c r="K116" s="244"/>
      <c r="L116" s="184"/>
      <c r="M116" s="224"/>
      <c r="N116" s="207"/>
      <c r="O116" s="186"/>
      <c r="P116" s="186"/>
      <c r="Q116" s="186"/>
      <c r="R116" s="186"/>
      <c r="S116" s="186"/>
      <c r="T116" s="186"/>
      <c r="U116" s="186"/>
      <c r="V116" s="186"/>
      <c r="W116" s="186"/>
      <c r="X116" s="186"/>
      <c r="Y116" s="186"/>
      <c r="Z116" s="186"/>
      <c r="AA116" s="186"/>
      <c r="AB116" s="186"/>
      <c r="AC116" s="188"/>
      <c r="AD116" s="224"/>
      <c r="AE116" s="184"/>
      <c r="AF116" s="188"/>
      <c r="AG116" s="225"/>
      <c r="AH116" s="243"/>
      <c r="AI116" s="238"/>
      <c r="AJ116" s="243"/>
      <c r="AK116" s="207"/>
      <c r="AL116" s="210"/>
      <c r="AM116" s="193"/>
      <c r="AN116" s="216"/>
      <c r="AO116" s="240"/>
      <c r="AP116" s="162"/>
      <c r="AQ116" s="163"/>
      <c r="AR116" s="164"/>
      <c r="AS116" s="164"/>
      <c r="AT116" s="165"/>
      <c r="AU116" s="164"/>
      <c r="AV116" s="163"/>
      <c r="AW116" s="165"/>
      <c r="AX116" s="196"/>
      <c r="AY116" s="227"/>
      <c r="AZ116" s="166"/>
      <c r="BA116" s="167"/>
      <c r="BB116" s="168"/>
      <c r="BF116" s="57"/>
      <c r="BG116" s="57"/>
      <c r="BH116" s="57"/>
      <c r="BI116" s="139"/>
    </row>
    <row r="117" spans="1:61" ht="26" x14ac:dyDescent="0.6">
      <c r="A117" s="245"/>
      <c r="B117" s="241"/>
      <c r="C117" s="246"/>
      <c r="D117" s="247"/>
      <c r="E117" s="184"/>
      <c r="F117" s="187"/>
      <c r="G117" s="186"/>
      <c r="H117" s="186"/>
      <c r="I117" s="186"/>
      <c r="J117" s="186"/>
      <c r="K117" s="244"/>
      <c r="L117" s="184"/>
      <c r="M117" s="224"/>
      <c r="N117" s="207"/>
      <c r="O117" s="186"/>
      <c r="P117" s="186"/>
      <c r="Q117" s="186"/>
      <c r="R117" s="186"/>
      <c r="S117" s="186"/>
      <c r="T117" s="186"/>
      <c r="U117" s="186"/>
      <c r="V117" s="186"/>
      <c r="W117" s="186"/>
      <c r="X117" s="186"/>
      <c r="Y117" s="186"/>
      <c r="Z117" s="186"/>
      <c r="AA117" s="186"/>
      <c r="AB117" s="186"/>
      <c r="AC117" s="188"/>
      <c r="AD117" s="224"/>
      <c r="AE117" s="184"/>
      <c r="AF117" s="188"/>
      <c r="AG117" s="225"/>
      <c r="AH117" s="243"/>
      <c r="AI117" s="238"/>
      <c r="AJ117" s="243"/>
      <c r="AK117" s="207"/>
      <c r="AL117" s="210"/>
      <c r="AM117" s="193"/>
      <c r="AN117" s="216"/>
      <c r="AO117" s="240"/>
      <c r="AP117" s="162"/>
      <c r="AQ117" s="163"/>
      <c r="AR117" s="164"/>
      <c r="AS117" s="164"/>
      <c r="AT117" s="165"/>
      <c r="AU117" s="164"/>
      <c r="AV117" s="163"/>
      <c r="AW117" s="165"/>
      <c r="AX117" s="196"/>
      <c r="AY117" s="227"/>
      <c r="AZ117" s="166"/>
      <c r="BA117" s="167"/>
      <c r="BB117" s="168"/>
      <c r="BE117" s="57"/>
      <c r="BF117" s="57"/>
      <c r="BG117" s="57"/>
      <c r="BH117" s="57"/>
      <c r="BI117" s="139"/>
    </row>
    <row r="118" spans="1:61" ht="26" x14ac:dyDescent="0.6">
      <c r="A118" s="245"/>
      <c r="B118" s="241"/>
      <c r="C118" s="246"/>
      <c r="D118" s="242"/>
      <c r="E118" s="184"/>
      <c r="F118" s="187"/>
      <c r="G118" s="186"/>
      <c r="H118" s="186"/>
      <c r="I118" s="186"/>
      <c r="J118" s="186"/>
      <c r="K118" s="244"/>
      <c r="L118" s="184"/>
      <c r="M118" s="224"/>
      <c r="N118" s="207"/>
      <c r="O118" s="186"/>
      <c r="P118" s="186"/>
      <c r="Q118" s="186"/>
      <c r="R118" s="186"/>
      <c r="S118" s="186"/>
      <c r="T118" s="186"/>
      <c r="U118" s="186"/>
      <c r="V118" s="186"/>
      <c r="W118" s="186"/>
      <c r="X118" s="186"/>
      <c r="Y118" s="186"/>
      <c r="Z118" s="186"/>
      <c r="AA118" s="186"/>
      <c r="AB118" s="186"/>
      <c r="AC118" s="188"/>
      <c r="AD118" s="224"/>
      <c r="AE118" s="184"/>
      <c r="AF118" s="188"/>
      <c r="AG118" s="225"/>
      <c r="AH118" s="243"/>
      <c r="AI118" s="238"/>
      <c r="AJ118" s="243"/>
      <c r="AK118" s="207"/>
      <c r="AL118" s="210"/>
      <c r="AM118" s="193"/>
      <c r="AN118" s="216"/>
      <c r="AO118" s="240"/>
      <c r="AP118" s="162"/>
      <c r="AQ118" s="163"/>
      <c r="AR118" s="164"/>
      <c r="AS118" s="164"/>
      <c r="AT118" s="165"/>
      <c r="AU118" s="164"/>
      <c r="AV118" s="163"/>
      <c r="AW118" s="165"/>
      <c r="AX118" s="196"/>
      <c r="AY118" s="227"/>
      <c r="AZ118" s="166"/>
      <c r="BA118" s="167"/>
      <c r="BB118" s="168"/>
      <c r="BF118" s="57"/>
      <c r="BG118" s="57"/>
      <c r="BH118" s="57"/>
      <c r="BI118" s="139"/>
    </row>
    <row r="119" spans="1:61" ht="26" x14ac:dyDescent="0.6">
      <c r="A119" s="245"/>
      <c r="B119" s="241"/>
      <c r="C119" s="246"/>
      <c r="D119" s="247"/>
      <c r="E119" s="184"/>
      <c r="F119" s="187"/>
      <c r="G119" s="186"/>
      <c r="H119" s="186"/>
      <c r="I119" s="186"/>
      <c r="J119" s="186"/>
      <c r="K119" s="248"/>
      <c r="L119" s="184"/>
      <c r="M119" s="224"/>
      <c r="N119" s="184"/>
      <c r="O119" s="186"/>
      <c r="P119" s="186"/>
      <c r="Q119" s="186"/>
      <c r="R119" s="186"/>
      <c r="S119" s="186"/>
      <c r="T119" s="186"/>
      <c r="U119" s="186"/>
      <c r="V119" s="186"/>
      <c r="W119" s="186"/>
      <c r="X119" s="186"/>
      <c r="Y119" s="186"/>
      <c r="Z119" s="186"/>
      <c r="AA119" s="186"/>
      <c r="AB119" s="186"/>
      <c r="AC119" s="188"/>
      <c r="AD119" s="224"/>
      <c r="AE119" s="184"/>
      <c r="AF119" s="188"/>
      <c r="AG119" s="225"/>
      <c r="AH119" s="243"/>
      <c r="AI119" s="238"/>
      <c r="AJ119" s="243"/>
      <c r="AK119" s="207"/>
      <c r="AL119" s="210"/>
      <c r="AM119" s="193"/>
      <c r="AN119" s="216"/>
      <c r="AO119" s="240"/>
      <c r="AP119" s="162"/>
      <c r="AQ119" s="163"/>
      <c r="AR119" s="164"/>
      <c r="AS119" s="164"/>
      <c r="AT119" s="165"/>
      <c r="AU119" s="164"/>
      <c r="AV119" s="163"/>
      <c r="AW119" s="165"/>
      <c r="AX119" s="196"/>
      <c r="AY119" s="227"/>
      <c r="AZ119" s="166"/>
      <c r="BA119" s="167"/>
      <c r="BB119" s="168"/>
      <c r="BF119" s="57"/>
      <c r="BG119" s="57"/>
      <c r="BH119" s="57"/>
      <c r="BI119" s="139"/>
    </row>
    <row r="120" spans="1:61" ht="26" x14ac:dyDescent="0.6">
      <c r="A120" s="245"/>
      <c r="B120" s="241"/>
      <c r="C120" s="246"/>
      <c r="D120" s="247"/>
      <c r="E120" s="184"/>
      <c r="F120" s="187"/>
      <c r="G120" s="186"/>
      <c r="H120" s="186"/>
      <c r="I120" s="186"/>
      <c r="J120" s="186"/>
      <c r="K120" s="248"/>
      <c r="L120" s="184"/>
      <c r="M120" s="224"/>
      <c r="N120" s="184"/>
      <c r="O120" s="186"/>
      <c r="P120" s="186"/>
      <c r="Q120" s="186"/>
      <c r="R120" s="186"/>
      <c r="S120" s="186"/>
      <c r="T120" s="186"/>
      <c r="U120" s="186"/>
      <c r="V120" s="186"/>
      <c r="W120" s="186"/>
      <c r="X120" s="186"/>
      <c r="Y120" s="186"/>
      <c r="Z120" s="186"/>
      <c r="AA120" s="186"/>
      <c r="AB120" s="186"/>
      <c r="AC120" s="188"/>
      <c r="AD120" s="224"/>
      <c r="AE120" s="184"/>
      <c r="AF120" s="188"/>
      <c r="AG120" s="225"/>
      <c r="AH120" s="243"/>
      <c r="AI120" s="238"/>
      <c r="AJ120" s="243"/>
      <c r="AK120" s="207"/>
      <c r="AL120" s="210"/>
      <c r="AM120" s="193"/>
      <c r="AN120" s="216"/>
      <c r="AO120" s="240"/>
      <c r="AP120" s="162"/>
      <c r="AQ120" s="163"/>
      <c r="AR120" s="164"/>
      <c r="AS120" s="164"/>
      <c r="AT120" s="165"/>
      <c r="AU120" s="164"/>
      <c r="AV120" s="163"/>
      <c r="AW120" s="165"/>
      <c r="AX120" s="196"/>
      <c r="AY120" s="227"/>
      <c r="AZ120" s="166"/>
      <c r="BA120" s="167"/>
      <c r="BB120" s="168"/>
      <c r="BF120" s="57"/>
      <c r="BG120" s="57"/>
      <c r="BH120" s="57"/>
      <c r="BI120" s="139"/>
    </row>
    <row r="121" spans="1:61" ht="26" x14ac:dyDescent="0.6">
      <c r="A121" s="245"/>
      <c r="B121" s="241"/>
      <c r="C121" s="246"/>
      <c r="D121" s="247"/>
      <c r="E121" s="184"/>
      <c r="F121" s="187"/>
      <c r="G121" s="186"/>
      <c r="H121" s="186"/>
      <c r="I121" s="186"/>
      <c r="J121" s="186"/>
      <c r="K121" s="248"/>
      <c r="L121" s="184"/>
      <c r="M121" s="224"/>
      <c r="N121" s="184"/>
      <c r="O121" s="186"/>
      <c r="P121" s="186"/>
      <c r="Q121" s="186"/>
      <c r="R121" s="186"/>
      <c r="S121" s="186"/>
      <c r="T121" s="186"/>
      <c r="U121" s="186"/>
      <c r="V121" s="186"/>
      <c r="W121" s="186"/>
      <c r="X121" s="186"/>
      <c r="Y121" s="186"/>
      <c r="Z121" s="186"/>
      <c r="AA121" s="186"/>
      <c r="AB121" s="186"/>
      <c r="AC121" s="188"/>
      <c r="AD121" s="224"/>
      <c r="AE121" s="184"/>
      <c r="AF121" s="188"/>
      <c r="AG121" s="225"/>
      <c r="AH121" s="243"/>
      <c r="AI121" s="238"/>
      <c r="AJ121" s="243"/>
      <c r="AK121" s="207"/>
      <c r="AL121" s="210"/>
      <c r="AM121" s="193"/>
      <c r="AN121" s="216"/>
      <c r="AO121" s="240"/>
      <c r="AP121" s="162"/>
      <c r="AQ121" s="163"/>
      <c r="AR121" s="164"/>
      <c r="AS121" s="164"/>
      <c r="AT121" s="165"/>
      <c r="AU121" s="164"/>
      <c r="AV121" s="163"/>
      <c r="AW121" s="165"/>
      <c r="AX121" s="196"/>
      <c r="AY121" s="227"/>
      <c r="AZ121" s="166"/>
      <c r="BA121" s="167"/>
      <c r="BB121" s="168"/>
      <c r="BF121" s="57"/>
      <c r="BG121" s="57"/>
      <c r="BH121" s="57"/>
      <c r="BI121" s="139"/>
    </row>
    <row r="122" spans="1:61" ht="26" x14ac:dyDescent="0.6">
      <c r="A122" s="245"/>
      <c r="B122" s="241"/>
      <c r="C122" s="246"/>
      <c r="D122" s="247"/>
      <c r="E122" s="184"/>
      <c r="F122" s="187"/>
      <c r="G122" s="186"/>
      <c r="H122" s="186"/>
      <c r="I122" s="186"/>
      <c r="J122" s="186"/>
      <c r="K122" s="248"/>
      <c r="L122" s="184"/>
      <c r="M122" s="224"/>
      <c r="N122" s="184"/>
      <c r="O122" s="186"/>
      <c r="P122" s="186"/>
      <c r="Q122" s="186"/>
      <c r="R122" s="186"/>
      <c r="S122" s="186"/>
      <c r="T122" s="186"/>
      <c r="U122" s="186"/>
      <c r="V122" s="186"/>
      <c r="W122" s="186"/>
      <c r="X122" s="186"/>
      <c r="Y122" s="186"/>
      <c r="Z122" s="186"/>
      <c r="AA122" s="186"/>
      <c r="AB122" s="186"/>
      <c r="AC122" s="188"/>
      <c r="AD122" s="224"/>
      <c r="AE122" s="184"/>
      <c r="AF122" s="188"/>
      <c r="AG122" s="225"/>
      <c r="AH122" s="243"/>
      <c r="AI122" s="238"/>
      <c r="AJ122" s="243"/>
      <c r="AK122" s="207"/>
      <c r="AL122" s="210"/>
      <c r="AM122" s="193"/>
      <c r="AN122" s="216"/>
      <c r="AO122" s="240"/>
      <c r="AP122" s="162"/>
      <c r="AQ122" s="163"/>
      <c r="AR122" s="164"/>
      <c r="AS122" s="164"/>
      <c r="AT122" s="165"/>
      <c r="AU122" s="164"/>
      <c r="AV122" s="163"/>
      <c r="AW122" s="165"/>
      <c r="AX122" s="196"/>
      <c r="AY122" s="227"/>
      <c r="AZ122" s="166"/>
      <c r="BA122" s="167"/>
      <c r="BB122" s="168"/>
      <c r="BF122" s="57"/>
      <c r="BG122" s="57"/>
      <c r="BH122" s="57"/>
      <c r="BI122" s="139"/>
    </row>
    <row r="123" spans="1:61" ht="26" x14ac:dyDescent="0.6">
      <c r="A123" s="245"/>
      <c r="B123" s="241"/>
      <c r="C123" s="246"/>
      <c r="D123" s="247"/>
      <c r="E123" s="184"/>
      <c r="F123" s="187"/>
      <c r="G123" s="186"/>
      <c r="H123" s="186"/>
      <c r="I123" s="186"/>
      <c r="J123" s="186"/>
      <c r="K123" s="248"/>
      <c r="L123" s="184"/>
      <c r="M123" s="224"/>
      <c r="N123" s="184"/>
      <c r="O123" s="186"/>
      <c r="P123" s="186"/>
      <c r="Q123" s="186"/>
      <c r="R123" s="186"/>
      <c r="S123" s="186"/>
      <c r="T123" s="186"/>
      <c r="U123" s="186"/>
      <c r="V123" s="186"/>
      <c r="W123" s="186"/>
      <c r="X123" s="186"/>
      <c r="Y123" s="186"/>
      <c r="Z123" s="186"/>
      <c r="AA123" s="186"/>
      <c r="AB123" s="186"/>
      <c r="AC123" s="188"/>
      <c r="AD123" s="224"/>
      <c r="AE123" s="184"/>
      <c r="AF123" s="188"/>
      <c r="AG123" s="225"/>
      <c r="AH123" s="243"/>
      <c r="AI123" s="238"/>
      <c r="AJ123" s="243"/>
      <c r="AK123" s="207"/>
      <c r="AL123" s="210"/>
      <c r="AM123" s="193"/>
      <c r="AN123" s="216"/>
      <c r="AO123" s="240"/>
      <c r="AP123" s="162"/>
      <c r="AQ123" s="163"/>
      <c r="AR123" s="164"/>
      <c r="AS123" s="164"/>
      <c r="AT123" s="165"/>
      <c r="AU123" s="164"/>
      <c r="AV123" s="163"/>
      <c r="AW123" s="165"/>
      <c r="AX123" s="196"/>
      <c r="AY123" s="227"/>
      <c r="AZ123" s="166"/>
      <c r="BA123" s="167"/>
      <c r="BB123" s="168"/>
      <c r="BF123" s="57"/>
      <c r="BG123" s="57"/>
      <c r="BH123" s="57"/>
      <c r="BI123" s="139"/>
    </row>
    <row r="124" spans="1:61" ht="26" x14ac:dyDescent="0.6">
      <c r="A124" s="245"/>
      <c r="B124" s="241"/>
      <c r="C124" s="246"/>
      <c r="D124" s="247"/>
      <c r="E124" s="184"/>
      <c r="F124" s="187"/>
      <c r="G124" s="186"/>
      <c r="H124" s="186"/>
      <c r="I124" s="186"/>
      <c r="J124" s="186"/>
      <c r="K124" s="248"/>
      <c r="L124" s="184"/>
      <c r="M124" s="224"/>
      <c r="N124" s="184"/>
      <c r="O124" s="186"/>
      <c r="P124" s="186"/>
      <c r="Q124" s="186"/>
      <c r="R124" s="186"/>
      <c r="S124" s="186"/>
      <c r="T124" s="186"/>
      <c r="U124" s="186"/>
      <c r="V124" s="186"/>
      <c r="W124" s="186"/>
      <c r="X124" s="186"/>
      <c r="Y124" s="186"/>
      <c r="Z124" s="186"/>
      <c r="AA124" s="186"/>
      <c r="AB124" s="186"/>
      <c r="AC124" s="188"/>
      <c r="AD124" s="224"/>
      <c r="AE124" s="184"/>
      <c r="AF124" s="188"/>
      <c r="AG124" s="225"/>
      <c r="AH124" s="243"/>
      <c r="AI124" s="238"/>
      <c r="AJ124" s="243"/>
      <c r="AK124" s="207"/>
      <c r="AL124" s="210"/>
      <c r="AM124" s="193"/>
      <c r="AN124" s="216"/>
      <c r="AO124" s="240"/>
      <c r="AP124" s="162"/>
      <c r="AQ124" s="163"/>
      <c r="AR124" s="164"/>
      <c r="AS124" s="164"/>
      <c r="AT124" s="165"/>
      <c r="AU124" s="164"/>
      <c r="AV124" s="163"/>
      <c r="AW124" s="165"/>
      <c r="AX124" s="196"/>
      <c r="AY124" s="227"/>
      <c r="AZ124" s="166"/>
      <c r="BA124" s="167"/>
      <c r="BB124" s="168"/>
      <c r="BF124" s="57"/>
      <c r="BG124" s="57"/>
      <c r="BH124" s="57"/>
      <c r="BI124" s="139"/>
    </row>
    <row r="125" spans="1:61" ht="26" x14ac:dyDescent="0.6">
      <c r="A125" s="245"/>
      <c r="B125" s="241"/>
      <c r="C125" s="246"/>
      <c r="D125" s="247"/>
      <c r="E125" s="184"/>
      <c r="F125" s="187"/>
      <c r="G125" s="186"/>
      <c r="H125" s="186"/>
      <c r="I125" s="186"/>
      <c r="J125" s="186"/>
      <c r="K125" s="248"/>
      <c r="L125" s="184"/>
      <c r="M125" s="224"/>
      <c r="N125" s="184"/>
      <c r="O125" s="186"/>
      <c r="P125" s="186"/>
      <c r="Q125" s="186"/>
      <c r="R125" s="186"/>
      <c r="S125" s="186"/>
      <c r="T125" s="186"/>
      <c r="U125" s="186"/>
      <c r="V125" s="186"/>
      <c r="W125" s="186"/>
      <c r="X125" s="186"/>
      <c r="Y125" s="186"/>
      <c r="Z125" s="186"/>
      <c r="AA125" s="186"/>
      <c r="AB125" s="186"/>
      <c r="AC125" s="188"/>
      <c r="AD125" s="224"/>
      <c r="AE125" s="184"/>
      <c r="AF125" s="188"/>
      <c r="AG125" s="225"/>
      <c r="AH125" s="243"/>
      <c r="AI125" s="238"/>
      <c r="AJ125" s="243"/>
      <c r="AK125" s="207"/>
      <c r="AL125" s="210"/>
      <c r="AM125" s="193"/>
      <c r="AN125" s="216"/>
      <c r="AO125" s="240"/>
      <c r="AP125" s="162"/>
      <c r="AQ125" s="163"/>
      <c r="AR125" s="164"/>
      <c r="AS125" s="164"/>
      <c r="AT125" s="165"/>
      <c r="AU125" s="164"/>
      <c r="AV125" s="163"/>
      <c r="AW125" s="165"/>
      <c r="AX125" s="196"/>
      <c r="AY125" s="227"/>
      <c r="AZ125" s="166"/>
      <c r="BA125" s="167"/>
      <c r="BB125" s="168"/>
      <c r="BF125" s="57"/>
      <c r="BG125" s="57"/>
      <c r="BH125" s="57"/>
      <c r="BI125" s="139"/>
    </row>
    <row r="126" spans="1:61" ht="26" x14ac:dyDescent="0.6">
      <c r="A126" s="245"/>
      <c r="B126" s="241"/>
      <c r="C126" s="246"/>
      <c r="D126" s="247"/>
      <c r="E126" s="184"/>
      <c r="F126" s="187"/>
      <c r="G126" s="186"/>
      <c r="H126" s="186"/>
      <c r="I126" s="186"/>
      <c r="J126" s="186"/>
      <c r="K126" s="248"/>
      <c r="L126" s="184"/>
      <c r="M126" s="224"/>
      <c r="N126" s="184"/>
      <c r="O126" s="186"/>
      <c r="P126" s="186"/>
      <c r="Q126" s="186"/>
      <c r="R126" s="186"/>
      <c r="S126" s="186"/>
      <c r="T126" s="186"/>
      <c r="U126" s="186"/>
      <c r="V126" s="186"/>
      <c r="W126" s="186"/>
      <c r="X126" s="186"/>
      <c r="Y126" s="186"/>
      <c r="Z126" s="186"/>
      <c r="AA126" s="186"/>
      <c r="AB126" s="186"/>
      <c r="AC126" s="188"/>
      <c r="AD126" s="224"/>
      <c r="AE126" s="184"/>
      <c r="AF126" s="188"/>
      <c r="AG126" s="225"/>
      <c r="AH126" s="243"/>
      <c r="AI126" s="238"/>
      <c r="AJ126" s="243"/>
      <c r="AK126" s="207"/>
      <c r="AL126" s="210"/>
      <c r="AM126" s="193"/>
      <c r="AN126" s="216"/>
      <c r="AO126" s="240"/>
      <c r="AP126" s="162"/>
      <c r="AQ126" s="163"/>
      <c r="AR126" s="164"/>
      <c r="AS126" s="164"/>
      <c r="AT126" s="165"/>
      <c r="AU126" s="164"/>
      <c r="AV126" s="163"/>
      <c r="AW126" s="165"/>
      <c r="AX126" s="196"/>
      <c r="AY126" s="227"/>
      <c r="AZ126" s="166"/>
      <c r="BA126" s="167"/>
      <c r="BB126" s="168"/>
      <c r="BF126" s="57"/>
      <c r="BG126" s="57"/>
      <c r="BH126" s="57"/>
      <c r="BI126" s="139"/>
    </row>
    <row r="127" spans="1:61" ht="26" x14ac:dyDescent="0.6">
      <c r="A127" s="245"/>
      <c r="B127" s="241"/>
      <c r="C127" s="246"/>
      <c r="D127" s="247"/>
      <c r="E127" s="184"/>
      <c r="F127" s="187"/>
      <c r="G127" s="186"/>
      <c r="H127" s="186"/>
      <c r="I127" s="186"/>
      <c r="J127" s="186"/>
      <c r="K127" s="248"/>
      <c r="L127" s="184"/>
      <c r="M127" s="224"/>
      <c r="N127" s="184"/>
      <c r="O127" s="186"/>
      <c r="P127" s="186"/>
      <c r="Q127" s="186"/>
      <c r="R127" s="186"/>
      <c r="S127" s="186"/>
      <c r="T127" s="186"/>
      <c r="U127" s="186"/>
      <c r="V127" s="186"/>
      <c r="W127" s="186"/>
      <c r="X127" s="186"/>
      <c r="Y127" s="186"/>
      <c r="Z127" s="186"/>
      <c r="AA127" s="186"/>
      <c r="AB127" s="186"/>
      <c r="AC127" s="188"/>
      <c r="AD127" s="224"/>
      <c r="AE127" s="184"/>
      <c r="AF127" s="188"/>
      <c r="AG127" s="225"/>
      <c r="AH127" s="243"/>
      <c r="AI127" s="238"/>
      <c r="AJ127" s="243"/>
      <c r="AK127" s="207"/>
      <c r="AL127" s="210"/>
      <c r="AM127" s="193"/>
      <c r="AN127" s="216"/>
      <c r="AO127" s="240"/>
      <c r="AP127" s="162"/>
      <c r="AQ127" s="163"/>
      <c r="AR127" s="164"/>
      <c r="AS127" s="164"/>
      <c r="AT127" s="165"/>
      <c r="AU127" s="164"/>
      <c r="AV127" s="163"/>
      <c r="AW127" s="165"/>
      <c r="AX127" s="196"/>
      <c r="AY127" s="227"/>
      <c r="AZ127" s="166"/>
      <c r="BA127" s="167"/>
      <c r="BB127" s="168"/>
      <c r="BF127" s="57"/>
      <c r="BG127" s="57"/>
      <c r="BH127" s="57"/>
      <c r="BI127" s="139"/>
    </row>
    <row r="128" spans="1:61" ht="26" x14ac:dyDescent="0.6">
      <c r="A128" s="245"/>
      <c r="B128" s="241"/>
      <c r="C128" s="246"/>
      <c r="D128" s="247"/>
      <c r="E128" s="184"/>
      <c r="F128" s="187"/>
      <c r="G128" s="186"/>
      <c r="H128" s="186"/>
      <c r="I128" s="186"/>
      <c r="J128" s="186"/>
      <c r="K128" s="248"/>
      <c r="L128" s="184"/>
      <c r="M128" s="224"/>
      <c r="N128" s="184"/>
      <c r="O128" s="186"/>
      <c r="P128" s="186"/>
      <c r="Q128" s="186"/>
      <c r="R128" s="186"/>
      <c r="S128" s="186"/>
      <c r="T128" s="186"/>
      <c r="U128" s="186"/>
      <c r="V128" s="186"/>
      <c r="W128" s="186"/>
      <c r="X128" s="186"/>
      <c r="Y128" s="186"/>
      <c r="Z128" s="186"/>
      <c r="AA128" s="186"/>
      <c r="AB128" s="186"/>
      <c r="AC128" s="188"/>
      <c r="AD128" s="224"/>
      <c r="AE128" s="184"/>
      <c r="AF128" s="188"/>
      <c r="AG128" s="225"/>
      <c r="AH128" s="243"/>
      <c r="AI128" s="238"/>
      <c r="AJ128" s="243"/>
      <c r="AK128" s="207"/>
      <c r="AL128" s="210"/>
      <c r="AM128" s="193"/>
      <c r="AN128" s="216"/>
      <c r="AO128" s="240"/>
      <c r="AP128" s="162"/>
      <c r="AQ128" s="163"/>
      <c r="AR128" s="164"/>
      <c r="AS128" s="164"/>
      <c r="AT128" s="165"/>
      <c r="AU128" s="164"/>
      <c r="AV128" s="163"/>
      <c r="AW128" s="165"/>
      <c r="AX128" s="196"/>
      <c r="AY128" s="227"/>
      <c r="AZ128" s="166"/>
      <c r="BA128" s="167"/>
      <c r="BB128" s="168"/>
      <c r="BF128" s="57"/>
      <c r="BG128" s="57"/>
      <c r="BH128" s="57"/>
      <c r="BI128" s="139"/>
    </row>
    <row r="129" spans="1:61" ht="26" x14ac:dyDescent="0.6">
      <c r="A129" s="245"/>
      <c r="B129" s="241"/>
      <c r="C129" s="246"/>
      <c r="D129" s="247"/>
      <c r="E129" s="184"/>
      <c r="F129" s="187"/>
      <c r="G129" s="186"/>
      <c r="H129" s="186"/>
      <c r="I129" s="186"/>
      <c r="J129" s="186"/>
      <c r="K129" s="248"/>
      <c r="L129" s="184"/>
      <c r="M129" s="224"/>
      <c r="N129" s="184"/>
      <c r="O129" s="186"/>
      <c r="P129" s="186"/>
      <c r="Q129" s="186"/>
      <c r="R129" s="186"/>
      <c r="S129" s="186"/>
      <c r="T129" s="186"/>
      <c r="U129" s="186"/>
      <c r="V129" s="186"/>
      <c r="W129" s="186"/>
      <c r="X129" s="186"/>
      <c r="Y129" s="186"/>
      <c r="Z129" s="186"/>
      <c r="AA129" s="186"/>
      <c r="AB129" s="186"/>
      <c r="AC129" s="188"/>
      <c r="AD129" s="224"/>
      <c r="AE129" s="184"/>
      <c r="AF129" s="188"/>
      <c r="AG129" s="225"/>
      <c r="AH129" s="243"/>
      <c r="AI129" s="238"/>
      <c r="AJ129" s="243"/>
      <c r="AK129" s="207"/>
      <c r="AL129" s="210"/>
      <c r="AM129" s="193"/>
      <c r="AN129" s="249"/>
      <c r="AO129" s="240"/>
      <c r="AP129" s="162"/>
      <c r="AQ129" s="163"/>
      <c r="AR129" s="164"/>
      <c r="AS129" s="164"/>
      <c r="AT129" s="165"/>
      <c r="AU129" s="164"/>
      <c r="AV129" s="163"/>
      <c r="AW129" s="165"/>
      <c r="AX129" s="196"/>
      <c r="AY129" s="227"/>
      <c r="AZ129" s="166"/>
      <c r="BA129" s="167"/>
      <c r="BB129" s="168"/>
      <c r="BF129" s="57"/>
      <c r="BG129" s="57"/>
      <c r="BH129" s="57"/>
      <c r="BI129" s="139"/>
    </row>
    <row r="130" spans="1:61" ht="26" x14ac:dyDescent="0.6">
      <c r="A130" s="245"/>
      <c r="B130" s="241"/>
      <c r="C130" s="246"/>
      <c r="D130" s="247"/>
      <c r="E130" s="184"/>
      <c r="F130" s="187"/>
      <c r="G130" s="186"/>
      <c r="H130" s="186"/>
      <c r="I130" s="186"/>
      <c r="J130" s="186"/>
      <c r="K130" s="248"/>
      <c r="L130" s="184"/>
      <c r="M130" s="224"/>
      <c r="N130" s="184"/>
      <c r="O130" s="186"/>
      <c r="P130" s="186"/>
      <c r="Q130" s="186"/>
      <c r="R130" s="186"/>
      <c r="S130" s="186"/>
      <c r="T130" s="186"/>
      <c r="U130" s="186"/>
      <c r="V130" s="186"/>
      <c r="W130" s="186"/>
      <c r="X130" s="186"/>
      <c r="Y130" s="186"/>
      <c r="Z130" s="186"/>
      <c r="AA130" s="186"/>
      <c r="AB130" s="186"/>
      <c r="AC130" s="188"/>
      <c r="AD130" s="224"/>
      <c r="AE130" s="184"/>
      <c r="AF130" s="188"/>
      <c r="AG130" s="225"/>
      <c r="AH130" s="243"/>
      <c r="AI130" s="238"/>
      <c r="AJ130" s="243"/>
      <c r="AK130" s="207"/>
      <c r="AL130" s="210"/>
      <c r="AM130" s="193"/>
      <c r="AN130" s="249"/>
      <c r="AO130" s="240"/>
      <c r="AP130" s="162"/>
      <c r="AQ130" s="163"/>
      <c r="AR130" s="164"/>
      <c r="AS130" s="164"/>
      <c r="AT130" s="165"/>
      <c r="AU130" s="164"/>
      <c r="AV130" s="163"/>
      <c r="AW130" s="165"/>
      <c r="AX130" s="196"/>
      <c r="AY130" s="227"/>
      <c r="AZ130" s="166"/>
      <c r="BA130" s="167"/>
      <c r="BB130" s="168"/>
      <c r="BF130" s="57"/>
      <c r="BG130" s="57"/>
      <c r="BH130" s="57"/>
      <c r="BI130" s="139"/>
    </row>
    <row r="131" spans="1:61" x14ac:dyDescent="0.35">
      <c r="A131" s="245"/>
      <c r="B131" s="241"/>
      <c r="C131" s="246"/>
      <c r="D131" s="247"/>
      <c r="E131" s="184"/>
      <c r="F131" s="187"/>
      <c r="G131" s="186"/>
      <c r="H131" s="186"/>
      <c r="I131" s="186"/>
      <c r="J131" s="186"/>
      <c r="K131" s="248"/>
      <c r="L131" s="184"/>
      <c r="M131" s="224"/>
      <c r="N131" s="184"/>
      <c r="O131" s="186"/>
      <c r="P131" s="186"/>
      <c r="Q131" s="186"/>
      <c r="R131" s="186"/>
      <c r="S131" s="186"/>
      <c r="T131" s="186"/>
      <c r="U131" s="186"/>
      <c r="V131" s="186"/>
      <c r="W131" s="186"/>
      <c r="X131" s="186"/>
      <c r="Y131" s="186"/>
      <c r="Z131" s="186"/>
      <c r="AA131" s="186"/>
      <c r="AB131" s="186"/>
      <c r="AC131" s="188"/>
      <c r="AD131" s="224"/>
      <c r="AE131" s="184"/>
      <c r="AF131" s="188"/>
      <c r="AG131" s="225"/>
      <c r="AH131" s="243"/>
      <c r="AI131" s="238"/>
      <c r="AJ131" s="243"/>
      <c r="AK131" s="207"/>
      <c r="AL131" s="210"/>
      <c r="AM131" s="250"/>
      <c r="AN131" s="211"/>
      <c r="AO131" s="208"/>
      <c r="AP131" s="162"/>
      <c r="AQ131" s="163"/>
      <c r="AR131" s="164"/>
      <c r="AS131" s="164"/>
      <c r="AT131" s="165"/>
      <c r="AU131" s="164"/>
      <c r="AV131" s="163"/>
      <c r="AW131" s="165"/>
      <c r="AX131" s="196"/>
      <c r="AY131" s="227"/>
      <c r="AZ131" s="166"/>
      <c r="BA131" s="167"/>
      <c r="BB131" s="168"/>
    </row>
    <row r="132" spans="1:61" x14ac:dyDescent="0.35">
      <c r="A132" s="245"/>
      <c r="B132" s="241"/>
      <c r="C132" s="246"/>
      <c r="D132" s="247"/>
      <c r="E132" s="184"/>
      <c r="F132" s="187"/>
      <c r="G132" s="186"/>
      <c r="H132" s="186"/>
      <c r="I132" s="186"/>
      <c r="J132" s="186"/>
      <c r="K132" s="248"/>
      <c r="L132" s="184"/>
      <c r="M132" s="224"/>
      <c r="N132" s="184"/>
      <c r="O132" s="186"/>
      <c r="P132" s="186"/>
      <c r="Q132" s="186"/>
      <c r="R132" s="186"/>
      <c r="S132" s="186"/>
      <c r="T132" s="186"/>
      <c r="U132" s="186"/>
      <c r="V132" s="186"/>
      <c r="W132" s="186"/>
      <c r="X132" s="186"/>
      <c r="Y132" s="186"/>
      <c r="Z132" s="186"/>
      <c r="AA132" s="186"/>
      <c r="AB132" s="186"/>
      <c r="AC132" s="188"/>
      <c r="AD132" s="224"/>
      <c r="AE132" s="184"/>
      <c r="AF132" s="188"/>
      <c r="AG132" s="225"/>
      <c r="AH132" s="243"/>
      <c r="AI132" s="238"/>
      <c r="AJ132" s="243"/>
      <c r="AK132" s="207"/>
      <c r="AL132" s="210"/>
      <c r="AM132" s="250"/>
      <c r="AN132" s="211"/>
      <c r="AO132" s="208"/>
      <c r="AP132" s="162"/>
      <c r="AQ132" s="163"/>
      <c r="AR132" s="164"/>
      <c r="AS132" s="164"/>
      <c r="AT132" s="165"/>
      <c r="AU132" s="164"/>
      <c r="AV132" s="163"/>
      <c r="AW132" s="165"/>
      <c r="AX132" s="196"/>
      <c r="AY132" s="227"/>
      <c r="AZ132" s="166"/>
      <c r="BA132" s="167"/>
      <c r="BB132" s="168"/>
    </row>
    <row r="133" spans="1:61" x14ac:dyDescent="0.35">
      <c r="A133" s="245"/>
      <c r="B133" s="241"/>
      <c r="C133" s="246"/>
      <c r="D133" s="247"/>
      <c r="E133" s="184"/>
      <c r="F133" s="187"/>
      <c r="G133" s="186"/>
      <c r="H133" s="186"/>
      <c r="I133" s="186"/>
      <c r="J133" s="186"/>
      <c r="K133" s="248"/>
      <c r="L133" s="184"/>
      <c r="M133" s="224"/>
      <c r="N133" s="184"/>
      <c r="O133" s="186"/>
      <c r="P133" s="186"/>
      <c r="Q133" s="186"/>
      <c r="R133" s="186"/>
      <c r="S133" s="186"/>
      <c r="T133" s="186"/>
      <c r="U133" s="186"/>
      <c r="V133" s="186"/>
      <c r="W133" s="186"/>
      <c r="X133" s="186"/>
      <c r="Y133" s="186"/>
      <c r="Z133" s="186"/>
      <c r="AA133" s="186"/>
      <c r="AB133" s="186"/>
      <c r="AC133" s="188"/>
      <c r="AD133" s="224"/>
      <c r="AE133" s="184"/>
      <c r="AF133" s="188"/>
      <c r="AG133" s="225"/>
      <c r="AH133" s="243"/>
      <c r="AI133" s="238"/>
      <c r="AJ133" s="243"/>
      <c r="AK133" s="207"/>
      <c r="AL133" s="210"/>
      <c r="AM133" s="250"/>
      <c r="AN133" s="211"/>
      <c r="AO133" s="208"/>
      <c r="AP133" s="162"/>
      <c r="AQ133" s="163"/>
      <c r="AR133" s="164"/>
      <c r="AS133" s="164"/>
      <c r="AT133" s="165"/>
      <c r="AU133" s="164"/>
      <c r="AV133" s="163"/>
      <c r="AW133" s="165"/>
      <c r="AX133" s="196"/>
      <c r="AY133" s="227"/>
      <c r="AZ133" s="166"/>
      <c r="BA133" s="167"/>
      <c r="BB133" s="168"/>
    </row>
    <row r="134" spans="1:61" x14ac:dyDescent="0.35">
      <c r="A134" s="245"/>
      <c r="B134" s="241"/>
      <c r="C134" s="246"/>
      <c r="D134" s="247"/>
      <c r="E134" s="184"/>
      <c r="F134" s="187"/>
      <c r="G134" s="186"/>
      <c r="H134" s="186"/>
      <c r="I134" s="186"/>
      <c r="J134" s="186"/>
      <c r="K134" s="248"/>
      <c r="L134" s="184"/>
      <c r="M134" s="224"/>
      <c r="N134" s="184"/>
      <c r="O134" s="186"/>
      <c r="P134" s="186"/>
      <c r="Q134" s="186"/>
      <c r="R134" s="186"/>
      <c r="S134" s="186"/>
      <c r="T134" s="186"/>
      <c r="U134" s="186"/>
      <c r="V134" s="186"/>
      <c r="W134" s="186"/>
      <c r="X134" s="186"/>
      <c r="Y134" s="186"/>
      <c r="Z134" s="186"/>
      <c r="AA134" s="186"/>
      <c r="AB134" s="186"/>
      <c r="AC134" s="188"/>
      <c r="AD134" s="224"/>
      <c r="AE134" s="184"/>
      <c r="AF134" s="188"/>
      <c r="AG134" s="225"/>
      <c r="AH134" s="243"/>
      <c r="AI134" s="238"/>
      <c r="AJ134" s="243"/>
      <c r="AK134" s="207"/>
      <c r="AL134" s="210"/>
      <c r="AM134" s="250"/>
      <c r="AN134" s="211"/>
      <c r="AO134" s="208"/>
      <c r="AP134" s="162"/>
      <c r="AQ134" s="163"/>
      <c r="AR134" s="164"/>
      <c r="AS134" s="164"/>
      <c r="AT134" s="165"/>
      <c r="AU134" s="164"/>
      <c r="AV134" s="163"/>
      <c r="AW134" s="165"/>
      <c r="AX134" s="196"/>
      <c r="AY134" s="227"/>
      <c r="AZ134" s="166"/>
      <c r="BA134" s="167"/>
      <c r="BB134" s="168"/>
    </row>
    <row r="135" spans="1:61" x14ac:dyDescent="0.35">
      <c r="A135" s="245"/>
      <c r="B135" s="241"/>
      <c r="C135" s="246"/>
      <c r="D135" s="247"/>
      <c r="E135" s="184"/>
      <c r="F135" s="187"/>
      <c r="G135" s="186"/>
      <c r="H135" s="186"/>
      <c r="I135" s="186"/>
      <c r="J135" s="186"/>
      <c r="K135" s="248"/>
      <c r="L135" s="184"/>
      <c r="M135" s="224"/>
      <c r="N135" s="184"/>
      <c r="O135" s="186"/>
      <c r="P135" s="186"/>
      <c r="Q135" s="186"/>
      <c r="R135" s="186"/>
      <c r="S135" s="186"/>
      <c r="T135" s="186"/>
      <c r="U135" s="186"/>
      <c r="V135" s="186"/>
      <c r="W135" s="186"/>
      <c r="X135" s="186"/>
      <c r="Y135" s="186"/>
      <c r="Z135" s="186"/>
      <c r="AA135" s="186"/>
      <c r="AB135" s="186"/>
      <c r="AC135" s="188"/>
      <c r="AD135" s="224"/>
      <c r="AE135" s="184"/>
      <c r="AF135" s="188"/>
      <c r="AG135" s="225"/>
      <c r="AH135" s="243"/>
      <c r="AI135" s="238"/>
      <c r="AJ135" s="243"/>
      <c r="AK135" s="207"/>
      <c r="AL135" s="210"/>
      <c r="AM135" s="250"/>
      <c r="AN135" s="211"/>
      <c r="AO135" s="208"/>
      <c r="AP135" s="162"/>
      <c r="AQ135" s="163"/>
      <c r="AR135" s="164"/>
      <c r="AS135" s="164"/>
      <c r="AT135" s="165"/>
      <c r="AU135" s="164"/>
      <c r="AV135" s="163"/>
      <c r="AW135" s="165"/>
      <c r="AX135" s="196"/>
      <c r="AY135" s="227"/>
      <c r="AZ135" s="166"/>
      <c r="BA135" s="167"/>
      <c r="BB135" s="168"/>
    </row>
    <row r="136" spans="1:61" x14ac:dyDescent="0.35">
      <c r="A136" s="245"/>
      <c r="B136" s="241"/>
      <c r="C136" s="246"/>
      <c r="D136" s="247"/>
      <c r="E136" s="184"/>
      <c r="F136" s="187"/>
      <c r="G136" s="186"/>
      <c r="H136" s="186"/>
      <c r="I136" s="186"/>
      <c r="J136" s="186"/>
      <c r="K136" s="248"/>
      <c r="L136" s="184"/>
      <c r="M136" s="224"/>
      <c r="N136" s="184"/>
      <c r="O136" s="186"/>
      <c r="P136" s="186"/>
      <c r="Q136" s="186"/>
      <c r="R136" s="186"/>
      <c r="S136" s="186"/>
      <c r="T136" s="186"/>
      <c r="U136" s="186"/>
      <c r="V136" s="186"/>
      <c r="W136" s="186"/>
      <c r="X136" s="186"/>
      <c r="Y136" s="186"/>
      <c r="Z136" s="186"/>
      <c r="AA136" s="186"/>
      <c r="AB136" s="186"/>
      <c r="AC136" s="188"/>
      <c r="AD136" s="224"/>
      <c r="AE136" s="184"/>
      <c r="AF136" s="188"/>
      <c r="AG136" s="225"/>
      <c r="AH136" s="243"/>
      <c r="AI136" s="238"/>
      <c r="AJ136" s="243"/>
      <c r="AK136" s="207"/>
      <c r="AL136" s="210"/>
      <c r="AM136" s="250"/>
      <c r="AN136" s="211"/>
      <c r="AO136" s="208"/>
      <c r="AP136" s="162"/>
      <c r="AQ136" s="163"/>
      <c r="AR136" s="164"/>
      <c r="AS136" s="164"/>
      <c r="AT136" s="165"/>
      <c r="AU136" s="164"/>
      <c r="AV136" s="163"/>
      <c r="AW136" s="165"/>
      <c r="AX136" s="196"/>
      <c r="AY136" s="227"/>
      <c r="AZ136" s="166"/>
      <c r="BA136" s="167"/>
      <c r="BB136" s="168"/>
    </row>
    <row r="137" spans="1:61" x14ac:dyDescent="0.35">
      <c r="A137" s="245"/>
      <c r="B137" s="241"/>
      <c r="C137" s="246"/>
      <c r="D137" s="247"/>
      <c r="E137" s="184"/>
      <c r="F137" s="187"/>
      <c r="G137" s="186"/>
      <c r="H137" s="186"/>
      <c r="I137" s="186"/>
      <c r="J137" s="186"/>
      <c r="K137" s="248"/>
      <c r="L137" s="184"/>
      <c r="M137" s="224"/>
      <c r="N137" s="184"/>
      <c r="O137" s="186"/>
      <c r="P137" s="186"/>
      <c r="Q137" s="186"/>
      <c r="R137" s="186"/>
      <c r="S137" s="186"/>
      <c r="T137" s="186"/>
      <c r="U137" s="186"/>
      <c r="V137" s="186"/>
      <c r="W137" s="186"/>
      <c r="X137" s="186"/>
      <c r="Y137" s="186"/>
      <c r="Z137" s="186"/>
      <c r="AA137" s="186"/>
      <c r="AB137" s="186"/>
      <c r="AC137" s="188"/>
      <c r="AD137" s="224"/>
      <c r="AE137" s="184"/>
      <c r="AF137" s="188"/>
      <c r="AG137" s="225"/>
      <c r="AH137" s="243"/>
      <c r="AI137" s="238"/>
      <c r="AJ137" s="243"/>
      <c r="AK137" s="207"/>
      <c r="AL137" s="210"/>
      <c r="AM137" s="250"/>
      <c r="AN137" s="211"/>
      <c r="AO137" s="208"/>
      <c r="AP137" s="162"/>
      <c r="AQ137" s="163"/>
      <c r="AR137" s="164"/>
      <c r="AS137" s="164"/>
      <c r="AT137" s="165"/>
      <c r="AU137" s="164"/>
      <c r="AV137" s="163"/>
      <c r="AW137" s="165"/>
      <c r="AX137" s="196"/>
      <c r="AY137" s="227"/>
      <c r="AZ137" s="166"/>
      <c r="BA137" s="167"/>
      <c r="BB137" s="168"/>
    </row>
    <row r="138" spans="1:61" x14ac:dyDescent="0.35">
      <c r="A138" s="245"/>
      <c r="B138" s="241"/>
      <c r="C138" s="246"/>
      <c r="D138" s="247"/>
      <c r="E138" s="184"/>
      <c r="F138" s="187"/>
      <c r="G138" s="186"/>
      <c r="H138" s="186"/>
      <c r="I138" s="186"/>
      <c r="J138" s="186"/>
      <c r="K138" s="248"/>
      <c r="L138" s="184"/>
      <c r="M138" s="224"/>
      <c r="N138" s="184"/>
      <c r="O138" s="186"/>
      <c r="P138" s="186"/>
      <c r="Q138" s="186"/>
      <c r="R138" s="186"/>
      <c r="S138" s="186"/>
      <c r="T138" s="186"/>
      <c r="U138" s="186"/>
      <c r="V138" s="186"/>
      <c r="W138" s="186"/>
      <c r="X138" s="186"/>
      <c r="Y138" s="186"/>
      <c r="Z138" s="186"/>
      <c r="AA138" s="186"/>
      <c r="AB138" s="186"/>
      <c r="AC138" s="188"/>
      <c r="AD138" s="224"/>
      <c r="AE138" s="184"/>
      <c r="AF138" s="188"/>
      <c r="AG138" s="225"/>
      <c r="AH138" s="243"/>
      <c r="AI138" s="238"/>
      <c r="AJ138" s="243"/>
      <c r="AK138" s="207"/>
      <c r="AL138" s="210"/>
      <c r="AM138" s="250"/>
      <c r="AN138" s="211"/>
      <c r="AO138" s="208"/>
      <c r="AP138" s="162"/>
      <c r="AQ138" s="163"/>
      <c r="AR138" s="164"/>
      <c r="AS138" s="164"/>
      <c r="AT138" s="165"/>
      <c r="AU138" s="164"/>
      <c r="AV138" s="163"/>
      <c r="AW138" s="165"/>
      <c r="AX138" s="196"/>
      <c r="AY138" s="227"/>
      <c r="AZ138" s="166"/>
      <c r="BA138" s="167"/>
      <c r="BB138" s="168"/>
    </row>
    <row r="139" spans="1:61" x14ac:dyDescent="0.35">
      <c r="A139" s="245"/>
      <c r="B139" s="241"/>
      <c r="C139" s="246"/>
      <c r="D139" s="247"/>
      <c r="E139" s="184"/>
      <c r="F139" s="187"/>
      <c r="G139" s="186"/>
      <c r="H139" s="186"/>
      <c r="I139" s="186"/>
      <c r="J139" s="186"/>
      <c r="K139" s="248"/>
      <c r="L139" s="184"/>
      <c r="M139" s="224"/>
      <c r="N139" s="184"/>
      <c r="O139" s="186"/>
      <c r="P139" s="186"/>
      <c r="Q139" s="186"/>
      <c r="R139" s="186"/>
      <c r="S139" s="186"/>
      <c r="T139" s="186"/>
      <c r="U139" s="186"/>
      <c r="V139" s="186"/>
      <c r="W139" s="186"/>
      <c r="X139" s="186"/>
      <c r="Y139" s="186"/>
      <c r="Z139" s="186"/>
      <c r="AA139" s="186"/>
      <c r="AB139" s="186"/>
      <c r="AC139" s="188"/>
      <c r="AD139" s="224"/>
      <c r="AE139" s="184"/>
      <c r="AF139" s="188"/>
      <c r="AG139" s="225"/>
      <c r="AH139" s="243"/>
      <c r="AI139" s="238"/>
      <c r="AJ139" s="243"/>
      <c r="AK139" s="207"/>
      <c r="AL139" s="210"/>
      <c r="AM139" s="250"/>
      <c r="AN139" s="211"/>
      <c r="AO139" s="208"/>
      <c r="AP139" s="162"/>
      <c r="AQ139" s="163"/>
      <c r="AR139" s="164"/>
      <c r="AS139" s="164"/>
      <c r="AT139" s="165"/>
      <c r="AU139" s="164"/>
      <c r="AV139" s="163"/>
      <c r="AW139" s="165"/>
      <c r="AX139" s="196"/>
      <c r="AY139" s="227"/>
      <c r="AZ139" s="166"/>
      <c r="BA139" s="167"/>
      <c r="BB139" s="168"/>
    </row>
    <row r="140" spans="1:61" x14ac:dyDescent="0.35">
      <c r="A140" s="245"/>
      <c r="B140" s="241"/>
      <c r="C140" s="246"/>
      <c r="D140" s="247"/>
      <c r="E140" s="184"/>
      <c r="F140" s="187"/>
      <c r="G140" s="186"/>
      <c r="H140" s="186"/>
      <c r="I140" s="186"/>
      <c r="J140" s="186"/>
      <c r="K140" s="248"/>
      <c r="L140" s="184"/>
      <c r="M140" s="224"/>
      <c r="N140" s="184"/>
      <c r="O140" s="186"/>
      <c r="P140" s="186"/>
      <c r="Q140" s="186"/>
      <c r="R140" s="186"/>
      <c r="S140" s="186"/>
      <c r="T140" s="186"/>
      <c r="U140" s="186"/>
      <c r="V140" s="186"/>
      <c r="W140" s="186"/>
      <c r="X140" s="186"/>
      <c r="Y140" s="186"/>
      <c r="Z140" s="186"/>
      <c r="AA140" s="186"/>
      <c r="AB140" s="186"/>
      <c r="AC140" s="188"/>
      <c r="AD140" s="224"/>
      <c r="AE140" s="184"/>
      <c r="AF140" s="188"/>
      <c r="AG140" s="225"/>
      <c r="AH140" s="243"/>
      <c r="AI140" s="238"/>
      <c r="AJ140" s="243"/>
      <c r="AK140" s="207"/>
      <c r="AL140" s="210"/>
      <c r="AM140" s="250"/>
      <c r="AN140" s="211"/>
      <c r="AO140" s="208"/>
      <c r="AP140" s="162"/>
      <c r="AQ140" s="163"/>
      <c r="AR140" s="164"/>
      <c r="AS140" s="164"/>
      <c r="AT140" s="165"/>
      <c r="AU140" s="164"/>
      <c r="AV140" s="163"/>
      <c r="AW140" s="165"/>
      <c r="AX140" s="196"/>
      <c r="AY140" s="227"/>
      <c r="AZ140" s="166"/>
      <c r="BA140" s="167"/>
      <c r="BB140" s="168"/>
    </row>
    <row r="141" spans="1:61" x14ac:dyDescent="0.35">
      <c r="A141" s="245"/>
      <c r="B141" s="241"/>
      <c r="C141" s="246"/>
      <c r="D141" s="247"/>
      <c r="E141" s="184"/>
      <c r="F141" s="187"/>
      <c r="G141" s="186"/>
      <c r="H141" s="186"/>
      <c r="I141" s="186"/>
      <c r="J141" s="186"/>
      <c r="K141" s="248"/>
      <c r="L141" s="184"/>
      <c r="M141" s="224"/>
      <c r="N141" s="184"/>
      <c r="O141" s="186"/>
      <c r="P141" s="186"/>
      <c r="Q141" s="186"/>
      <c r="R141" s="186"/>
      <c r="S141" s="186"/>
      <c r="T141" s="186"/>
      <c r="U141" s="186"/>
      <c r="V141" s="186"/>
      <c r="W141" s="186"/>
      <c r="X141" s="186"/>
      <c r="Y141" s="186"/>
      <c r="Z141" s="186"/>
      <c r="AA141" s="186"/>
      <c r="AB141" s="186"/>
      <c r="AC141" s="188"/>
      <c r="AD141" s="224"/>
      <c r="AE141" s="184"/>
      <c r="AF141" s="188"/>
      <c r="AG141" s="225"/>
      <c r="AH141" s="243"/>
      <c r="AI141" s="238"/>
      <c r="AJ141" s="243"/>
      <c r="AK141" s="207"/>
      <c r="AL141" s="210"/>
      <c r="AM141" s="250"/>
      <c r="AN141" s="211"/>
      <c r="AO141" s="208"/>
      <c r="AP141" s="162"/>
      <c r="AQ141" s="163"/>
      <c r="AR141" s="164"/>
      <c r="AS141" s="164"/>
      <c r="AT141" s="165"/>
      <c r="AU141" s="164"/>
      <c r="AV141" s="163"/>
      <c r="AW141" s="165"/>
      <c r="AX141" s="196"/>
      <c r="AY141" s="227"/>
      <c r="AZ141" s="166"/>
      <c r="BA141" s="167"/>
      <c r="BB141" s="168"/>
    </row>
    <row r="142" spans="1:61" x14ac:dyDescent="0.35">
      <c r="A142" s="245"/>
      <c r="B142" s="241"/>
      <c r="C142" s="246"/>
      <c r="D142" s="247"/>
      <c r="E142" s="184"/>
      <c r="F142" s="187"/>
      <c r="G142" s="186"/>
      <c r="H142" s="186"/>
      <c r="I142" s="186"/>
      <c r="J142" s="186"/>
      <c r="K142" s="248"/>
      <c r="L142" s="184"/>
      <c r="M142" s="224"/>
      <c r="N142" s="184"/>
      <c r="O142" s="186"/>
      <c r="P142" s="186"/>
      <c r="Q142" s="186"/>
      <c r="R142" s="186"/>
      <c r="S142" s="186"/>
      <c r="T142" s="186"/>
      <c r="U142" s="186"/>
      <c r="V142" s="186"/>
      <c r="W142" s="186"/>
      <c r="X142" s="186"/>
      <c r="Y142" s="186"/>
      <c r="Z142" s="186"/>
      <c r="AA142" s="186"/>
      <c r="AB142" s="186"/>
      <c r="AC142" s="188"/>
      <c r="AD142" s="224"/>
      <c r="AE142" s="184"/>
      <c r="AF142" s="188"/>
      <c r="AG142" s="225"/>
      <c r="AH142" s="243"/>
      <c r="AI142" s="238"/>
      <c r="AJ142" s="243"/>
      <c r="AK142" s="207"/>
      <c r="AL142" s="210"/>
      <c r="AM142" s="250"/>
      <c r="AN142" s="211"/>
      <c r="AO142" s="208"/>
      <c r="AP142" s="162"/>
      <c r="AQ142" s="163"/>
      <c r="AR142" s="164"/>
      <c r="AS142" s="164"/>
      <c r="AT142" s="165"/>
      <c r="AU142" s="164"/>
      <c r="AV142" s="163"/>
      <c r="AW142" s="165"/>
      <c r="AX142" s="196"/>
      <c r="AY142" s="227"/>
      <c r="AZ142" s="166"/>
      <c r="BA142" s="167"/>
      <c r="BB142" s="168"/>
    </row>
    <row r="143" spans="1:61" x14ac:dyDescent="0.35">
      <c r="A143" s="245"/>
      <c r="B143" s="241"/>
      <c r="C143" s="246"/>
      <c r="D143" s="247"/>
      <c r="E143" s="184"/>
      <c r="F143" s="187"/>
      <c r="G143" s="186"/>
      <c r="H143" s="186"/>
      <c r="I143" s="186"/>
      <c r="J143" s="186"/>
      <c r="K143" s="248"/>
      <c r="L143" s="184"/>
      <c r="M143" s="224"/>
      <c r="N143" s="184"/>
      <c r="O143" s="186"/>
      <c r="P143" s="186"/>
      <c r="Q143" s="186"/>
      <c r="R143" s="186"/>
      <c r="S143" s="186"/>
      <c r="T143" s="186"/>
      <c r="U143" s="186"/>
      <c r="V143" s="186"/>
      <c r="W143" s="186"/>
      <c r="X143" s="186"/>
      <c r="Y143" s="186"/>
      <c r="Z143" s="186"/>
      <c r="AA143" s="186"/>
      <c r="AB143" s="186"/>
      <c r="AC143" s="188"/>
      <c r="AD143" s="224"/>
      <c r="AE143" s="184"/>
      <c r="AF143" s="188"/>
      <c r="AG143" s="225"/>
      <c r="AH143" s="243"/>
      <c r="AI143" s="238"/>
      <c r="AJ143" s="243"/>
      <c r="AK143" s="207"/>
      <c r="AL143" s="210"/>
      <c r="AM143" s="250"/>
      <c r="AN143" s="211"/>
      <c r="AO143" s="208"/>
      <c r="AP143" s="162"/>
      <c r="AQ143" s="163"/>
      <c r="AR143" s="164"/>
      <c r="AS143" s="164"/>
      <c r="AT143" s="165"/>
      <c r="AU143" s="164"/>
      <c r="AV143" s="163"/>
      <c r="AW143" s="165"/>
      <c r="AX143" s="196"/>
      <c r="AY143" s="227"/>
      <c r="AZ143" s="166"/>
      <c r="BA143" s="167"/>
      <c r="BB143" s="168"/>
    </row>
    <row r="144" spans="1:61" x14ac:dyDescent="0.35">
      <c r="A144" s="245"/>
      <c r="B144" s="241"/>
      <c r="C144" s="246"/>
      <c r="D144" s="247"/>
      <c r="E144" s="184"/>
      <c r="F144" s="187"/>
      <c r="G144" s="186"/>
      <c r="H144" s="186"/>
      <c r="I144" s="186"/>
      <c r="J144" s="186"/>
      <c r="K144" s="248"/>
      <c r="L144" s="184"/>
      <c r="M144" s="224"/>
      <c r="N144" s="184"/>
      <c r="O144" s="186"/>
      <c r="P144" s="186"/>
      <c r="Q144" s="186"/>
      <c r="R144" s="186"/>
      <c r="S144" s="186"/>
      <c r="T144" s="186"/>
      <c r="U144" s="186"/>
      <c r="V144" s="186"/>
      <c r="W144" s="186"/>
      <c r="X144" s="186"/>
      <c r="Y144" s="186"/>
      <c r="Z144" s="186"/>
      <c r="AA144" s="186"/>
      <c r="AB144" s="186"/>
      <c r="AC144" s="188"/>
      <c r="AD144" s="224"/>
      <c r="AE144" s="184"/>
      <c r="AF144" s="188"/>
      <c r="AG144" s="225"/>
      <c r="AH144" s="243"/>
      <c r="AI144" s="238"/>
      <c r="AJ144" s="243"/>
      <c r="AK144" s="207"/>
      <c r="AL144" s="210"/>
      <c r="AM144" s="250"/>
      <c r="AN144" s="211"/>
      <c r="AO144" s="208"/>
      <c r="AP144" s="162"/>
      <c r="AQ144" s="163"/>
      <c r="AR144" s="164"/>
      <c r="AS144" s="164"/>
      <c r="AT144" s="165"/>
      <c r="AU144" s="164"/>
      <c r="AV144" s="163"/>
      <c r="AW144" s="165"/>
      <c r="AX144" s="196"/>
      <c r="AY144" s="227"/>
      <c r="AZ144" s="166"/>
      <c r="BA144" s="167"/>
      <c r="BB144" s="168"/>
    </row>
    <row r="145" spans="1:54" x14ac:dyDescent="0.35">
      <c r="A145" s="245"/>
      <c r="B145" s="241"/>
      <c r="C145" s="246"/>
      <c r="D145" s="247"/>
      <c r="E145" s="184"/>
      <c r="F145" s="187"/>
      <c r="G145" s="186"/>
      <c r="H145" s="186"/>
      <c r="I145" s="186"/>
      <c r="J145" s="186"/>
      <c r="K145" s="248"/>
      <c r="L145" s="184"/>
      <c r="M145" s="224"/>
      <c r="N145" s="184"/>
      <c r="O145" s="186"/>
      <c r="P145" s="186"/>
      <c r="Q145" s="186"/>
      <c r="R145" s="186"/>
      <c r="S145" s="186"/>
      <c r="T145" s="186"/>
      <c r="U145" s="186"/>
      <c r="V145" s="186"/>
      <c r="W145" s="186"/>
      <c r="X145" s="186"/>
      <c r="Y145" s="186"/>
      <c r="Z145" s="186"/>
      <c r="AA145" s="186"/>
      <c r="AB145" s="186"/>
      <c r="AC145" s="188"/>
      <c r="AD145" s="224"/>
      <c r="AE145" s="184"/>
      <c r="AF145" s="188"/>
      <c r="AG145" s="225"/>
      <c r="AH145" s="243"/>
      <c r="AI145" s="238"/>
      <c r="AJ145" s="243"/>
      <c r="AK145" s="207"/>
      <c r="AL145" s="210"/>
      <c r="AM145" s="250"/>
      <c r="AN145" s="211"/>
      <c r="AO145" s="208"/>
      <c r="AP145" s="162"/>
      <c r="AQ145" s="163"/>
      <c r="AR145" s="164"/>
      <c r="AS145" s="164"/>
      <c r="AT145" s="165"/>
      <c r="AU145" s="164"/>
      <c r="AV145" s="163"/>
      <c r="AW145" s="165"/>
      <c r="AX145" s="196"/>
      <c r="AY145" s="227"/>
      <c r="AZ145" s="166"/>
      <c r="BA145" s="167"/>
      <c r="BB145" s="168"/>
    </row>
    <row r="146" spans="1:54" x14ac:dyDescent="0.35">
      <c r="A146" s="245"/>
      <c r="B146" s="241"/>
      <c r="C146" s="246"/>
      <c r="D146" s="247"/>
      <c r="E146" s="184"/>
      <c r="F146" s="187"/>
      <c r="G146" s="186"/>
      <c r="H146" s="186"/>
      <c r="I146" s="186"/>
      <c r="J146" s="186"/>
      <c r="K146" s="248"/>
      <c r="L146" s="184"/>
      <c r="M146" s="224"/>
      <c r="N146" s="184"/>
      <c r="O146" s="186"/>
      <c r="P146" s="186"/>
      <c r="Q146" s="186"/>
      <c r="R146" s="186"/>
      <c r="S146" s="186"/>
      <c r="T146" s="186"/>
      <c r="U146" s="186"/>
      <c r="V146" s="186"/>
      <c r="W146" s="186"/>
      <c r="X146" s="186"/>
      <c r="Y146" s="186"/>
      <c r="Z146" s="186"/>
      <c r="AA146" s="186"/>
      <c r="AB146" s="186"/>
      <c r="AC146" s="188"/>
      <c r="AD146" s="224"/>
      <c r="AE146" s="184"/>
      <c r="AF146" s="188"/>
      <c r="AG146" s="225"/>
      <c r="AH146" s="243"/>
      <c r="AI146" s="238"/>
      <c r="AJ146" s="243"/>
      <c r="AK146" s="207"/>
      <c r="AL146" s="210"/>
      <c r="AM146" s="250"/>
      <c r="AN146" s="211"/>
      <c r="AO146" s="208"/>
      <c r="AP146" s="162"/>
      <c r="AQ146" s="163"/>
      <c r="AR146" s="164"/>
      <c r="AS146" s="164"/>
      <c r="AT146" s="165"/>
      <c r="AU146" s="164"/>
      <c r="AV146" s="163"/>
      <c r="AW146" s="165"/>
      <c r="AX146" s="196"/>
      <c r="AY146" s="227"/>
      <c r="AZ146" s="166"/>
      <c r="BA146" s="167"/>
      <c r="BB146" s="168"/>
    </row>
    <row r="147" spans="1:54" x14ac:dyDescent="0.35">
      <c r="A147" s="245"/>
      <c r="B147" s="241"/>
      <c r="C147" s="246"/>
      <c r="D147" s="247"/>
      <c r="E147" s="184"/>
      <c r="F147" s="187"/>
      <c r="G147" s="186"/>
      <c r="H147" s="186"/>
      <c r="I147" s="186"/>
      <c r="J147" s="186"/>
      <c r="K147" s="248"/>
      <c r="L147" s="184"/>
      <c r="M147" s="224"/>
      <c r="N147" s="184"/>
      <c r="O147" s="186"/>
      <c r="P147" s="186"/>
      <c r="Q147" s="186"/>
      <c r="R147" s="186"/>
      <c r="S147" s="186"/>
      <c r="T147" s="186"/>
      <c r="U147" s="186"/>
      <c r="V147" s="186"/>
      <c r="W147" s="186"/>
      <c r="X147" s="186"/>
      <c r="Y147" s="186"/>
      <c r="Z147" s="186"/>
      <c r="AA147" s="186"/>
      <c r="AB147" s="186"/>
      <c r="AC147" s="188"/>
      <c r="AD147" s="224"/>
      <c r="AE147" s="184"/>
      <c r="AF147" s="188"/>
      <c r="AG147" s="225"/>
      <c r="AH147" s="243"/>
      <c r="AI147" s="238"/>
      <c r="AJ147" s="243"/>
      <c r="AK147" s="207"/>
      <c r="AL147" s="210"/>
      <c r="AM147" s="250"/>
      <c r="AN147" s="211"/>
      <c r="AO147" s="208"/>
      <c r="AP147" s="162"/>
      <c r="AQ147" s="163"/>
      <c r="AR147" s="164"/>
      <c r="AS147" s="164"/>
      <c r="AT147" s="165"/>
      <c r="AU147" s="164"/>
      <c r="AV147" s="163"/>
      <c r="AW147" s="165"/>
      <c r="AX147" s="196"/>
      <c r="AY147" s="227"/>
      <c r="AZ147" s="166"/>
      <c r="BA147" s="167"/>
      <c r="BB147" s="168"/>
    </row>
    <row r="148" spans="1:54" x14ac:dyDescent="0.35">
      <c r="A148" s="245"/>
      <c r="B148" s="241"/>
      <c r="C148" s="246"/>
      <c r="D148" s="247"/>
      <c r="E148" s="184"/>
      <c r="F148" s="187"/>
      <c r="G148" s="186"/>
      <c r="H148" s="186"/>
      <c r="I148" s="186"/>
      <c r="J148" s="186"/>
      <c r="K148" s="248"/>
      <c r="L148" s="184"/>
      <c r="M148" s="224"/>
      <c r="N148" s="184"/>
      <c r="O148" s="186"/>
      <c r="P148" s="186"/>
      <c r="Q148" s="186"/>
      <c r="R148" s="186"/>
      <c r="S148" s="186"/>
      <c r="T148" s="186"/>
      <c r="U148" s="186"/>
      <c r="V148" s="186"/>
      <c r="W148" s="186"/>
      <c r="X148" s="186"/>
      <c r="Y148" s="186"/>
      <c r="Z148" s="186"/>
      <c r="AA148" s="186"/>
      <c r="AB148" s="186"/>
      <c r="AC148" s="188"/>
      <c r="AD148" s="224"/>
      <c r="AE148" s="184"/>
      <c r="AF148" s="188"/>
      <c r="AG148" s="225"/>
      <c r="AH148" s="243"/>
      <c r="AI148" s="238"/>
      <c r="AJ148" s="243"/>
      <c r="AK148" s="207"/>
      <c r="AL148" s="210"/>
      <c r="AM148" s="250"/>
      <c r="AN148" s="211"/>
      <c r="AO148" s="208"/>
      <c r="AP148" s="162"/>
      <c r="AQ148" s="163"/>
      <c r="AR148" s="164"/>
      <c r="AS148" s="164"/>
      <c r="AT148" s="165"/>
      <c r="AU148" s="164"/>
      <c r="AV148" s="163"/>
      <c r="AW148" s="165"/>
      <c r="AX148" s="196"/>
      <c r="AY148" s="227"/>
      <c r="AZ148" s="166"/>
      <c r="BA148" s="167"/>
      <c r="BB148" s="168"/>
    </row>
    <row r="149" spans="1:54" x14ac:dyDescent="0.35">
      <c r="A149" s="245"/>
      <c r="B149" s="241"/>
      <c r="C149" s="246"/>
      <c r="D149" s="247"/>
      <c r="E149" s="184"/>
      <c r="F149" s="187"/>
      <c r="G149" s="186"/>
      <c r="H149" s="186"/>
      <c r="I149" s="186"/>
      <c r="J149" s="186"/>
      <c r="K149" s="248"/>
      <c r="L149" s="184"/>
      <c r="M149" s="224"/>
      <c r="N149" s="184"/>
      <c r="O149" s="186"/>
      <c r="P149" s="186"/>
      <c r="Q149" s="186"/>
      <c r="R149" s="186"/>
      <c r="S149" s="186"/>
      <c r="T149" s="186"/>
      <c r="U149" s="186"/>
      <c r="V149" s="186"/>
      <c r="W149" s="186"/>
      <c r="X149" s="186"/>
      <c r="Y149" s="186"/>
      <c r="Z149" s="186"/>
      <c r="AA149" s="186"/>
      <c r="AB149" s="186"/>
      <c r="AC149" s="188"/>
      <c r="AD149" s="224"/>
      <c r="AE149" s="184"/>
      <c r="AF149" s="188"/>
      <c r="AG149" s="225"/>
      <c r="AH149" s="243"/>
      <c r="AI149" s="238"/>
      <c r="AJ149" s="243"/>
      <c r="AK149" s="207"/>
      <c r="AL149" s="210"/>
      <c r="AM149" s="250"/>
      <c r="AN149" s="211"/>
      <c r="AO149" s="208"/>
      <c r="AP149" s="162"/>
      <c r="AQ149" s="163"/>
      <c r="AR149" s="164"/>
      <c r="AS149" s="164"/>
      <c r="AT149" s="165"/>
      <c r="AU149" s="164"/>
      <c r="AV149" s="163"/>
      <c r="AW149" s="165"/>
      <c r="AX149" s="196"/>
      <c r="AY149" s="227"/>
      <c r="AZ149" s="166"/>
      <c r="BA149" s="167"/>
      <c r="BB149" s="168"/>
    </row>
    <row r="150" spans="1:54" x14ac:dyDescent="0.35">
      <c r="A150" s="245"/>
      <c r="B150" s="241"/>
      <c r="C150" s="246"/>
      <c r="D150" s="247"/>
      <c r="E150" s="184"/>
      <c r="F150" s="187"/>
      <c r="G150" s="186"/>
      <c r="H150" s="186"/>
      <c r="I150" s="186"/>
      <c r="J150" s="186"/>
      <c r="K150" s="248"/>
      <c r="L150" s="184"/>
      <c r="M150" s="224"/>
      <c r="N150" s="184"/>
      <c r="O150" s="186"/>
      <c r="P150" s="186"/>
      <c r="Q150" s="186"/>
      <c r="R150" s="186"/>
      <c r="S150" s="186"/>
      <c r="T150" s="186"/>
      <c r="U150" s="186"/>
      <c r="V150" s="186"/>
      <c r="W150" s="186"/>
      <c r="X150" s="186"/>
      <c r="Y150" s="186"/>
      <c r="Z150" s="186"/>
      <c r="AA150" s="186"/>
      <c r="AB150" s="186"/>
      <c r="AC150" s="188"/>
      <c r="AD150" s="224"/>
      <c r="AE150" s="184"/>
      <c r="AF150" s="188"/>
      <c r="AG150" s="225"/>
      <c r="AH150" s="243"/>
      <c r="AI150" s="238"/>
      <c r="AJ150" s="243"/>
      <c r="AK150" s="207"/>
      <c r="AL150" s="210"/>
      <c r="AM150" s="250"/>
      <c r="AN150" s="211"/>
      <c r="AO150" s="208"/>
      <c r="AP150" s="162"/>
      <c r="AQ150" s="163"/>
      <c r="AR150" s="164"/>
      <c r="AS150" s="164"/>
      <c r="AT150" s="165"/>
      <c r="AU150" s="164"/>
      <c r="AV150" s="163"/>
      <c r="AW150" s="165"/>
      <c r="AX150" s="196"/>
      <c r="AY150" s="227"/>
      <c r="AZ150" s="166"/>
      <c r="BA150" s="167"/>
      <c r="BB150" s="168"/>
    </row>
    <row r="151" spans="1:54" x14ac:dyDescent="0.35">
      <c r="A151" s="245"/>
      <c r="B151" s="241"/>
      <c r="C151" s="246"/>
      <c r="D151" s="247"/>
      <c r="E151" s="184"/>
      <c r="F151" s="187"/>
      <c r="G151" s="186"/>
      <c r="H151" s="186"/>
      <c r="I151" s="186"/>
      <c r="J151" s="186"/>
      <c r="K151" s="248"/>
      <c r="L151" s="184"/>
      <c r="M151" s="224"/>
      <c r="N151" s="184"/>
      <c r="O151" s="186"/>
      <c r="P151" s="186"/>
      <c r="Q151" s="186"/>
      <c r="R151" s="186"/>
      <c r="S151" s="186"/>
      <c r="T151" s="186"/>
      <c r="U151" s="186"/>
      <c r="V151" s="186"/>
      <c r="W151" s="186"/>
      <c r="X151" s="186"/>
      <c r="Y151" s="186"/>
      <c r="Z151" s="186"/>
      <c r="AA151" s="186"/>
      <c r="AB151" s="186"/>
      <c r="AC151" s="188"/>
      <c r="AD151" s="224"/>
      <c r="AE151" s="184"/>
      <c r="AF151" s="188"/>
      <c r="AG151" s="225"/>
      <c r="AH151" s="243"/>
      <c r="AI151" s="238"/>
      <c r="AJ151" s="243"/>
      <c r="AK151" s="207"/>
      <c r="AL151" s="210"/>
      <c r="AM151" s="250"/>
      <c r="AN151" s="211"/>
      <c r="AO151" s="208"/>
      <c r="AP151" s="162"/>
      <c r="AQ151" s="163"/>
      <c r="AR151" s="164"/>
      <c r="AS151" s="164"/>
      <c r="AT151" s="165"/>
      <c r="AU151" s="164"/>
      <c r="AV151" s="163"/>
      <c r="AW151" s="165"/>
      <c r="AX151" s="196"/>
      <c r="AY151" s="227"/>
      <c r="AZ151" s="166"/>
      <c r="BA151" s="167"/>
      <c r="BB151" s="168"/>
    </row>
    <row r="152" spans="1:54" x14ac:dyDescent="0.35">
      <c r="A152" s="245"/>
      <c r="B152" s="241"/>
      <c r="C152" s="246"/>
      <c r="D152" s="247"/>
      <c r="E152" s="184"/>
      <c r="F152" s="187"/>
      <c r="G152" s="186"/>
      <c r="H152" s="186"/>
      <c r="I152" s="186"/>
      <c r="J152" s="186"/>
      <c r="K152" s="248"/>
      <c r="L152" s="184"/>
      <c r="M152" s="224"/>
      <c r="N152" s="184"/>
      <c r="O152" s="186"/>
      <c r="P152" s="186"/>
      <c r="Q152" s="186"/>
      <c r="R152" s="186"/>
      <c r="S152" s="186"/>
      <c r="T152" s="186"/>
      <c r="U152" s="186"/>
      <c r="V152" s="186"/>
      <c r="W152" s="186"/>
      <c r="X152" s="186"/>
      <c r="Y152" s="186"/>
      <c r="Z152" s="186"/>
      <c r="AA152" s="186"/>
      <c r="AB152" s="186"/>
      <c r="AC152" s="188"/>
      <c r="AD152" s="224"/>
      <c r="AE152" s="184"/>
      <c r="AF152" s="188"/>
      <c r="AG152" s="225"/>
      <c r="AH152" s="243"/>
      <c r="AI152" s="238"/>
      <c r="AJ152" s="243"/>
      <c r="AK152" s="207"/>
      <c r="AL152" s="210"/>
      <c r="AM152" s="250"/>
      <c r="AN152" s="211"/>
      <c r="AO152" s="208"/>
      <c r="AP152" s="162"/>
      <c r="AQ152" s="163"/>
      <c r="AR152" s="164"/>
      <c r="AS152" s="164"/>
      <c r="AT152" s="165"/>
      <c r="AU152" s="164"/>
      <c r="AV152" s="163"/>
      <c r="AW152" s="165"/>
      <c r="AX152" s="196"/>
      <c r="AY152" s="227"/>
      <c r="AZ152" s="166"/>
      <c r="BA152" s="167"/>
      <c r="BB152" s="168"/>
    </row>
    <row r="153" spans="1:54" x14ac:dyDescent="0.35">
      <c r="A153" s="245"/>
      <c r="B153" s="241"/>
      <c r="C153" s="246"/>
      <c r="D153" s="247"/>
      <c r="E153" s="184"/>
      <c r="F153" s="187"/>
      <c r="G153" s="186"/>
      <c r="H153" s="186"/>
      <c r="I153" s="186"/>
      <c r="J153" s="186"/>
      <c r="K153" s="248"/>
      <c r="L153" s="184"/>
      <c r="M153" s="224"/>
      <c r="N153" s="184"/>
      <c r="O153" s="186"/>
      <c r="P153" s="186"/>
      <c r="Q153" s="186"/>
      <c r="R153" s="186"/>
      <c r="S153" s="186"/>
      <c r="T153" s="186"/>
      <c r="U153" s="186"/>
      <c r="V153" s="186"/>
      <c r="W153" s="186"/>
      <c r="X153" s="186"/>
      <c r="Y153" s="186"/>
      <c r="Z153" s="186"/>
      <c r="AA153" s="186"/>
      <c r="AB153" s="186"/>
      <c r="AC153" s="188"/>
      <c r="AD153" s="224"/>
      <c r="AE153" s="184"/>
      <c r="AF153" s="188"/>
      <c r="AG153" s="225"/>
      <c r="AH153" s="243"/>
      <c r="AI153" s="238"/>
      <c r="AJ153" s="243"/>
      <c r="AK153" s="207"/>
      <c r="AL153" s="210"/>
      <c r="AM153" s="250"/>
      <c r="AN153" s="211"/>
      <c r="AO153" s="208"/>
      <c r="AP153" s="162"/>
      <c r="AQ153" s="163"/>
      <c r="AR153" s="164"/>
      <c r="AS153" s="164"/>
      <c r="AT153" s="165"/>
      <c r="AU153" s="164"/>
      <c r="AV153" s="163"/>
      <c r="AW153" s="165"/>
      <c r="AX153" s="196"/>
      <c r="AY153" s="227"/>
      <c r="AZ153" s="166"/>
      <c r="BA153" s="167"/>
      <c r="BB153" s="168"/>
    </row>
    <row r="154" spans="1:54" x14ac:dyDescent="0.35">
      <c r="A154" s="245"/>
      <c r="B154" s="241"/>
      <c r="C154" s="246"/>
      <c r="D154" s="247"/>
      <c r="E154" s="184"/>
      <c r="F154" s="187"/>
      <c r="G154" s="186"/>
      <c r="H154" s="186"/>
      <c r="I154" s="186"/>
      <c r="J154" s="186"/>
      <c r="K154" s="248"/>
      <c r="L154" s="184"/>
      <c r="M154" s="224"/>
      <c r="N154" s="184"/>
      <c r="O154" s="186"/>
      <c r="P154" s="186"/>
      <c r="Q154" s="186"/>
      <c r="R154" s="186"/>
      <c r="S154" s="186"/>
      <c r="T154" s="186"/>
      <c r="U154" s="186"/>
      <c r="V154" s="186"/>
      <c r="W154" s="186"/>
      <c r="X154" s="186"/>
      <c r="Y154" s="186"/>
      <c r="Z154" s="186"/>
      <c r="AA154" s="186"/>
      <c r="AB154" s="186"/>
      <c r="AC154" s="188"/>
      <c r="AD154" s="224"/>
      <c r="AE154" s="184"/>
      <c r="AF154" s="188"/>
      <c r="AG154" s="225"/>
      <c r="AH154" s="243"/>
      <c r="AI154" s="238"/>
      <c r="AJ154" s="243"/>
      <c r="AK154" s="207"/>
      <c r="AL154" s="210"/>
      <c r="AM154" s="250"/>
      <c r="AN154" s="211"/>
      <c r="AO154" s="208"/>
      <c r="AP154" s="162"/>
      <c r="AQ154" s="163"/>
      <c r="AR154" s="164"/>
      <c r="AS154" s="164"/>
      <c r="AT154" s="165"/>
      <c r="AU154" s="164"/>
      <c r="AV154" s="163"/>
      <c r="AW154" s="165"/>
      <c r="AX154" s="196"/>
      <c r="AY154" s="227"/>
      <c r="AZ154" s="166"/>
      <c r="BA154" s="167"/>
      <c r="BB154" s="168"/>
    </row>
    <row r="155" spans="1:54" x14ac:dyDescent="0.35">
      <c r="A155" s="245"/>
      <c r="B155" s="241"/>
      <c r="C155" s="246"/>
      <c r="D155" s="247"/>
      <c r="E155" s="184"/>
      <c r="F155" s="187"/>
      <c r="G155" s="186"/>
      <c r="H155" s="186"/>
      <c r="I155" s="186"/>
      <c r="J155" s="186"/>
      <c r="K155" s="248"/>
      <c r="L155" s="184"/>
      <c r="M155" s="224"/>
      <c r="N155" s="184"/>
      <c r="O155" s="186"/>
      <c r="P155" s="186"/>
      <c r="Q155" s="186"/>
      <c r="R155" s="186"/>
      <c r="S155" s="186"/>
      <c r="T155" s="186"/>
      <c r="U155" s="186"/>
      <c r="V155" s="186"/>
      <c r="W155" s="186"/>
      <c r="X155" s="186"/>
      <c r="Y155" s="186"/>
      <c r="Z155" s="186"/>
      <c r="AA155" s="186"/>
      <c r="AB155" s="186"/>
      <c r="AC155" s="188"/>
      <c r="AD155" s="224"/>
      <c r="AE155" s="184"/>
      <c r="AF155" s="188"/>
      <c r="AG155" s="225"/>
      <c r="AH155" s="243"/>
      <c r="AI155" s="238"/>
      <c r="AJ155" s="243"/>
      <c r="AK155" s="207"/>
      <c r="AL155" s="210"/>
      <c r="AM155" s="250"/>
      <c r="AN155" s="211"/>
      <c r="AO155" s="208"/>
      <c r="AP155" s="162"/>
      <c r="AQ155" s="163"/>
      <c r="AR155" s="164"/>
      <c r="AS155" s="164"/>
      <c r="AT155" s="165"/>
      <c r="AU155" s="164"/>
      <c r="AV155" s="163"/>
      <c r="AW155" s="165"/>
      <c r="AX155" s="196"/>
      <c r="AY155" s="227"/>
      <c r="AZ155" s="166"/>
      <c r="BA155" s="167"/>
      <c r="BB155" s="168"/>
    </row>
    <row r="156" spans="1:54" x14ac:dyDescent="0.35">
      <c r="A156" s="245"/>
      <c r="B156" s="241"/>
      <c r="C156" s="246"/>
      <c r="D156" s="247"/>
      <c r="E156" s="184"/>
      <c r="F156" s="187"/>
      <c r="G156" s="186"/>
      <c r="H156" s="186"/>
      <c r="I156" s="186"/>
      <c r="J156" s="186"/>
      <c r="K156" s="248"/>
      <c r="L156" s="184"/>
      <c r="M156" s="224"/>
      <c r="N156" s="184"/>
      <c r="O156" s="186"/>
      <c r="P156" s="186"/>
      <c r="Q156" s="186"/>
      <c r="R156" s="186"/>
      <c r="S156" s="186"/>
      <c r="T156" s="186"/>
      <c r="U156" s="186"/>
      <c r="V156" s="186"/>
      <c r="W156" s="186"/>
      <c r="X156" s="186"/>
      <c r="Y156" s="186"/>
      <c r="Z156" s="186"/>
      <c r="AA156" s="186"/>
      <c r="AB156" s="186"/>
      <c r="AC156" s="188"/>
      <c r="AD156" s="224"/>
      <c r="AE156" s="184"/>
      <c r="AF156" s="188"/>
      <c r="AG156" s="225"/>
      <c r="AH156" s="243"/>
      <c r="AI156" s="238"/>
      <c r="AJ156" s="243"/>
      <c r="AK156" s="207"/>
      <c r="AL156" s="210"/>
      <c r="AM156" s="250"/>
      <c r="AN156" s="211"/>
      <c r="AO156" s="208"/>
      <c r="AP156" s="162"/>
      <c r="AQ156" s="163"/>
      <c r="AR156" s="164"/>
      <c r="AS156" s="164"/>
      <c r="AT156" s="165"/>
      <c r="AU156" s="164"/>
      <c r="AV156" s="163"/>
      <c r="AW156" s="165"/>
      <c r="AX156" s="196"/>
      <c r="AY156" s="227"/>
      <c r="AZ156" s="166"/>
      <c r="BA156" s="167"/>
      <c r="BB156" s="168"/>
    </row>
    <row r="157" spans="1:54" x14ac:dyDescent="0.35">
      <c r="A157" s="245"/>
      <c r="B157" s="241"/>
      <c r="C157" s="246"/>
      <c r="D157" s="247"/>
      <c r="E157" s="184"/>
      <c r="F157" s="187"/>
      <c r="G157" s="186"/>
      <c r="H157" s="186"/>
      <c r="I157" s="186"/>
      <c r="J157" s="186"/>
      <c r="K157" s="248"/>
      <c r="L157" s="184"/>
      <c r="M157" s="224"/>
      <c r="N157" s="184"/>
      <c r="O157" s="186"/>
      <c r="P157" s="186"/>
      <c r="Q157" s="186"/>
      <c r="R157" s="186"/>
      <c r="S157" s="186"/>
      <c r="T157" s="186"/>
      <c r="U157" s="186"/>
      <c r="V157" s="186"/>
      <c r="W157" s="186"/>
      <c r="X157" s="186"/>
      <c r="Y157" s="186"/>
      <c r="Z157" s="186"/>
      <c r="AA157" s="186"/>
      <c r="AB157" s="186"/>
      <c r="AC157" s="188"/>
      <c r="AD157" s="224"/>
      <c r="AE157" s="184"/>
      <c r="AF157" s="188"/>
      <c r="AG157" s="225"/>
      <c r="AH157" s="243"/>
      <c r="AI157" s="238"/>
      <c r="AJ157" s="243"/>
      <c r="AK157" s="207"/>
      <c r="AL157" s="210"/>
      <c r="AM157" s="250"/>
      <c r="AN157" s="211"/>
      <c r="AO157" s="208"/>
      <c r="AP157" s="162"/>
      <c r="AQ157" s="163"/>
      <c r="AR157" s="164"/>
      <c r="AS157" s="164"/>
      <c r="AT157" s="165"/>
      <c r="AU157" s="164"/>
      <c r="AV157" s="163"/>
      <c r="AW157" s="165"/>
      <c r="AX157" s="196"/>
      <c r="AY157" s="227"/>
      <c r="AZ157" s="166"/>
      <c r="BA157" s="167"/>
      <c r="BB157" s="168"/>
    </row>
    <row r="158" spans="1:54" x14ac:dyDescent="0.35">
      <c r="A158" s="245"/>
      <c r="B158" s="241"/>
      <c r="C158" s="246"/>
      <c r="D158" s="247"/>
      <c r="E158" s="184"/>
      <c r="F158" s="187"/>
      <c r="G158" s="186"/>
      <c r="H158" s="186"/>
      <c r="I158" s="186"/>
      <c r="J158" s="186"/>
      <c r="K158" s="248"/>
      <c r="L158" s="184"/>
      <c r="M158" s="224"/>
      <c r="N158" s="184"/>
      <c r="O158" s="186"/>
      <c r="P158" s="186"/>
      <c r="Q158" s="186"/>
      <c r="R158" s="186"/>
      <c r="S158" s="186"/>
      <c r="T158" s="186"/>
      <c r="U158" s="186"/>
      <c r="V158" s="186"/>
      <c r="W158" s="186"/>
      <c r="X158" s="186"/>
      <c r="Y158" s="186"/>
      <c r="Z158" s="186"/>
      <c r="AA158" s="186"/>
      <c r="AB158" s="186"/>
      <c r="AC158" s="188"/>
      <c r="AD158" s="224"/>
      <c r="AE158" s="184"/>
      <c r="AF158" s="188"/>
      <c r="AG158" s="225"/>
      <c r="AH158" s="243"/>
      <c r="AI158" s="238"/>
      <c r="AJ158" s="243"/>
      <c r="AK158" s="207"/>
      <c r="AL158" s="210"/>
      <c r="AM158" s="250"/>
      <c r="AN158" s="211"/>
      <c r="AO158" s="208"/>
      <c r="AP158" s="162"/>
      <c r="AQ158" s="163"/>
      <c r="AR158" s="164"/>
      <c r="AS158" s="164"/>
      <c r="AT158" s="165"/>
      <c r="AU158" s="164"/>
      <c r="AV158" s="163"/>
      <c r="AW158" s="165"/>
      <c r="AX158" s="196"/>
      <c r="AY158" s="227"/>
      <c r="AZ158" s="166"/>
      <c r="BA158" s="167"/>
      <c r="BB158" s="168"/>
    </row>
    <row r="159" spans="1:54" x14ac:dyDescent="0.35">
      <c r="A159" s="245"/>
      <c r="B159" s="241"/>
      <c r="C159" s="246"/>
      <c r="D159" s="247"/>
      <c r="E159" s="184"/>
      <c r="F159" s="187"/>
      <c r="G159" s="186"/>
      <c r="H159" s="186"/>
      <c r="I159" s="186"/>
      <c r="J159" s="186"/>
      <c r="K159" s="248"/>
      <c r="L159" s="184"/>
      <c r="M159" s="224"/>
      <c r="N159" s="184"/>
      <c r="O159" s="186"/>
      <c r="P159" s="186"/>
      <c r="Q159" s="186"/>
      <c r="R159" s="186"/>
      <c r="S159" s="186"/>
      <c r="T159" s="186"/>
      <c r="U159" s="186"/>
      <c r="V159" s="186"/>
      <c r="W159" s="186"/>
      <c r="X159" s="186"/>
      <c r="Y159" s="186"/>
      <c r="Z159" s="186"/>
      <c r="AA159" s="186"/>
      <c r="AB159" s="186"/>
      <c r="AC159" s="188"/>
      <c r="AD159" s="224"/>
      <c r="AE159" s="184"/>
      <c r="AF159" s="188"/>
      <c r="AG159" s="225"/>
      <c r="AH159" s="243"/>
      <c r="AI159" s="238"/>
      <c r="AJ159" s="243"/>
      <c r="AK159" s="207"/>
      <c r="AL159" s="210"/>
      <c r="AM159" s="250"/>
      <c r="AN159" s="211"/>
      <c r="AO159" s="208"/>
      <c r="AP159" s="162"/>
      <c r="AQ159" s="163"/>
      <c r="AR159" s="164"/>
      <c r="AS159" s="164"/>
      <c r="AT159" s="165"/>
      <c r="AU159" s="164"/>
      <c r="AV159" s="163"/>
      <c r="AW159" s="165"/>
      <c r="AX159" s="196"/>
      <c r="AY159" s="227"/>
      <c r="AZ159" s="166"/>
      <c r="BA159" s="167"/>
      <c r="BB159" s="168"/>
    </row>
    <row r="160" spans="1:54" x14ac:dyDescent="0.35">
      <c r="A160" s="245"/>
      <c r="B160" s="241"/>
      <c r="C160" s="246"/>
      <c r="D160" s="247"/>
      <c r="E160" s="184"/>
      <c r="F160" s="187"/>
      <c r="G160" s="186"/>
      <c r="H160" s="186"/>
      <c r="I160" s="186"/>
      <c r="J160" s="186"/>
      <c r="K160" s="248"/>
      <c r="L160" s="184"/>
      <c r="M160" s="224"/>
      <c r="N160" s="184"/>
      <c r="O160" s="186"/>
      <c r="P160" s="186"/>
      <c r="Q160" s="186"/>
      <c r="R160" s="186"/>
      <c r="S160" s="186"/>
      <c r="T160" s="186"/>
      <c r="U160" s="186"/>
      <c r="V160" s="186"/>
      <c r="W160" s="186"/>
      <c r="X160" s="186"/>
      <c r="Y160" s="186"/>
      <c r="Z160" s="186"/>
      <c r="AA160" s="186"/>
      <c r="AB160" s="186"/>
      <c r="AC160" s="188"/>
      <c r="AD160" s="224"/>
      <c r="AE160" s="184"/>
      <c r="AF160" s="188"/>
      <c r="AG160" s="225"/>
      <c r="AH160" s="243"/>
      <c r="AI160" s="238"/>
      <c r="AJ160" s="243"/>
      <c r="AK160" s="207"/>
      <c r="AL160" s="210"/>
      <c r="AM160" s="250"/>
      <c r="AN160" s="211"/>
      <c r="AO160" s="208"/>
      <c r="AP160" s="162"/>
      <c r="AQ160" s="163"/>
      <c r="AR160" s="164"/>
      <c r="AS160" s="164"/>
      <c r="AT160" s="165"/>
      <c r="AU160" s="164"/>
      <c r="AV160" s="163"/>
      <c r="AW160" s="165"/>
      <c r="AX160" s="196"/>
      <c r="AY160" s="227"/>
      <c r="AZ160" s="166"/>
      <c r="BA160" s="167"/>
      <c r="BB160" s="168"/>
    </row>
    <row r="161" spans="1:54" x14ac:dyDescent="0.35">
      <c r="A161" s="245"/>
      <c r="B161" s="241"/>
      <c r="C161" s="246"/>
      <c r="D161" s="247"/>
      <c r="E161" s="184"/>
      <c r="F161" s="187"/>
      <c r="G161" s="186"/>
      <c r="H161" s="186"/>
      <c r="I161" s="186"/>
      <c r="J161" s="186"/>
      <c r="K161" s="248"/>
      <c r="L161" s="184"/>
      <c r="M161" s="224"/>
      <c r="N161" s="184"/>
      <c r="O161" s="186"/>
      <c r="P161" s="186"/>
      <c r="Q161" s="186"/>
      <c r="R161" s="186"/>
      <c r="S161" s="186"/>
      <c r="T161" s="186"/>
      <c r="U161" s="186"/>
      <c r="V161" s="186"/>
      <c r="W161" s="186"/>
      <c r="X161" s="186"/>
      <c r="Y161" s="186"/>
      <c r="Z161" s="186"/>
      <c r="AA161" s="186"/>
      <c r="AB161" s="186"/>
      <c r="AC161" s="188"/>
      <c r="AD161" s="224"/>
      <c r="AE161" s="184"/>
      <c r="AF161" s="188"/>
      <c r="AG161" s="225"/>
      <c r="AH161" s="243"/>
      <c r="AI161" s="238"/>
      <c r="AJ161" s="243"/>
      <c r="AK161" s="207"/>
      <c r="AL161" s="210"/>
      <c r="AM161" s="250"/>
      <c r="AN161" s="211"/>
      <c r="AO161" s="208"/>
      <c r="AP161" s="162"/>
      <c r="AQ161" s="163"/>
      <c r="AR161" s="164"/>
      <c r="AS161" s="164"/>
      <c r="AT161" s="165"/>
      <c r="AU161" s="164"/>
      <c r="AV161" s="163"/>
      <c r="AW161" s="165"/>
      <c r="AX161" s="196"/>
      <c r="AY161" s="227"/>
      <c r="AZ161" s="166"/>
      <c r="BA161" s="167"/>
      <c r="BB161" s="168"/>
    </row>
    <row r="162" spans="1:54" x14ac:dyDescent="0.35">
      <c r="A162" s="245"/>
      <c r="B162" s="241"/>
      <c r="C162" s="246"/>
      <c r="D162" s="247"/>
      <c r="E162" s="184"/>
      <c r="F162" s="187"/>
      <c r="G162" s="186"/>
      <c r="H162" s="186"/>
      <c r="I162" s="186"/>
      <c r="J162" s="186"/>
      <c r="K162" s="248"/>
      <c r="L162" s="184"/>
      <c r="M162" s="224"/>
      <c r="N162" s="184"/>
      <c r="O162" s="186"/>
      <c r="P162" s="186"/>
      <c r="Q162" s="186"/>
      <c r="R162" s="186"/>
      <c r="S162" s="186"/>
      <c r="T162" s="186"/>
      <c r="U162" s="186"/>
      <c r="V162" s="186"/>
      <c r="W162" s="186"/>
      <c r="X162" s="186"/>
      <c r="Y162" s="186"/>
      <c r="Z162" s="186"/>
      <c r="AA162" s="186"/>
      <c r="AB162" s="186"/>
      <c r="AC162" s="188"/>
      <c r="AD162" s="224"/>
      <c r="AE162" s="184"/>
      <c r="AF162" s="188"/>
      <c r="AG162" s="225"/>
      <c r="AH162" s="243"/>
      <c r="AI162" s="238"/>
      <c r="AJ162" s="243"/>
      <c r="AK162" s="207"/>
      <c r="AL162" s="210"/>
      <c r="AM162" s="250"/>
      <c r="AN162" s="211"/>
      <c r="AO162" s="208"/>
      <c r="AP162" s="162"/>
      <c r="AQ162" s="163"/>
      <c r="AR162" s="164"/>
      <c r="AS162" s="164"/>
      <c r="AT162" s="165"/>
      <c r="AU162" s="164"/>
      <c r="AV162" s="163"/>
      <c r="AW162" s="165"/>
      <c r="AX162" s="196"/>
      <c r="AY162" s="227"/>
      <c r="AZ162" s="166"/>
      <c r="BA162" s="167"/>
      <c r="BB162" s="168"/>
    </row>
    <row r="163" spans="1:54" x14ac:dyDescent="0.35">
      <c r="A163" s="245"/>
      <c r="B163" s="241"/>
      <c r="C163" s="246"/>
      <c r="D163" s="247"/>
      <c r="E163" s="184"/>
      <c r="F163" s="187"/>
      <c r="G163" s="186"/>
      <c r="H163" s="186"/>
      <c r="I163" s="186"/>
      <c r="J163" s="186"/>
      <c r="K163" s="248"/>
      <c r="L163" s="184"/>
      <c r="M163" s="224"/>
      <c r="N163" s="184"/>
      <c r="O163" s="186"/>
      <c r="P163" s="186"/>
      <c r="Q163" s="186"/>
      <c r="R163" s="186"/>
      <c r="S163" s="186"/>
      <c r="T163" s="186"/>
      <c r="U163" s="186"/>
      <c r="V163" s="186"/>
      <c r="W163" s="186"/>
      <c r="X163" s="186"/>
      <c r="Y163" s="186"/>
      <c r="Z163" s="186"/>
      <c r="AA163" s="186"/>
      <c r="AB163" s="186"/>
      <c r="AC163" s="188"/>
      <c r="AD163" s="224"/>
      <c r="AE163" s="184"/>
      <c r="AF163" s="188"/>
      <c r="AG163" s="225"/>
      <c r="AH163" s="243"/>
      <c r="AI163" s="238"/>
      <c r="AJ163" s="243"/>
      <c r="AK163" s="207"/>
      <c r="AL163" s="210"/>
      <c r="AM163" s="250"/>
      <c r="AN163" s="211"/>
      <c r="AO163" s="208"/>
      <c r="AP163" s="162"/>
      <c r="AQ163" s="163"/>
      <c r="AR163" s="164"/>
      <c r="AS163" s="164"/>
      <c r="AT163" s="165"/>
      <c r="AU163" s="164"/>
      <c r="AV163" s="163"/>
      <c r="AW163" s="165"/>
      <c r="AX163" s="196"/>
      <c r="AY163" s="227"/>
      <c r="AZ163" s="166"/>
      <c r="BA163" s="167"/>
      <c r="BB163" s="168"/>
    </row>
    <row r="164" spans="1:54" x14ac:dyDescent="0.35">
      <c r="A164" s="245"/>
      <c r="B164" s="241"/>
      <c r="C164" s="246"/>
      <c r="D164" s="247"/>
      <c r="E164" s="184"/>
      <c r="F164" s="187"/>
      <c r="G164" s="186"/>
      <c r="H164" s="186"/>
      <c r="I164" s="186"/>
      <c r="J164" s="186"/>
      <c r="K164" s="248"/>
      <c r="L164" s="184"/>
      <c r="M164" s="224"/>
      <c r="N164" s="184"/>
      <c r="O164" s="186"/>
      <c r="P164" s="186"/>
      <c r="Q164" s="186"/>
      <c r="R164" s="186"/>
      <c r="S164" s="186"/>
      <c r="T164" s="186"/>
      <c r="U164" s="186"/>
      <c r="V164" s="186"/>
      <c r="W164" s="186"/>
      <c r="X164" s="186"/>
      <c r="Y164" s="186"/>
      <c r="Z164" s="186"/>
      <c r="AA164" s="186"/>
      <c r="AB164" s="186"/>
      <c r="AC164" s="188"/>
      <c r="AD164" s="224"/>
      <c r="AE164" s="184"/>
      <c r="AF164" s="188"/>
      <c r="AG164" s="225"/>
      <c r="AH164" s="243"/>
      <c r="AI164" s="238"/>
      <c r="AJ164" s="243"/>
      <c r="AK164" s="207"/>
      <c r="AL164" s="210"/>
      <c r="AM164" s="250"/>
      <c r="AN164" s="211"/>
      <c r="AO164" s="208"/>
      <c r="AP164" s="162"/>
      <c r="AQ164" s="163"/>
      <c r="AR164" s="164"/>
      <c r="AS164" s="164"/>
      <c r="AT164" s="165"/>
      <c r="AU164" s="164"/>
      <c r="AV164" s="163"/>
      <c r="AW164" s="165"/>
      <c r="AX164" s="196"/>
      <c r="AY164" s="227"/>
      <c r="AZ164" s="166"/>
      <c r="BA164" s="167"/>
      <c r="BB164" s="168"/>
    </row>
    <row r="165" spans="1:54" x14ac:dyDescent="0.35">
      <c r="A165" s="245"/>
      <c r="B165" s="241"/>
      <c r="C165" s="246"/>
      <c r="D165" s="247"/>
      <c r="E165" s="184"/>
      <c r="F165" s="187"/>
      <c r="G165" s="186"/>
      <c r="H165" s="186"/>
      <c r="I165" s="186"/>
      <c r="J165" s="186"/>
      <c r="K165" s="248"/>
      <c r="L165" s="184"/>
      <c r="M165" s="224"/>
      <c r="N165" s="184"/>
      <c r="O165" s="186"/>
      <c r="P165" s="186"/>
      <c r="Q165" s="186"/>
      <c r="R165" s="186"/>
      <c r="S165" s="186"/>
      <c r="T165" s="186"/>
      <c r="U165" s="186"/>
      <c r="V165" s="186"/>
      <c r="W165" s="186"/>
      <c r="X165" s="186"/>
      <c r="Y165" s="186"/>
      <c r="Z165" s="186"/>
      <c r="AA165" s="186"/>
      <c r="AB165" s="186"/>
      <c r="AC165" s="188"/>
      <c r="AD165" s="224"/>
      <c r="AE165" s="184"/>
      <c r="AF165" s="188"/>
      <c r="AG165" s="225"/>
      <c r="AH165" s="243"/>
      <c r="AI165" s="238"/>
      <c r="AJ165" s="243"/>
      <c r="AK165" s="207"/>
      <c r="AL165" s="210"/>
      <c r="AM165" s="250"/>
      <c r="AN165" s="211"/>
      <c r="AO165" s="208"/>
      <c r="AP165" s="162"/>
      <c r="AQ165" s="163"/>
      <c r="AR165" s="164"/>
      <c r="AS165" s="164"/>
      <c r="AT165" s="165"/>
      <c r="AU165" s="164"/>
      <c r="AV165" s="163"/>
      <c r="AW165" s="165"/>
      <c r="AX165" s="196"/>
      <c r="AY165" s="227"/>
      <c r="AZ165" s="166"/>
      <c r="BA165" s="167"/>
      <c r="BB165" s="168"/>
    </row>
    <row r="166" spans="1:54" x14ac:dyDescent="0.35">
      <c r="A166" s="245"/>
      <c r="B166" s="241"/>
      <c r="C166" s="246"/>
      <c r="D166" s="247"/>
      <c r="E166" s="184"/>
      <c r="F166" s="187"/>
      <c r="G166" s="186"/>
      <c r="H166" s="186"/>
      <c r="I166" s="186"/>
      <c r="J166" s="186"/>
      <c r="K166" s="248"/>
      <c r="L166" s="184"/>
      <c r="M166" s="224"/>
      <c r="N166" s="184"/>
      <c r="O166" s="186"/>
      <c r="P166" s="186"/>
      <c r="Q166" s="186"/>
      <c r="R166" s="186"/>
      <c r="S166" s="186"/>
      <c r="T166" s="186"/>
      <c r="U166" s="186"/>
      <c r="V166" s="186"/>
      <c r="W166" s="186"/>
      <c r="X166" s="186"/>
      <c r="Y166" s="186"/>
      <c r="Z166" s="186"/>
      <c r="AA166" s="186"/>
      <c r="AB166" s="186"/>
      <c r="AC166" s="188"/>
      <c r="AD166" s="224"/>
      <c r="AE166" s="184"/>
      <c r="AF166" s="188"/>
      <c r="AG166" s="225"/>
      <c r="AH166" s="243"/>
      <c r="AI166" s="238"/>
      <c r="AJ166" s="243"/>
      <c r="AK166" s="207"/>
      <c r="AL166" s="210"/>
      <c r="AM166" s="250"/>
      <c r="AN166" s="211"/>
      <c r="AO166" s="208"/>
      <c r="AP166" s="162"/>
      <c r="AQ166" s="163"/>
      <c r="AR166" s="164"/>
      <c r="AS166" s="164"/>
      <c r="AT166" s="165"/>
      <c r="AU166" s="164"/>
      <c r="AV166" s="163"/>
      <c r="AW166" s="165"/>
      <c r="AX166" s="196"/>
      <c r="AY166" s="227"/>
      <c r="AZ166" s="166"/>
      <c r="BA166" s="167"/>
      <c r="BB166" s="168"/>
    </row>
    <row r="167" spans="1:54" x14ac:dyDescent="0.35">
      <c r="A167" s="245"/>
      <c r="B167" s="241"/>
      <c r="C167" s="246"/>
      <c r="D167" s="247"/>
      <c r="E167" s="184"/>
      <c r="F167" s="187"/>
      <c r="G167" s="186"/>
      <c r="H167" s="186"/>
      <c r="I167" s="186"/>
      <c r="J167" s="186"/>
      <c r="K167" s="248"/>
      <c r="L167" s="184"/>
      <c r="M167" s="224"/>
      <c r="N167" s="184"/>
      <c r="O167" s="186"/>
      <c r="P167" s="186"/>
      <c r="Q167" s="186"/>
      <c r="R167" s="186"/>
      <c r="S167" s="186"/>
      <c r="T167" s="186"/>
      <c r="U167" s="186"/>
      <c r="V167" s="186"/>
      <c r="W167" s="186"/>
      <c r="X167" s="186"/>
      <c r="Y167" s="186"/>
      <c r="Z167" s="186"/>
      <c r="AA167" s="186"/>
      <c r="AB167" s="186"/>
      <c r="AC167" s="188"/>
      <c r="AD167" s="224"/>
      <c r="AE167" s="184"/>
      <c r="AF167" s="188"/>
      <c r="AG167" s="225"/>
      <c r="AH167" s="243"/>
      <c r="AI167" s="238"/>
      <c r="AJ167" s="243"/>
      <c r="AK167" s="207"/>
      <c r="AL167" s="210"/>
      <c r="AM167" s="250"/>
      <c r="AN167" s="211"/>
      <c r="AO167" s="208"/>
      <c r="AP167" s="162"/>
      <c r="AQ167" s="163"/>
      <c r="AR167" s="164"/>
      <c r="AS167" s="164"/>
      <c r="AT167" s="165"/>
      <c r="AU167" s="164"/>
      <c r="AV167" s="163"/>
      <c r="AW167" s="165"/>
      <c r="AX167" s="196"/>
      <c r="AY167" s="227"/>
      <c r="AZ167" s="166"/>
      <c r="BA167" s="167"/>
      <c r="BB167" s="168"/>
    </row>
    <row r="168" spans="1:54" x14ac:dyDescent="0.35">
      <c r="A168" s="245"/>
      <c r="B168" s="241"/>
      <c r="C168" s="246"/>
      <c r="D168" s="247"/>
      <c r="E168" s="184"/>
      <c r="F168" s="187"/>
      <c r="G168" s="186"/>
      <c r="H168" s="186"/>
      <c r="I168" s="186"/>
      <c r="J168" s="186"/>
      <c r="K168" s="248"/>
      <c r="L168" s="184"/>
      <c r="M168" s="224"/>
      <c r="N168" s="184"/>
      <c r="O168" s="186"/>
      <c r="P168" s="186"/>
      <c r="Q168" s="186"/>
      <c r="R168" s="186"/>
      <c r="S168" s="186"/>
      <c r="T168" s="186"/>
      <c r="U168" s="186"/>
      <c r="V168" s="186"/>
      <c r="W168" s="186"/>
      <c r="X168" s="186"/>
      <c r="Y168" s="186"/>
      <c r="Z168" s="186"/>
      <c r="AA168" s="186"/>
      <c r="AB168" s="186"/>
      <c r="AC168" s="188"/>
      <c r="AD168" s="224"/>
      <c r="AE168" s="184"/>
      <c r="AF168" s="188"/>
      <c r="AG168" s="225"/>
      <c r="AH168" s="243"/>
      <c r="AI168" s="238"/>
      <c r="AJ168" s="243"/>
      <c r="AK168" s="207"/>
      <c r="AL168" s="210"/>
      <c r="AM168" s="250"/>
      <c r="AN168" s="211"/>
      <c r="AO168" s="208"/>
      <c r="AP168" s="162"/>
      <c r="AQ168" s="163"/>
      <c r="AR168" s="164"/>
      <c r="AS168" s="164"/>
      <c r="AT168" s="165"/>
      <c r="AU168" s="164"/>
      <c r="AV168" s="163"/>
      <c r="AW168" s="165"/>
      <c r="AX168" s="196"/>
      <c r="AY168" s="227"/>
      <c r="AZ168" s="166"/>
      <c r="BA168" s="167"/>
      <c r="BB168" s="168"/>
    </row>
    <row r="169" spans="1:54" x14ac:dyDescent="0.35">
      <c r="A169" s="245"/>
      <c r="B169" s="241"/>
      <c r="C169" s="246"/>
      <c r="D169" s="247"/>
      <c r="E169" s="184"/>
      <c r="F169" s="187"/>
      <c r="G169" s="186"/>
      <c r="H169" s="186"/>
      <c r="I169" s="186"/>
      <c r="J169" s="186"/>
      <c r="K169" s="248"/>
      <c r="L169" s="184"/>
      <c r="M169" s="224"/>
      <c r="N169" s="184"/>
      <c r="O169" s="186"/>
      <c r="P169" s="186"/>
      <c r="Q169" s="186"/>
      <c r="R169" s="186"/>
      <c r="S169" s="186"/>
      <c r="T169" s="186"/>
      <c r="U169" s="186"/>
      <c r="V169" s="186"/>
      <c r="W169" s="186"/>
      <c r="X169" s="186"/>
      <c r="Y169" s="186"/>
      <c r="Z169" s="186"/>
      <c r="AA169" s="186"/>
      <c r="AB169" s="186"/>
      <c r="AC169" s="188"/>
      <c r="AD169" s="224"/>
      <c r="AE169" s="184"/>
      <c r="AF169" s="188"/>
      <c r="AG169" s="225"/>
      <c r="AH169" s="243"/>
      <c r="AI169" s="238"/>
      <c r="AJ169" s="243"/>
      <c r="AK169" s="207"/>
      <c r="AL169" s="210"/>
      <c r="AM169" s="250"/>
      <c r="AN169" s="211"/>
      <c r="AO169" s="208"/>
      <c r="AP169" s="162"/>
      <c r="AQ169" s="163"/>
      <c r="AR169" s="164"/>
      <c r="AS169" s="164"/>
      <c r="AT169" s="165"/>
      <c r="AU169" s="164"/>
      <c r="AV169" s="163"/>
      <c r="AW169" s="165"/>
      <c r="AX169" s="196"/>
      <c r="AY169" s="227"/>
      <c r="AZ169" s="166"/>
      <c r="BA169" s="167"/>
      <c r="BB169" s="168"/>
    </row>
    <row r="170" spans="1:54" x14ac:dyDescent="0.35">
      <c r="A170" s="245"/>
      <c r="B170" s="241"/>
      <c r="C170" s="246"/>
      <c r="D170" s="247"/>
      <c r="E170" s="184"/>
      <c r="F170" s="187"/>
      <c r="G170" s="186"/>
      <c r="H170" s="186"/>
      <c r="I170" s="186"/>
      <c r="J170" s="186"/>
      <c r="K170" s="248"/>
      <c r="L170" s="184"/>
      <c r="M170" s="224"/>
      <c r="N170" s="184"/>
      <c r="O170" s="186"/>
      <c r="P170" s="186"/>
      <c r="Q170" s="186"/>
      <c r="R170" s="186"/>
      <c r="S170" s="186"/>
      <c r="T170" s="186"/>
      <c r="U170" s="186"/>
      <c r="V170" s="186"/>
      <c r="W170" s="186"/>
      <c r="X170" s="186"/>
      <c r="Y170" s="186"/>
      <c r="Z170" s="186"/>
      <c r="AA170" s="186"/>
      <c r="AB170" s="186"/>
      <c r="AC170" s="188"/>
      <c r="AD170" s="224"/>
      <c r="AE170" s="184"/>
      <c r="AF170" s="188"/>
      <c r="AG170" s="225"/>
      <c r="AH170" s="243"/>
      <c r="AI170" s="238"/>
      <c r="AJ170" s="243"/>
      <c r="AK170" s="207"/>
      <c r="AL170" s="210"/>
      <c r="AM170" s="250"/>
      <c r="AN170" s="211"/>
      <c r="AO170" s="208"/>
      <c r="AP170" s="162"/>
      <c r="AQ170" s="163"/>
      <c r="AR170" s="164"/>
      <c r="AS170" s="164"/>
      <c r="AT170" s="165"/>
      <c r="AU170" s="164"/>
      <c r="AV170" s="163"/>
      <c r="AW170" s="165"/>
      <c r="AX170" s="196"/>
      <c r="AY170" s="227"/>
      <c r="AZ170" s="166"/>
      <c r="BA170" s="167"/>
      <c r="BB170" s="168"/>
    </row>
    <row r="171" spans="1:54" x14ac:dyDescent="0.35">
      <c r="A171" s="245"/>
      <c r="B171" s="241"/>
      <c r="C171" s="246"/>
      <c r="D171" s="247"/>
      <c r="E171" s="184"/>
      <c r="F171" s="187"/>
      <c r="G171" s="186"/>
      <c r="H171" s="186"/>
      <c r="I171" s="186"/>
      <c r="J171" s="186"/>
      <c r="K171" s="248"/>
      <c r="L171" s="184"/>
      <c r="M171" s="224"/>
      <c r="N171" s="184"/>
      <c r="O171" s="186"/>
      <c r="P171" s="186"/>
      <c r="Q171" s="186"/>
      <c r="R171" s="186"/>
      <c r="S171" s="186"/>
      <c r="T171" s="186"/>
      <c r="U171" s="186"/>
      <c r="V171" s="186"/>
      <c r="W171" s="186"/>
      <c r="X171" s="186"/>
      <c r="Y171" s="186"/>
      <c r="Z171" s="186"/>
      <c r="AA171" s="186"/>
      <c r="AB171" s="186"/>
      <c r="AC171" s="188"/>
      <c r="AD171" s="224"/>
      <c r="AE171" s="184"/>
      <c r="AF171" s="188"/>
      <c r="AG171" s="225"/>
      <c r="AH171" s="243"/>
      <c r="AI171" s="238"/>
      <c r="AJ171" s="243"/>
      <c r="AK171" s="207"/>
      <c r="AL171" s="210"/>
      <c r="AM171" s="250"/>
      <c r="AN171" s="211"/>
      <c r="AO171" s="208"/>
      <c r="AP171" s="162"/>
      <c r="AQ171" s="163"/>
      <c r="AR171" s="164"/>
      <c r="AS171" s="164"/>
      <c r="AT171" s="165"/>
      <c r="AU171" s="164"/>
      <c r="AV171" s="163"/>
      <c r="AW171" s="165"/>
      <c r="AX171" s="196"/>
      <c r="AY171" s="227"/>
      <c r="AZ171" s="166"/>
      <c r="BA171" s="167"/>
      <c r="BB171" s="168"/>
    </row>
    <row r="172" spans="1:54" x14ac:dyDescent="0.35">
      <c r="A172" s="245"/>
      <c r="B172" s="241"/>
      <c r="C172" s="246"/>
      <c r="D172" s="247"/>
      <c r="E172" s="184"/>
      <c r="F172" s="187"/>
      <c r="G172" s="186"/>
      <c r="H172" s="186"/>
      <c r="I172" s="186"/>
      <c r="J172" s="186"/>
      <c r="K172" s="248"/>
      <c r="L172" s="184"/>
      <c r="M172" s="224"/>
      <c r="N172" s="184"/>
      <c r="O172" s="186"/>
      <c r="P172" s="186"/>
      <c r="Q172" s="186"/>
      <c r="R172" s="186"/>
      <c r="S172" s="186"/>
      <c r="T172" s="186"/>
      <c r="U172" s="186"/>
      <c r="V172" s="186"/>
      <c r="W172" s="186"/>
      <c r="X172" s="186"/>
      <c r="Y172" s="186"/>
      <c r="Z172" s="186"/>
      <c r="AA172" s="186"/>
      <c r="AB172" s="186"/>
      <c r="AC172" s="188"/>
      <c r="AD172" s="224"/>
      <c r="AE172" s="184"/>
      <c r="AF172" s="188"/>
      <c r="AG172" s="225"/>
      <c r="AH172" s="243"/>
      <c r="AI172" s="238"/>
      <c r="AJ172" s="243"/>
      <c r="AK172" s="207"/>
      <c r="AL172" s="210"/>
      <c r="AM172" s="250"/>
      <c r="AN172" s="211"/>
      <c r="AO172" s="208"/>
      <c r="AP172" s="162"/>
      <c r="AQ172" s="163"/>
      <c r="AR172" s="164"/>
      <c r="AS172" s="164"/>
      <c r="AT172" s="165"/>
      <c r="AU172" s="164"/>
      <c r="AV172" s="163"/>
      <c r="AW172" s="165"/>
      <c r="AX172" s="196"/>
      <c r="AY172" s="227"/>
      <c r="AZ172" s="166"/>
      <c r="BA172" s="167"/>
      <c r="BB172" s="168"/>
    </row>
    <row r="173" spans="1:54" x14ac:dyDescent="0.35">
      <c r="A173" s="245"/>
      <c r="B173" s="241"/>
      <c r="C173" s="246"/>
      <c r="D173" s="247"/>
      <c r="E173" s="184"/>
      <c r="F173" s="187"/>
      <c r="G173" s="186"/>
      <c r="H173" s="186"/>
      <c r="I173" s="186"/>
      <c r="J173" s="186"/>
      <c r="K173" s="248"/>
      <c r="L173" s="184"/>
      <c r="M173" s="224"/>
      <c r="N173" s="184"/>
      <c r="O173" s="186"/>
      <c r="P173" s="186"/>
      <c r="Q173" s="186"/>
      <c r="R173" s="186"/>
      <c r="S173" s="186"/>
      <c r="T173" s="186"/>
      <c r="U173" s="186"/>
      <c r="V173" s="186"/>
      <c r="W173" s="186"/>
      <c r="X173" s="186"/>
      <c r="Y173" s="186"/>
      <c r="Z173" s="186"/>
      <c r="AA173" s="186"/>
      <c r="AB173" s="186"/>
      <c r="AC173" s="188"/>
      <c r="AD173" s="224"/>
      <c r="AE173" s="184"/>
      <c r="AF173" s="188"/>
      <c r="AG173" s="225"/>
      <c r="AH173" s="243"/>
      <c r="AI173" s="238"/>
      <c r="AJ173" s="243"/>
      <c r="AK173" s="207"/>
      <c r="AL173" s="210"/>
      <c r="AM173" s="250"/>
      <c r="AN173" s="211"/>
      <c r="AO173" s="208"/>
      <c r="AP173" s="162"/>
      <c r="AQ173" s="163"/>
      <c r="AR173" s="164"/>
      <c r="AS173" s="164"/>
      <c r="AT173" s="165"/>
      <c r="AU173" s="164"/>
      <c r="AV173" s="163"/>
      <c r="AW173" s="165"/>
      <c r="AX173" s="196"/>
      <c r="AY173" s="227"/>
      <c r="AZ173" s="166"/>
      <c r="BA173" s="167"/>
      <c r="BB173" s="168"/>
    </row>
    <row r="174" spans="1:54" x14ac:dyDescent="0.35">
      <c r="A174" s="245"/>
      <c r="B174" s="241"/>
      <c r="C174" s="246"/>
      <c r="D174" s="247"/>
      <c r="E174" s="184"/>
      <c r="F174" s="187"/>
      <c r="G174" s="186"/>
      <c r="H174" s="186"/>
      <c r="I174" s="186"/>
      <c r="J174" s="186"/>
      <c r="K174" s="248"/>
      <c r="L174" s="184"/>
      <c r="M174" s="224"/>
      <c r="N174" s="184"/>
      <c r="O174" s="186"/>
      <c r="P174" s="186"/>
      <c r="Q174" s="186"/>
      <c r="R174" s="186"/>
      <c r="S174" s="186"/>
      <c r="T174" s="186"/>
      <c r="U174" s="186"/>
      <c r="V174" s="186"/>
      <c r="W174" s="186"/>
      <c r="X174" s="186"/>
      <c r="Y174" s="186"/>
      <c r="Z174" s="186"/>
      <c r="AA174" s="186"/>
      <c r="AB174" s="186"/>
      <c r="AC174" s="188"/>
      <c r="AD174" s="224"/>
      <c r="AE174" s="184"/>
      <c r="AF174" s="188"/>
      <c r="AG174" s="225"/>
      <c r="AH174" s="243"/>
      <c r="AI174" s="238"/>
      <c r="AJ174" s="243"/>
      <c r="AK174" s="207"/>
      <c r="AL174" s="210"/>
      <c r="AM174" s="250"/>
      <c r="AN174" s="211"/>
      <c r="AO174" s="208"/>
      <c r="AP174" s="162"/>
      <c r="AQ174" s="163"/>
      <c r="AR174" s="164"/>
      <c r="AS174" s="164"/>
      <c r="AT174" s="165"/>
      <c r="AU174" s="164"/>
      <c r="AV174" s="163"/>
      <c r="AW174" s="165"/>
      <c r="AX174" s="196"/>
      <c r="AY174" s="227"/>
      <c r="AZ174" s="166"/>
      <c r="BA174" s="167"/>
      <c r="BB174" s="168"/>
    </row>
    <row r="175" spans="1:54" x14ac:dyDescent="0.35">
      <c r="A175" s="245"/>
      <c r="B175" s="241"/>
      <c r="C175" s="246"/>
      <c r="D175" s="247"/>
      <c r="E175" s="184"/>
      <c r="F175" s="187"/>
      <c r="G175" s="186"/>
      <c r="H175" s="186"/>
      <c r="I175" s="186"/>
      <c r="J175" s="186"/>
      <c r="K175" s="248"/>
      <c r="L175" s="184"/>
      <c r="M175" s="224"/>
      <c r="N175" s="184"/>
      <c r="O175" s="186"/>
      <c r="P175" s="186"/>
      <c r="Q175" s="186"/>
      <c r="R175" s="186"/>
      <c r="S175" s="186"/>
      <c r="T175" s="186"/>
      <c r="U175" s="186"/>
      <c r="V175" s="186"/>
      <c r="W175" s="186"/>
      <c r="X175" s="186"/>
      <c r="Y175" s="186"/>
      <c r="Z175" s="186"/>
      <c r="AA175" s="186"/>
      <c r="AB175" s="186"/>
      <c r="AC175" s="188"/>
      <c r="AD175" s="224"/>
      <c r="AE175" s="184"/>
      <c r="AF175" s="188"/>
      <c r="AG175" s="225"/>
      <c r="AH175" s="243"/>
      <c r="AI175" s="238"/>
      <c r="AJ175" s="243"/>
      <c r="AK175" s="207"/>
      <c r="AL175" s="210"/>
      <c r="AM175" s="250"/>
      <c r="AN175" s="211"/>
      <c r="AO175" s="208"/>
      <c r="AP175" s="162"/>
      <c r="AQ175" s="163"/>
      <c r="AR175" s="164"/>
      <c r="AS175" s="164"/>
      <c r="AT175" s="165"/>
      <c r="AU175" s="164"/>
      <c r="AV175" s="163"/>
      <c r="AW175" s="165"/>
      <c r="AX175" s="196"/>
      <c r="AY175" s="227"/>
      <c r="AZ175" s="166"/>
      <c r="BA175" s="167"/>
      <c r="BB175" s="168"/>
    </row>
    <row r="176" spans="1:54" x14ac:dyDescent="0.35">
      <c r="A176" s="245"/>
      <c r="B176" s="241"/>
      <c r="C176" s="246"/>
      <c r="D176" s="247"/>
      <c r="E176" s="184"/>
      <c r="F176" s="187"/>
      <c r="G176" s="186"/>
      <c r="H176" s="186"/>
      <c r="I176" s="186"/>
      <c r="J176" s="186"/>
      <c r="K176" s="248"/>
      <c r="L176" s="184"/>
      <c r="M176" s="224"/>
      <c r="N176" s="184"/>
      <c r="O176" s="186"/>
      <c r="P176" s="186"/>
      <c r="Q176" s="186"/>
      <c r="R176" s="186"/>
      <c r="S176" s="186"/>
      <c r="T176" s="186"/>
      <c r="U176" s="186"/>
      <c r="V176" s="186"/>
      <c r="W176" s="186"/>
      <c r="X176" s="186"/>
      <c r="Y176" s="186"/>
      <c r="Z176" s="186"/>
      <c r="AA176" s="186"/>
      <c r="AB176" s="186"/>
      <c r="AC176" s="188"/>
      <c r="AD176" s="224"/>
      <c r="AE176" s="184"/>
      <c r="AF176" s="188"/>
      <c r="AG176" s="225"/>
      <c r="AH176" s="243"/>
      <c r="AI176" s="238"/>
      <c r="AJ176" s="243"/>
      <c r="AK176" s="207"/>
      <c r="AL176" s="210"/>
      <c r="AM176" s="250"/>
      <c r="AN176" s="211"/>
      <c r="AO176" s="208"/>
      <c r="AP176" s="162"/>
      <c r="AQ176" s="163"/>
      <c r="AR176" s="164"/>
      <c r="AS176" s="164"/>
      <c r="AT176" s="165"/>
      <c r="AU176" s="164"/>
      <c r="AV176" s="163"/>
      <c r="AW176" s="165"/>
      <c r="AX176" s="196"/>
      <c r="AY176" s="227"/>
      <c r="AZ176" s="166"/>
      <c r="BA176" s="167"/>
      <c r="BB176" s="168"/>
    </row>
    <row r="177" spans="1:54" x14ac:dyDescent="0.35">
      <c r="A177" s="245"/>
      <c r="B177" s="241"/>
      <c r="C177" s="246"/>
      <c r="D177" s="247"/>
      <c r="E177" s="184"/>
      <c r="F177" s="187"/>
      <c r="G177" s="186"/>
      <c r="H177" s="186"/>
      <c r="I177" s="186"/>
      <c r="J177" s="186"/>
      <c r="K177" s="248"/>
      <c r="L177" s="184"/>
      <c r="M177" s="224"/>
      <c r="N177" s="184"/>
      <c r="O177" s="186"/>
      <c r="P177" s="186"/>
      <c r="Q177" s="186"/>
      <c r="R177" s="186"/>
      <c r="S177" s="186"/>
      <c r="T177" s="186"/>
      <c r="U177" s="186"/>
      <c r="V177" s="186"/>
      <c r="W177" s="186"/>
      <c r="X177" s="186"/>
      <c r="Y177" s="186"/>
      <c r="Z177" s="186"/>
      <c r="AA177" s="186"/>
      <c r="AB177" s="186"/>
      <c r="AC177" s="188"/>
      <c r="AD177" s="224"/>
      <c r="AE177" s="184"/>
      <c r="AF177" s="188"/>
      <c r="AG177" s="225"/>
      <c r="AH177" s="243"/>
      <c r="AI177" s="238"/>
      <c r="AJ177" s="243"/>
      <c r="AK177" s="207"/>
      <c r="AL177" s="210"/>
      <c r="AM177" s="250"/>
      <c r="AN177" s="211"/>
      <c r="AO177" s="208"/>
      <c r="AP177" s="162"/>
      <c r="AQ177" s="163"/>
      <c r="AR177" s="164"/>
      <c r="AS177" s="164"/>
      <c r="AT177" s="165"/>
      <c r="AU177" s="164"/>
      <c r="AV177" s="163"/>
      <c r="AW177" s="165"/>
      <c r="AX177" s="196"/>
      <c r="AY177" s="227"/>
      <c r="AZ177" s="166"/>
      <c r="BA177" s="167"/>
      <c r="BB177" s="168"/>
    </row>
    <row r="178" spans="1:54" x14ac:dyDescent="0.35">
      <c r="A178" s="245"/>
      <c r="B178" s="241"/>
      <c r="C178" s="246"/>
      <c r="D178" s="247"/>
      <c r="E178" s="184"/>
      <c r="F178" s="187"/>
      <c r="G178" s="186"/>
      <c r="H178" s="186"/>
      <c r="I178" s="186"/>
      <c r="J178" s="186"/>
      <c r="K178" s="248"/>
      <c r="L178" s="184"/>
      <c r="M178" s="224"/>
      <c r="N178" s="184"/>
      <c r="O178" s="186"/>
      <c r="P178" s="186"/>
      <c r="Q178" s="186"/>
      <c r="R178" s="186"/>
      <c r="S178" s="186"/>
      <c r="T178" s="186"/>
      <c r="U178" s="186"/>
      <c r="V178" s="186"/>
      <c r="W178" s="186"/>
      <c r="X178" s="186"/>
      <c r="Y178" s="186"/>
      <c r="Z178" s="186"/>
      <c r="AA178" s="186"/>
      <c r="AB178" s="186"/>
      <c r="AC178" s="188"/>
      <c r="AD178" s="224"/>
      <c r="AE178" s="184"/>
      <c r="AF178" s="188"/>
      <c r="AG178" s="225"/>
      <c r="AH178" s="243"/>
      <c r="AI178" s="238"/>
      <c r="AJ178" s="243"/>
      <c r="AK178" s="207"/>
      <c r="AL178" s="210"/>
      <c r="AM178" s="250"/>
      <c r="AN178" s="211"/>
      <c r="AO178" s="208"/>
      <c r="AP178" s="162"/>
      <c r="AQ178" s="163"/>
      <c r="AR178" s="164"/>
      <c r="AS178" s="164"/>
      <c r="AT178" s="165"/>
      <c r="AU178" s="164"/>
      <c r="AV178" s="163"/>
      <c r="AW178" s="165"/>
      <c r="AX178" s="196"/>
      <c r="AY178" s="227"/>
      <c r="AZ178" s="166"/>
      <c r="BA178" s="167"/>
      <c r="BB178" s="168"/>
    </row>
    <row r="179" spans="1:54" x14ac:dyDescent="0.35">
      <c r="A179" s="245"/>
      <c r="B179" s="241"/>
      <c r="C179" s="246"/>
      <c r="D179" s="247"/>
      <c r="E179" s="184"/>
      <c r="F179" s="187"/>
      <c r="G179" s="186"/>
      <c r="H179" s="186"/>
      <c r="I179" s="186"/>
      <c r="J179" s="186"/>
      <c r="K179" s="248"/>
      <c r="L179" s="184"/>
      <c r="M179" s="224"/>
      <c r="N179" s="184"/>
      <c r="O179" s="186"/>
      <c r="P179" s="186"/>
      <c r="Q179" s="186"/>
      <c r="R179" s="186"/>
      <c r="S179" s="186"/>
      <c r="T179" s="186"/>
      <c r="U179" s="186"/>
      <c r="V179" s="186"/>
      <c r="W179" s="186"/>
      <c r="X179" s="186"/>
      <c r="Y179" s="186"/>
      <c r="Z179" s="186"/>
      <c r="AA179" s="186"/>
      <c r="AB179" s="186"/>
      <c r="AC179" s="188"/>
      <c r="AD179" s="224"/>
      <c r="AE179" s="184"/>
      <c r="AF179" s="188"/>
      <c r="AG179" s="225"/>
      <c r="AH179" s="243"/>
      <c r="AI179" s="238"/>
      <c r="AJ179" s="243"/>
      <c r="AK179" s="207"/>
      <c r="AL179" s="210"/>
      <c r="AM179" s="250"/>
      <c r="AN179" s="211"/>
      <c r="AO179" s="208"/>
      <c r="AP179" s="162"/>
      <c r="AQ179" s="163"/>
      <c r="AR179" s="164"/>
      <c r="AS179" s="164"/>
      <c r="AT179" s="165"/>
      <c r="AU179" s="164"/>
      <c r="AV179" s="163"/>
      <c r="AW179" s="165"/>
      <c r="AX179" s="196"/>
      <c r="AY179" s="227"/>
      <c r="AZ179" s="166"/>
      <c r="BA179" s="167"/>
      <c r="BB179" s="168"/>
    </row>
    <row r="180" spans="1:54" x14ac:dyDescent="0.35">
      <c r="A180" s="245"/>
      <c r="B180" s="241"/>
      <c r="C180" s="246"/>
      <c r="D180" s="247"/>
      <c r="E180" s="184"/>
      <c r="F180" s="187"/>
      <c r="G180" s="186"/>
      <c r="H180" s="186"/>
      <c r="I180" s="186"/>
      <c r="J180" s="186"/>
      <c r="K180" s="248"/>
      <c r="L180" s="184"/>
      <c r="M180" s="224"/>
      <c r="N180" s="184"/>
      <c r="O180" s="186"/>
      <c r="P180" s="186"/>
      <c r="Q180" s="186"/>
      <c r="R180" s="186"/>
      <c r="S180" s="186"/>
      <c r="T180" s="186"/>
      <c r="U180" s="186"/>
      <c r="V180" s="186"/>
      <c r="W180" s="186"/>
      <c r="X180" s="186"/>
      <c r="Y180" s="186"/>
      <c r="Z180" s="186"/>
      <c r="AA180" s="186"/>
      <c r="AB180" s="186"/>
      <c r="AC180" s="188"/>
      <c r="AD180" s="224"/>
      <c r="AE180" s="184"/>
      <c r="AF180" s="188"/>
      <c r="AG180" s="225"/>
      <c r="AH180" s="243"/>
      <c r="AI180" s="238"/>
      <c r="AJ180" s="243"/>
      <c r="AK180" s="207"/>
      <c r="AL180" s="210"/>
      <c r="AM180" s="250"/>
      <c r="AN180" s="211"/>
      <c r="AO180" s="208"/>
      <c r="AP180" s="162"/>
      <c r="AQ180" s="163"/>
      <c r="AR180" s="164"/>
      <c r="AS180" s="164"/>
      <c r="AT180" s="165"/>
      <c r="AU180" s="164"/>
      <c r="AV180" s="163"/>
      <c r="AW180" s="165"/>
      <c r="AX180" s="196"/>
      <c r="AY180" s="227"/>
      <c r="AZ180" s="166"/>
      <c r="BA180" s="167"/>
      <c r="BB180" s="168"/>
    </row>
    <row r="181" spans="1:54" x14ac:dyDescent="0.35">
      <c r="A181" s="245"/>
      <c r="B181" s="241"/>
      <c r="C181" s="246"/>
      <c r="D181" s="247"/>
      <c r="E181" s="184"/>
      <c r="F181" s="187"/>
      <c r="G181" s="186"/>
      <c r="H181" s="186"/>
      <c r="I181" s="186"/>
      <c r="J181" s="186"/>
      <c r="K181" s="248"/>
      <c r="L181" s="184"/>
      <c r="M181" s="224"/>
      <c r="N181" s="184"/>
      <c r="O181" s="186"/>
      <c r="P181" s="186"/>
      <c r="Q181" s="186"/>
      <c r="R181" s="186"/>
      <c r="S181" s="186"/>
      <c r="T181" s="186"/>
      <c r="U181" s="186"/>
      <c r="V181" s="186"/>
      <c r="W181" s="186"/>
      <c r="X181" s="186"/>
      <c r="Y181" s="186"/>
      <c r="Z181" s="186"/>
      <c r="AA181" s="186"/>
      <c r="AB181" s="186"/>
      <c r="AC181" s="188"/>
      <c r="AD181" s="224"/>
      <c r="AE181" s="184"/>
      <c r="AF181" s="188"/>
      <c r="AG181" s="225"/>
      <c r="AH181" s="243"/>
      <c r="AI181" s="238"/>
      <c r="AJ181" s="243"/>
      <c r="AK181" s="207"/>
      <c r="AL181" s="210"/>
      <c r="AM181" s="250"/>
      <c r="AN181" s="211"/>
      <c r="AO181" s="208"/>
      <c r="AP181" s="162"/>
      <c r="AQ181" s="163"/>
      <c r="AR181" s="164"/>
      <c r="AS181" s="164"/>
      <c r="AT181" s="165"/>
      <c r="AU181" s="164"/>
      <c r="AV181" s="163"/>
      <c r="AW181" s="165"/>
      <c r="AX181" s="196"/>
      <c r="AY181" s="227"/>
      <c r="AZ181" s="166"/>
      <c r="BA181" s="167"/>
      <c r="BB181" s="168"/>
    </row>
    <row r="182" spans="1:54" x14ac:dyDescent="0.35">
      <c r="A182" s="245"/>
      <c r="B182" s="241"/>
      <c r="C182" s="246"/>
      <c r="D182" s="247"/>
      <c r="E182" s="184"/>
      <c r="F182" s="187"/>
      <c r="G182" s="186"/>
      <c r="H182" s="186"/>
      <c r="I182" s="186"/>
      <c r="J182" s="186"/>
      <c r="K182" s="248"/>
      <c r="L182" s="184"/>
      <c r="M182" s="224"/>
      <c r="N182" s="184"/>
      <c r="O182" s="186"/>
      <c r="P182" s="186"/>
      <c r="Q182" s="186"/>
      <c r="R182" s="186"/>
      <c r="S182" s="186"/>
      <c r="T182" s="186"/>
      <c r="U182" s="186"/>
      <c r="V182" s="186"/>
      <c r="W182" s="186"/>
      <c r="X182" s="186"/>
      <c r="Y182" s="186"/>
      <c r="Z182" s="186"/>
      <c r="AA182" s="186"/>
      <c r="AB182" s="186"/>
      <c r="AC182" s="188"/>
      <c r="AD182" s="224"/>
      <c r="AE182" s="184"/>
      <c r="AF182" s="188"/>
      <c r="AG182" s="225"/>
      <c r="AH182" s="243"/>
      <c r="AI182" s="238"/>
      <c r="AJ182" s="243"/>
      <c r="AK182" s="207"/>
      <c r="AL182" s="210"/>
      <c r="AM182" s="250"/>
      <c r="AN182" s="211"/>
      <c r="AO182" s="208"/>
      <c r="AP182" s="162"/>
      <c r="AQ182" s="163"/>
      <c r="AR182" s="164"/>
      <c r="AS182" s="164"/>
      <c r="AT182" s="165"/>
      <c r="AU182" s="164"/>
      <c r="AV182" s="163"/>
      <c r="AW182" s="165"/>
      <c r="AX182" s="196"/>
      <c r="AY182" s="227"/>
      <c r="AZ182" s="166"/>
      <c r="BA182" s="167"/>
      <c r="BB182" s="168"/>
    </row>
    <row r="183" spans="1:54" x14ac:dyDescent="0.35">
      <c r="A183" s="245"/>
      <c r="B183" s="241"/>
      <c r="C183" s="246"/>
      <c r="D183" s="247"/>
      <c r="E183" s="184"/>
      <c r="F183" s="187"/>
      <c r="G183" s="186"/>
      <c r="H183" s="186"/>
      <c r="I183" s="186"/>
      <c r="J183" s="186"/>
      <c r="K183" s="248"/>
      <c r="L183" s="184"/>
      <c r="M183" s="224"/>
      <c r="N183" s="184"/>
      <c r="O183" s="186"/>
      <c r="P183" s="186"/>
      <c r="Q183" s="186"/>
      <c r="R183" s="186"/>
      <c r="S183" s="186"/>
      <c r="T183" s="186"/>
      <c r="U183" s="186"/>
      <c r="V183" s="186"/>
      <c r="W183" s="186"/>
      <c r="X183" s="186"/>
      <c r="Y183" s="186"/>
      <c r="Z183" s="186"/>
      <c r="AA183" s="186"/>
      <c r="AB183" s="186"/>
      <c r="AC183" s="188"/>
      <c r="AD183" s="224"/>
      <c r="AE183" s="184"/>
      <c r="AF183" s="188"/>
      <c r="AG183" s="225"/>
      <c r="AH183" s="243"/>
      <c r="AI183" s="238"/>
      <c r="AJ183" s="243"/>
      <c r="AK183" s="207"/>
      <c r="AL183" s="210"/>
      <c r="AM183" s="250"/>
      <c r="AN183" s="211"/>
      <c r="AO183" s="208"/>
      <c r="AP183" s="162"/>
      <c r="AQ183" s="163"/>
      <c r="AR183" s="164"/>
      <c r="AS183" s="164"/>
      <c r="AT183" s="165"/>
      <c r="AU183" s="164"/>
      <c r="AV183" s="163"/>
      <c r="AW183" s="165"/>
      <c r="AX183" s="196"/>
      <c r="AY183" s="227"/>
      <c r="AZ183" s="166"/>
      <c r="BA183" s="167"/>
      <c r="BB183" s="168"/>
    </row>
    <row r="184" spans="1:54" x14ac:dyDescent="0.35">
      <c r="A184" s="245"/>
      <c r="B184" s="241"/>
      <c r="C184" s="246"/>
      <c r="D184" s="247"/>
      <c r="E184" s="184"/>
      <c r="F184" s="187"/>
      <c r="G184" s="186"/>
      <c r="H184" s="186"/>
      <c r="I184" s="186"/>
      <c r="J184" s="186"/>
      <c r="K184" s="248"/>
      <c r="L184" s="184"/>
      <c r="M184" s="224"/>
      <c r="N184" s="184"/>
      <c r="O184" s="186"/>
      <c r="P184" s="186"/>
      <c r="Q184" s="186"/>
      <c r="R184" s="186"/>
      <c r="S184" s="186"/>
      <c r="T184" s="186"/>
      <c r="U184" s="186"/>
      <c r="V184" s="186"/>
      <c r="W184" s="186"/>
      <c r="X184" s="186"/>
      <c r="Y184" s="186"/>
      <c r="Z184" s="186"/>
      <c r="AA184" s="186"/>
      <c r="AB184" s="186"/>
      <c r="AC184" s="188"/>
      <c r="AD184" s="224"/>
      <c r="AE184" s="184"/>
      <c r="AF184" s="188"/>
      <c r="AG184" s="225"/>
      <c r="AH184" s="243"/>
      <c r="AI184" s="238"/>
      <c r="AJ184" s="243"/>
      <c r="AK184" s="207"/>
      <c r="AL184" s="210"/>
      <c r="AM184" s="250"/>
      <c r="AN184" s="211"/>
      <c r="AO184" s="208"/>
      <c r="AP184" s="162"/>
      <c r="AQ184" s="163"/>
      <c r="AR184" s="164"/>
      <c r="AS184" s="164"/>
      <c r="AT184" s="165"/>
      <c r="AU184" s="164"/>
      <c r="AV184" s="163"/>
      <c r="AW184" s="165"/>
      <c r="AX184" s="196"/>
      <c r="AY184" s="227"/>
      <c r="AZ184" s="166"/>
      <c r="BA184" s="167"/>
      <c r="BB184" s="168"/>
    </row>
    <row r="185" spans="1:54" x14ac:dyDescent="0.35">
      <c r="A185" s="245"/>
      <c r="B185" s="241"/>
      <c r="C185" s="246"/>
      <c r="D185" s="247"/>
      <c r="E185" s="184"/>
      <c r="F185" s="187"/>
      <c r="G185" s="186"/>
      <c r="H185" s="186"/>
      <c r="I185" s="186"/>
      <c r="J185" s="186"/>
      <c r="K185" s="248"/>
      <c r="L185" s="184"/>
      <c r="M185" s="224"/>
      <c r="N185" s="184"/>
      <c r="O185" s="186"/>
      <c r="P185" s="186"/>
      <c r="Q185" s="186"/>
      <c r="R185" s="186"/>
      <c r="S185" s="186"/>
      <c r="T185" s="186"/>
      <c r="U185" s="186"/>
      <c r="V185" s="186"/>
      <c r="W185" s="186"/>
      <c r="X185" s="186"/>
      <c r="Y185" s="186"/>
      <c r="Z185" s="186"/>
      <c r="AA185" s="186"/>
      <c r="AB185" s="186"/>
      <c r="AC185" s="188"/>
      <c r="AD185" s="224"/>
      <c r="AE185" s="184"/>
      <c r="AF185" s="188"/>
      <c r="AG185" s="225"/>
      <c r="AH185" s="243"/>
      <c r="AI185" s="238"/>
      <c r="AJ185" s="243"/>
      <c r="AK185" s="207"/>
      <c r="AL185" s="210"/>
      <c r="AM185" s="250"/>
      <c r="AN185" s="211"/>
      <c r="AO185" s="208"/>
      <c r="AP185" s="162"/>
      <c r="AQ185" s="163"/>
      <c r="AR185" s="164"/>
      <c r="AS185" s="164"/>
      <c r="AT185" s="165"/>
      <c r="AU185" s="164"/>
      <c r="AV185" s="163"/>
      <c r="AW185" s="165"/>
      <c r="AX185" s="196"/>
      <c r="AY185" s="227"/>
      <c r="AZ185" s="166"/>
      <c r="BA185" s="167"/>
      <c r="BB185" s="168"/>
    </row>
    <row r="186" spans="1:54" x14ac:dyDescent="0.35">
      <c r="A186" s="245"/>
      <c r="B186" s="241"/>
      <c r="C186" s="246"/>
      <c r="D186" s="247"/>
      <c r="E186" s="184"/>
      <c r="F186" s="187"/>
      <c r="G186" s="186"/>
      <c r="H186" s="186"/>
      <c r="I186" s="186"/>
      <c r="J186" s="186"/>
      <c r="K186" s="248"/>
      <c r="L186" s="184"/>
      <c r="M186" s="224"/>
      <c r="N186" s="184"/>
      <c r="O186" s="186"/>
      <c r="P186" s="186"/>
      <c r="Q186" s="186"/>
      <c r="R186" s="186"/>
      <c r="S186" s="186"/>
      <c r="T186" s="186"/>
      <c r="U186" s="186"/>
      <c r="V186" s="186"/>
      <c r="W186" s="186"/>
      <c r="X186" s="186"/>
      <c r="Y186" s="186"/>
      <c r="Z186" s="186"/>
      <c r="AA186" s="186"/>
      <c r="AB186" s="186"/>
      <c r="AC186" s="188"/>
      <c r="AD186" s="224"/>
      <c r="AE186" s="184"/>
      <c r="AF186" s="188"/>
      <c r="AG186" s="225"/>
      <c r="AH186" s="243"/>
      <c r="AI186" s="238"/>
      <c r="AJ186" s="243"/>
      <c r="AK186" s="207"/>
      <c r="AL186" s="210"/>
      <c r="AM186" s="250"/>
      <c r="AN186" s="211"/>
      <c r="AO186" s="208"/>
      <c r="AP186" s="162"/>
      <c r="AQ186" s="163"/>
      <c r="AR186" s="164"/>
      <c r="AS186" s="164"/>
      <c r="AT186" s="165"/>
      <c r="AU186" s="164"/>
      <c r="AV186" s="163"/>
      <c r="AW186" s="165"/>
      <c r="AX186" s="196"/>
      <c r="AY186" s="227"/>
      <c r="AZ186" s="166"/>
      <c r="BA186" s="167"/>
      <c r="BB186" s="168"/>
    </row>
    <row r="187" spans="1:54" x14ac:dyDescent="0.35">
      <c r="A187" s="245"/>
      <c r="B187" s="241"/>
      <c r="C187" s="246"/>
      <c r="D187" s="247"/>
      <c r="E187" s="184"/>
      <c r="F187" s="187"/>
      <c r="G187" s="186"/>
      <c r="H187" s="186"/>
      <c r="I187" s="186"/>
      <c r="J187" s="186"/>
      <c r="K187" s="248"/>
      <c r="L187" s="184"/>
      <c r="M187" s="224"/>
      <c r="N187" s="184"/>
      <c r="O187" s="186"/>
      <c r="P187" s="186"/>
      <c r="Q187" s="186"/>
      <c r="R187" s="186"/>
      <c r="S187" s="186"/>
      <c r="T187" s="186"/>
      <c r="U187" s="186"/>
      <c r="V187" s="186"/>
      <c r="W187" s="186"/>
      <c r="X187" s="186"/>
      <c r="Y187" s="186"/>
      <c r="Z187" s="186"/>
      <c r="AA187" s="186"/>
      <c r="AB187" s="186"/>
      <c r="AC187" s="188"/>
      <c r="AD187" s="224"/>
      <c r="AE187" s="184"/>
      <c r="AF187" s="188"/>
      <c r="AG187" s="225"/>
      <c r="AH187" s="243"/>
      <c r="AI187" s="238"/>
      <c r="AJ187" s="243"/>
      <c r="AK187" s="207"/>
      <c r="AL187" s="210"/>
      <c r="AM187" s="250"/>
      <c r="AN187" s="211"/>
      <c r="AO187" s="208"/>
      <c r="AP187" s="162"/>
      <c r="AQ187" s="163"/>
      <c r="AR187" s="164"/>
      <c r="AS187" s="164"/>
      <c r="AT187" s="165"/>
      <c r="AU187" s="164"/>
      <c r="AV187" s="163"/>
      <c r="AW187" s="165"/>
      <c r="AX187" s="196"/>
      <c r="AY187" s="227"/>
      <c r="AZ187" s="166"/>
      <c r="BA187" s="167"/>
      <c r="BB187" s="168"/>
    </row>
    <row r="188" spans="1:54" x14ac:dyDescent="0.35">
      <c r="A188" s="245"/>
      <c r="B188" s="241"/>
      <c r="C188" s="246"/>
      <c r="D188" s="247"/>
      <c r="E188" s="184"/>
      <c r="F188" s="187"/>
      <c r="G188" s="186"/>
      <c r="H188" s="186"/>
      <c r="I188" s="186"/>
      <c r="J188" s="186"/>
      <c r="K188" s="248"/>
      <c r="L188" s="184"/>
      <c r="M188" s="224"/>
      <c r="N188" s="184"/>
      <c r="O188" s="186"/>
      <c r="P188" s="186"/>
      <c r="Q188" s="186"/>
      <c r="R188" s="186"/>
      <c r="S188" s="186"/>
      <c r="T188" s="186"/>
      <c r="U188" s="186"/>
      <c r="V188" s="186"/>
      <c r="W188" s="186"/>
      <c r="X188" s="186"/>
      <c r="Y188" s="186"/>
      <c r="Z188" s="186"/>
      <c r="AA188" s="186"/>
      <c r="AB188" s="186"/>
      <c r="AC188" s="188"/>
      <c r="AD188" s="224"/>
      <c r="AE188" s="184"/>
      <c r="AF188" s="188"/>
      <c r="AG188" s="225"/>
      <c r="AH188" s="243"/>
      <c r="AI188" s="238"/>
      <c r="AJ188" s="243"/>
      <c r="AK188" s="207"/>
      <c r="AL188" s="210"/>
      <c r="AM188" s="250"/>
      <c r="AN188" s="211"/>
      <c r="AO188" s="208"/>
      <c r="AP188" s="162"/>
      <c r="AQ188" s="163"/>
      <c r="AR188" s="164"/>
      <c r="AS188" s="164"/>
      <c r="AT188" s="165"/>
      <c r="AU188" s="164"/>
      <c r="AV188" s="163"/>
      <c r="AW188" s="165"/>
      <c r="AX188" s="196"/>
      <c r="AY188" s="227"/>
      <c r="AZ188" s="166"/>
      <c r="BA188" s="167"/>
      <c r="BB188" s="168"/>
    </row>
    <row r="189" spans="1:54" x14ac:dyDescent="0.35">
      <c r="A189" s="245"/>
      <c r="B189" s="241"/>
      <c r="C189" s="246"/>
      <c r="D189" s="247"/>
      <c r="E189" s="184"/>
      <c r="F189" s="187"/>
      <c r="G189" s="186"/>
      <c r="H189" s="186"/>
      <c r="I189" s="186"/>
      <c r="J189" s="186"/>
      <c r="K189" s="248"/>
      <c r="L189" s="184"/>
      <c r="M189" s="224"/>
      <c r="N189" s="184"/>
      <c r="O189" s="186"/>
      <c r="P189" s="186"/>
      <c r="Q189" s="186"/>
      <c r="R189" s="186"/>
      <c r="S189" s="186"/>
      <c r="T189" s="186"/>
      <c r="U189" s="186"/>
      <c r="V189" s="186"/>
      <c r="W189" s="186"/>
      <c r="X189" s="186"/>
      <c r="Y189" s="186"/>
      <c r="Z189" s="186"/>
      <c r="AA189" s="186"/>
      <c r="AB189" s="186"/>
      <c r="AC189" s="188"/>
      <c r="AD189" s="224"/>
      <c r="AE189" s="184"/>
      <c r="AF189" s="188"/>
      <c r="AG189" s="225"/>
      <c r="AH189" s="243"/>
      <c r="AI189" s="238"/>
      <c r="AJ189" s="243"/>
      <c r="AK189" s="207"/>
      <c r="AL189" s="210"/>
      <c r="AM189" s="250"/>
      <c r="AN189" s="211"/>
      <c r="AO189" s="208"/>
      <c r="AP189" s="162"/>
      <c r="AQ189" s="163"/>
      <c r="AR189" s="164"/>
      <c r="AS189" s="164"/>
      <c r="AT189" s="165"/>
      <c r="AU189" s="164"/>
      <c r="AV189" s="163"/>
      <c r="AW189" s="165"/>
      <c r="AX189" s="196"/>
      <c r="AY189" s="227"/>
      <c r="AZ189" s="166"/>
      <c r="BA189" s="167"/>
      <c r="BB189" s="168"/>
    </row>
    <row r="190" spans="1:54" x14ac:dyDescent="0.35">
      <c r="A190" s="245"/>
      <c r="B190" s="241"/>
      <c r="C190" s="246"/>
      <c r="D190" s="247"/>
      <c r="E190" s="184"/>
      <c r="F190" s="187"/>
      <c r="G190" s="186"/>
      <c r="H190" s="186"/>
      <c r="I190" s="186"/>
      <c r="J190" s="186"/>
      <c r="K190" s="248"/>
      <c r="L190" s="184"/>
      <c r="M190" s="224"/>
      <c r="N190" s="184"/>
      <c r="O190" s="186"/>
      <c r="P190" s="186"/>
      <c r="Q190" s="186"/>
      <c r="R190" s="186"/>
      <c r="S190" s="186"/>
      <c r="T190" s="186"/>
      <c r="U190" s="186"/>
      <c r="V190" s="186"/>
      <c r="W190" s="186"/>
      <c r="X190" s="186"/>
      <c r="Y190" s="186"/>
      <c r="Z190" s="186"/>
      <c r="AA190" s="186"/>
      <c r="AB190" s="186"/>
      <c r="AC190" s="188"/>
      <c r="AD190" s="224"/>
      <c r="AE190" s="184"/>
      <c r="AF190" s="188"/>
      <c r="AG190" s="225"/>
      <c r="AH190" s="243"/>
      <c r="AI190" s="238"/>
      <c r="AJ190" s="243"/>
      <c r="AK190" s="207"/>
      <c r="AL190" s="210"/>
      <c r="AM190" s="250"/>
      <c r="AN190" s="211"/>
      <c r="AO190" s="208"/>
      <c r="AP190" s="162"/>
      <c r="AQ190" s="163"/>
      <c r="AR190" s="164"/>
      <c r="AS190" s="164"/>
      <c r="AT190" s="165"/>
      <c r="AU190" s="164"/>
      <c r="AV190" s="163"/>
      <c r="AW190" s="165"/>
      <c r="AX190" s="196"/>
      <c r="AY190" s="227"/>
      <c r="AZ190" s="166"/>
      <c r="BA190" s="167"/>
      <c r="BB190" s="168"/>
    </row>
    <row r="191" spans="1:54" x14ac:dyDescent="0.35">
      <c r="A191" s="245"/>
      <c r="B191" s="241"/>
      <c r="C191" s="246"/>
      <c r="D191" s="247"/>
      <c r="E191" s="184"/>
      <c r="F191" s="187"/>
      <c r="G191" s="186"/>
      <c r="H191" s="186"/>
      <c r="I191" s="186"/>
      <c r="J191" s="186"/>
      <c r="K191" s="248"/>
      <c r="L191" s="184"/>
      <c r="M191" s="224"/>
      <c r="N191" s="184"/>
      <c r="O191" s="186"/>
      <c r="P191" s="186"/>
      <c r="Q191" s="186"/>
      <c r="R191" s="186"/>
      <c r="S191" s="186"/>
      <c r="T191" s="186"/>
      <c r="U191" s="186"/>
      <c r="V191" s="186"/>
      <c r="W191" s="186"/>
      <c r="X191" s="186"/>
      <c r="Y191" s="186"/>
      <c r="Z191" s="186"/>
      <c r="AA191" s="186"/>
      <c r="AB191" s="186"/>
      <c r="AC191" s="188"/>
      <c r="AD191" s="224"/>
      <c r="AE191" s="184"/>
      <c r="AF191" s="188"/>
      <c r="AG191" s="225"/>
      <c r="AH191" s="243"/>
      <c r="AI191" s="238"/>
      <c r="AJ191" s="243"/>
      <c r="AK191" s="207"/>
      <c r="AL191" s="210"/>
      <c r="AM191" s="250"/>
      <c r="AN191" s="211"/>
      <c r="AO191" s="208"/>
      <c r="AP191" s="162"/>
      <c r="AQ191" s="163"/>
      <c r="AR191" s="164"/>
      <c r="AS191" s="164"/>
      <c r="AT191" s="165"/>
      <c r="AU191" s="164"/>
      <c r="AV191" s="163"/>
      <c r="AW191" s="165"/>
      <c r="AX191" s="196"/>
      <c r="AY191" s="227"/>
      <c r="AZ191" s="166"/>
      <c r="BA191" s="167"/>
      <c r="BB191" s="168"/>
    </row>
    <row r="192" spans="1:54" x14ac:dyDescent="0.35">
      <c r="A192" s="245"/>
      <c r="B192" s="241"/>
      <c r="C192" s="246"/>
      <c r="D192" s="247"/>
      <c r="E192" s="184"/>
      <c r="F192" s="187"/>
      <c r="G192" s="186"/>
      <c r="H192" s="186"/>
      <c r="I192" s="186"/>
      <c r="J192" s="186"/>
      <c r="K192" s="248"/>
      <c r="L192" s="184"/>
      <c r="M192" s="224"/>
      <c r="N192" s="184"/>
      <c r="O192" s="186"/>
      <c r="P192" s="186"/>
      <c r="Q192" s="186"/>
      <c r="R192" s="186"/>
      <c r="S192" s="186"/>
      <c r="T192" s="186"/>
      <c r="U192" s="186"/>
      <c r="V192" s="186"/>
      <c r="W192" s="186"/>
      <c r="X192" s="186"/>
      <c r="Y192" s="186"/>
      <c r="Z192" s="186"/>
      <c r="AA192" s="186"/>
      <c r="AB192" s="186"/>
      <c r="AC192" s="188"/>
      <c r="AD192" s="224"/>
      <c r="AE192" s="184"/>
      <c r="AF192" s="188"/>
      <c r="AG192" s="225"/>
      <c r="AH192" s="243"/>
      <c r="AI192" s="238"/>
      <c r="AJ192" s="243"/>
      <c r="AK192" s="207"/>
      <c r="AL192" s="210"/>
      <c r="AM192" s="250"/>
      <c r="AN192" s="211"/>
      <c r="AO192" s="208"/>
      <c r="AP192" s="162"/>
      <c r="AQ192" s="163"/>
      <c r="AR192" s="164"/>
      <c r="AS192" s="164"/>
      <c r="AT192" s="165"/>
      <c r="AU192" s="164"/>
      <c r="AV192" s="163"/>
      <c r="AW192" s="165"/>
      <c r="AX192" s="196"/>
      <c r="AY192" s="227"/>
      <c r="AZ192" s="166"/>
      <c r="BA192" s="167"/>
      <c r="BB192" s="168"/>
    </row>
    <row r="193" spans="1:54" x14ac:dyDescent="0.35">
      <c r="A193" s="245"/>
      <c r="B193" s="241"/>
      <c r="C193" s="246"/>
      <c r="D193" s="247"/>
      <c r="E193" s="184"/>
      <c r="F193" s="187"/>
      <c r="G193" s="186"/>
      <c r="H193" s="186"/>
      <c r="I193" s="186"/>
      <c r="J193" s="186"/>
      <c r="K193" s="248"/>
      <c r="L193" s="184"/>
      <c r="M193" s="224"/>
      <c r="N193" s="184"/>
      <c r="O193" s="186"/>
      <c r="P193" s="186"/>
      <c r="Q193" s="186"/>
      <c r="R193" s="186"/>
      <c r="S193" s="186"/>
      <c r="T193" s="186"/>
      <c r="U193" s="186"/>
      <c r="V193" s="186"/>
      <c r="W193" s="186"/>
      <c r="X193" s="186"/>
      <c r="Y193" s="186"/>
      <c r="Z193" s="186"/>
      <c r="AA193" s="186"/>
      <c r="AB193" s="186"/>
      <c r="AC193" s="188"/>
      <c r="AD193" s="224"/>
      <c r="AE193" s="184"/>
      <c r="AF193" s="188"/>
      <c r="AG193" s="225"/>
      <c r="AH193" s="243"/>
      <c r="AI193" s="238"/>
      <c r="AJ193" s="243"/>
      <c r="AK193" s="207"/>
      <c r="AL193" s="210"/>
      <c r="AM193" s="250"/>
      <c r="AN193" s="211"/>
      <c r="AO193" s="208"/>
      <c r="AP193" s="162"/>
      <c r="AQ193" s="163"/>
      <c r="AR193" s="164"/>
      <c r="AS193" s="164"/>
      <c r="AT193" s="165"/>
      <c r="AU193" s="164"/>
      <c r="AV193" s="163"/>
      <c r="AW193" s="165"/>
      <c r="AX193" s="196"/>
      <c r="AY193" s="227"/>
      <c r="AZ193" s="166"/>
      <c r="BA193" s="167"/>
      <c r="BB193" s="168"/>
    </row>
    <row r="194" spans="1:54" x14ac:dyDescent="0.35">
      <c r="A194" s="245"/>
      <c r="B194" s="241"/>
      <c r="C194" s="246"/>
      <c r="D194" s="247"/>
      <c r="E194" s="184"/>
      <c r="F194" s="187"/>
      <c r="G194" s="186"/>
      <c r="H194" s="186"/>
      <c r="I194" s="186"/>
      <c r="J194" s="186"/>
      <c r="K194" s="248"/>
      <c r="L194" s="184"/>
      <c r="M194" s="224"/>
      <c r="N194" s="184"/>
      <c r="O194" s="186"/>
      <c r="P194" s="186"/>
      <c r="Q194" s="186"/>
      <c r="R194" s="186"/>
      <c r="S194" s="186"/>
      <c r="T194" s="186"/>
      <c r="U194" s="186"/>
      <c r="V194" s="186"/>
      <c r="W194" s="186"/>
      <c r="X194" s="186"/>
      <c r="Y194" s="186"/>
      <c r="Z194" s="186"/>
      <c r="AA194" s="186"/>
      <c r="AB194" s="186"/>
      <c r="AC194" s="188"/>
      <c r="AD194" s="224"/>
      <c r="AE194" s="184"/>
      <c r="AF194" s="188"/>
      <c r="AG194" s="225"/>
      <c r="AH194" s="243"/>
      <c r="AI194" s="238"/>
      <c r="AJ194" s="243"/>
      <c r="AK194" s="207"/>
      <c r="AL194" s="210"/>
      <c r="AM194" s="250"/>
      <c r="AN194" s="211"/>
      <c r="AO194" s="208"/>
      <c r="AP194" s="162"/>
      <c r="AQ194" s="163"/>
      <c r="AR194" s="164"/>
      <c r="AS194" s="164"/>
      <c r="AT194" s="165"/>
      <c r="AU194" s="164"/>
      <c r="AV194" s="163"/>
      <c r="AW194" s="165"/>
      <c r="AX194" s="196"/>
      <c r="AY194" s="227"/>
      <c r="AZ194" s="166"/>
      <c r="BA194" s="167"/>
      <c r="BB194" s="168"/>
    </row>
    <row r="195" spans="1:54" x14ac:dyDescent="0.35">
      <c r="A195" s="245"/>
      <c r="B195" s="241"/>
      <c r="C195" s="246"/>
      <c r="D195" s="247"/>
      <c r="E195" s="184"/>
      <c r="F195" s="187"/>
      <c r="G195" s="186"/>
      <c r="H195" s="186"/>
      <c r="I195" s="186"/>
      <c r="J195" s="186"/>
      <c r="K195" s="248"/>
      <c r="L195" s="184"/>
      <c r="M195" s="224"/>
      <c r="N195" s="184"/>
      <c r="O195" s="186"/>
      <c r="P195" s="186"/>
      <c r="Q195" s="186"/>
      <c r="R195" s="186"/>
      <c r="S195" s="186"/>
      <c r="T195" s="186"/>
      <c r="U195" s="186"/>
      <c r="V195" s="186"/>
      <c r="W195" s="186"/>
      <c r="X195" s="186"/>
      <c r="Y195" s="186"/>
      <c r="Z195" s="186"/>
      <c r="AA195" s="186"/>
      <c r="AB195" s="186"/>
      <c r="AC195" s="188"/>
      <c r="AD195" s="224"/>
      <c r="AE195" s="184"/>
      <c r="AF195" s="188"/>
      <c r="AG195" s="225"/>
      <c r="AH195" s="243"/>
      <c r="AI195" s="251"/>
      <c r="AJ195" s="243"/>
      <c r="AK195" s="207"/>
      <c r="AL195" s="210"/>
      <c r="AM195" s="250"/>
      <c r="AN195" s="211"/>
      <c r="AO195" s="208"/>
      <c r="AP195" s="162"/>
      <c r="AQ195" s="163"/>
      <c r="AR195" s="164"/>
      <c r="AS195" s="164"/>
      <c r="AT195" s="165"/>
      <c r="AU195" s="164"/>
      <c r="AV195" s="163"/>
      <c r="AW195" s="165"/>
      <c r="AX195" s="196"/>
      <c r="AY195" s="227"/>
      <c r="AZ195" s="166"/>
      <c r="BA195" s="167"/>
      <c r="BB195" s="168"/>
    </row>
    <row r="196" spans="1:54" x14ac:dyDescent="0.35">
      <c r="A196" s="245"/>
      <c r="B196" s="241"/>
      <c r="C196" s="246"/>
      <c r="D196" s="247"/>
      <c r="E196" s="184"/>
      <c r="F196" s="187"/>
      <c r="G196" s="186"/>
      <c r="H196" s="186"/>
      <c r="I196" s="186"/>
      <c r="J196" s="186"/>
      <c r="K196" s="248"/>
      <c r="L196" s="184"/>
      <c r="M196" s="224"/>
      <c r="N196" s="184"/>
      <c r="O196" s="186"/>
      <c r="P196" s="186"/>
      <c r="Q196" s="186"/>
      <c r="R196" s="186"/>
      <c r="S196" s="186"/>
      <c r="T196" s="186"/>
      <c r="U196" s="186"/>
      <c r="V196" s="186"/>
      <c r="W196" s="186"/>
      <c r="X196" s="186"/>
      <c r="Y196" s="186"/>
      <c r="Z196" s="186"/>
      <c r="AA196" s="186"/>
      <c r="AB196" s="186"/>
      <c r="AC196" s="188"/>
      <c r="AD196" s="224"/>
      <c r="AE196" s="184"/>
      <c r="AF196" s="188"/>
      <c r="AG196" s="225"/>
      <c r="AH196" s="238"/>
      <c r="AI196" s="252"/>
      <c r="AJ196" s="243"/>
      <c r="AK196" s="207"/>
      <c r="AL196" s="210"/>
      <c r="AM196" s="250"/>
      <c r="AN196" s="211"/>
      <c r="AO196" s="208"/>
      <c r="AP196" s="162"/>
      <c r="AQ196" s="163"/>
      <c r="AR196" s="164"/>
      <c r="AS196" s="164"/>
      <c r="AT196" s="165"/>
      <c r="AU196" s="164"/>
      <c r="AV196" s="163"/>
      <c r="AW196" s="165"/>
      <c r="AX196" s="196"/>
      <c r="AY196" s="227"/>
      <c r="AZ196" s="166"/>
      <c r="BA196" s="167"/>
      <c r="BB196" s="168"/>
    </row>
    <row r="197" spans="1:54" x14ac:dyDescent="0.35">
      <c r="A197" s="245"/>
      <c r="B197" s="241"/>
      <c r="C197" s="246"/>
      <c r="D197" s="247"/>
      <c r="E197" s="184"/>
      <c r="F197" s="187"/>
      <c r="G197" s="186"/>
      <c r="H197" s="186"/>
      <c r="I197" s="186"/>
      <c r="J197" s="186"/>
      <c r="K197" s="248"/>
      <c r="L197" s="184"/>
      <c r="M197" s="224"/>
      <c r="N197" s="184"/>
      <c r="O197" s="186"/>
      <c r="P197" s="186"/>
      <c r="Q197" s="186"/>
      <c r="R197" s="186"/>
      <c r="S197" s="186"/>
      <c r="T197" s="186"/>
      <c r="U197" s="186"/>
      <c r="V197" s="186"/>
      <c r="W197" s="186"/>
      <c r="X197" s="186"/>
      <c r="Y197" s="186"/>
      <c r="Z197" s="186"/>
      <c r="AA197" s="186"/>
      <c r="AB197" s="186"/>
      <c r="AC197" s="188"/>
      <c r="AD197" s="224"/>
      <c r="AE197" s="184"/>
      <c r="AF197" s="188"/>
      <c r="AG197" s="225"/>
      <c r="AH197" s="238"/>
      <c r="AI197" s="253"/>
      <c r="AJ197" s="243"/>
      <c r="AK197" s="207"/>
      <c r="AL197" s="210"/>
      <c r="AM197" s="250"/>
      <c r="AN197" s="211"/>
      <c r="AO197" s="208"/>
      <c r="AP197" s="162"/>
      <c r="AQ197" s="163"/>
      <c r="AR197" s="164"/>
      <c r="AS197" s="164"/>
      <c r="AT197" s="165"/>
      <c r="AU197" s="164"/>
      <c r="AV197" s="163"/>
      <c r="AW197" s="165"/>
      <c r="AX197" s="196"/>
      <c r="AY197" s="227"/>
      <c r="AZ197" s="166"/>
      <c r="BA197" s="167"/>
      <c r="BB197" s="168"/>
    </row>
    <row r="198" spans="1:54" x14ac:dyDescent="0.35">
      <c r="A198" s="245"/>
      <c r="B198" s="241"/>
      <c r="C198" s="246"/>
      <c r="D198" s="247"/>
      <c r="E198" s="184"/>
      <c r="F198" s="187"/>
      <c r="G198" s="186"/>
      <c r="H198" s="186"/>
      <c r="I198" s="186"/>
      <c r="J198" s="186"/>
      <c r="K198" s="248"/>
      <c r="L198" s="184"/>
      <c r="M198" s="224"/>
      <c r="N198" s="184"/>
      <c r="O198" s="186"/>
      <c r="P198" s="186"/>
      <c r="Q198" s="186"/>
      <c r="R198" s="186"/>
      <c r="S198" s="186"/>
      <c r="T198" s="186"/>
      <c r="U198" s="186"/>
      <c r="V198" s="186"/>
      <c r="W198" s="186"/>
      <c r="X198" s="186"/>
      <c r="Y198" s="186"/>
      <c r="Z198" s="186"/>
      <c r="AA198" s="186"/>
      <c r="AB198" s="186"/>
      <c r="AC198" s="188"/>
      <c r="AD198" s="224"/>
      <c r="AE198" s="184"/>
      <c r="AF198" s="188"/>
      <c r="AG198" s="225"/>
      <c r="AH198" s="238"/>
      <c r="AI198" s="254"/>
      <c r="AJ198" s="243"/>
      <c r="AK198" s="207"/>
      <c r="AL198" s="210"/>
      <c r="AM198" s="250"/>
      <c r="AN198" s="211"/>
      <c r="AO198" s="208"/>
      <c r="AP198" s="162"/>
      <c r="AQ198" s="163"/>
      <c r="AR198" s="164"/>
      <c r="AS198" s="164"/>
      <c r="AT198" s="165"/>
      <c r="AU198" s="164"/>
      <c r="AV198" s="163"/>
      <c r="AW198" s="165"/>
      <c r="AX198" s="196"/>
      <c r="AY198" s="227"/>
      <c r="AZ198" s="166"/>
      <c r="BA198" s="167"/>
      <c r="BB198" s="168"/>
    </row>
    <row r="199" spans="1:54" x14ac:dyDescent="0.35">
      <c r="A199" s="255"/>
      <c r="B199" s="256"/>
      <c r="C199" s="257"/>
      <c r="D199" s="258"/>
      <c r="E199" s="259"/>
      <c r="F199" s="260"/>
      <c r="G199" s="261"/>
      <c r="H199" s="261"/>
      <c r="I199" s="261"/>
      <c r="J199" s="261"/>
      <c r="K199" s="262"/>
      <c r="L199" s="259"/>
      <c r="M199" s="263"/>
      <c r="N199" s="260"/>
      <c r="O199" s="261"/>
      <c r="P199" s="261"/>
      <c r="Q199" s="261"/>
      <c r="R199" s="261"/>
      <c r="S199" s="261"/>
      <c r="T199" s="261"/>
      <c r="U199" s="261"/>
      <c r="V199" s="261"/>
      <c r="W199" s="261"/>
      <c r="X199" s="261"/>
      <c r="Y199" s="261"/>
      <c r="Z199" s="261"/>
      <c r="AA199" s="261"/>
      <c r="AB199" s="261"/>
      <c r="AC199" s="264"/>
      <c r="AD199" s="263"/>
      <c r="AE199" s="265"/>
      <c r="AF199" s="264"/>
      <c r="AG199" s="266"/>
      <c r="AH199" s="238"/>
      <c r="AI199" s="267"/>
      <c r="AJ199" s="268"/>
      <c r="AK199" s="269"/>
      <c r="AL199" s="270"/>
      <c r="AM199" s="271"/>
      <c r="AN199" s="272"/>
      <c r="AO199" s="273"/>
      <c r="AP199" s="274"/>
      <c r="AQ199" s="275"/>
      <c r="AR199" s="276"/>
      <c r="AS199" s="276"/>
      <c r="AT199" s="277"/>
      <c r="AU199" s="276"/>
      <c r="AV199" s="275"/>
      <c r="AW199" s="277"/>
      <c r="AX199" s="278"/>
      <c r="AY199" s="279"/>
      <c r="AZ199" s="280"/>
      <c r="BA199" s="281"/>
      <c r="BB199" s="282"/>
    </row>
    <row r="200" spans="1:54" x14ac:dyDescent="0.35">
      <c r="A200" s="188"/>
      <c r="B200" s="241"/>
      <c r="C200" s="246"/>
      <c r="D200" s="247"/>
      <c r="E200" s="187"/>
      <c r="F200" s="187"/>
      <c r="G200" s="186"/>
      <c r="H200" s="186"/>
      <c r="I200" s="186"/>
      <c r="J200" s="186"/>
      <c r="K200" s="248"/>
      <c r="L200" s="184"/>
      <c r="M200" s="283"/>
      <c r="N200" s="187"/>
      <c r="O200" s="186"/>
      <c r="P200" s="186"/>
      <c r="Q200" s="186"/>
      <c r="R200" s="186"/>
      <c r="S200" s="186"/>
      <c r="T200" s="186"/>
      <c r="U200" s="186"/>
      <c r="V200" s="186"/>
      <c r="W200" s="186"/>
      <c r="X200" s="186"/>
      <c r="Y200" s="186"/>
      <c r="Z200" s="186"/>
      <c r="AA200" s="186"/>
      <c r="AB200" s="186"/>
      <c r="AC200" s="188"/>
      <c r="AD200" s="283"/>
      <c r="AE200" s="265"/>
      <c r="AF200" s="188"/>
      <c r="AG200" s="225"/>
      <c r="AH200" s="238"/>
      <c r="AI200" s="254"/>
      <c r="AJ200" s="284"/>
      <c r="AK200" s="202"/>
      <c r="AL200" s="210"/>
      <c r="AM200" s="250"/>
      <c r="AN200" s="211"/>
      <c r="AO200" s="273"/>
      <c r="AP200" s="285"/>
      <c r="AQ200" s="163"/>
      <c r="AR200" s="164"/>
      <c r="AS200" s="164"/>
      <c r="AT200" s="165"/>
      <c r="AU200" s="164"/>
      <c r="AV200" s="163"/>
      <c r="AW200" s="165"/>
      <c r="AX200" s="196"/>
      <c r="AY200" s="227"/>
      <c r="AZ200" s="228"/>
      <c r="BA200" s="167"/>
      <c r="BB200" s="168"/>
    </row>
    <row r="201" spans="1:54" x14ac:dyDescent="0.35">
      <c r="A201" s="188"/>
      <c r="B201" s="241"/>
      <c r="C201" s="246"/>
      <c r="D201" s="247"/>
      <c r="E201" s="187"/>
      <c r="F201" s="187"/>
      <c r="G201" s="186"/>
      <c r="H201" s="186"/>
      <c r="I201" s="186"/>
      <c r="J201" s="186"/>
      <c r="K201" s="248"/>
      <c r="L201" s="184"/>
      <c r="M201" s="283"/>
      <c r="N201" s="187"/>
      <c r="O201" s="186"/>
      <c r="P201" s="186"/>
      <c r="Q201" s="186"/>
      <c r="R201" s="186"/>
      <c r="S201" s="186"/>
      <c r="T201" s="186"/>
      <c r="U201" s="186"/>
      <c r="V201" s="186"/>
      <c r="W201" s="186"/>
      <c r="X201" s="186"/>
      <c r="Y201" s="186"/>
      <c r="Z201" s="186"/>
      <c r="AA201" s="186"/>
      <c r="AB201" s="186"/>
      <c r="AC201" s="188"/>
      <c r="AD201" s="283"/>
      <c r="AE201" s="286"/>
      <c r="AF201" s="188"/>
      <c r="AG201" s="225"/>
      <c r="AH201" s="238"/>
      <c r="AI201" s="254"/>
      <c r="AJ201" s="284"/>
      <c r="AK201" s="202"/>
      <c r="AL201" s="210"/>
      <c r="AM201" s="250"/>
      <c r="AN201" s="211"/>
      <c r="AO201" s="273"/>
      <c r="AP201" s="285"/>
      <c r="AQ201" s="163"/>
      <c r="AR201" s="164"/>
      <c r="AS201" s="164"/>
      <c r="AT201" s="165"/>
      <c r="AU201" s="164"/>
      <c r="AV201" s="163"/>
      <c r="AW201" s="165"/>
      <c r="AX201" s="196"/>
      <c r="AY201" s="197"/>
      <c r="AZ201" s="232"/>
      <c r="BA201" s="167"/>
      <c r="BB201" s="168"/>
    </row>
    <row r="202" spans="1:54" x14ac:dyDescent="0.35">
      <c r="A202" s="188"/>
      <c r="B202" s="241"/>
      <c r="C202" s="246"/>
      <c r="D202" s="247"/>
      <c r="E202" s="187"/>
      <c r="F202" s="187"/>
      <c r="G202" s="186"/>
      <c r="H202" s="186"/>
      <c r="I202" s="186"/>
      <c r="J202" s="186"/>
      <c r="K202" s="248"/>
      <c r="L202" s="184"/>
      <c r="M202" s="283"/>
      <c r="N202" s="187"/>
      <c r="O202" s="186"/>
      <c r="P202" s="186"/>
      <c r="Q202" s="186"/>
      <c r="R202" s="186"/>
      <c r="S202" s="186"/>
      <c r="T202" s="186"/>
      <c r="U202" s="186"/>
      <c r="V202" s="186"/>
      <c r="W202" s="186"/>
      <c r="X202" s="186"/>
      <c r="Y202" s="186"/>
      <c r="Z202" s="186"/>
      <c r="AA202" s="186"/>
      <c r="AB202" s="186"/>
      <c r="AC202" s="188"/>
      <c r="AD202" s="283"/>
      <c r="AE202" s="287"/>
      <c r="AF202" s="188"/>
      <c r="AG202" s="225"/>
      <c r="AH202" s="238"/>
      <c r="AI202" s="254"/>
      <c r="AJ202" s="284"/>
      <c r="AK202" s="202"/>
      <c r="AL202" s="210"/>
      <c r="AM202" s="250"/>
      <c r="AN202" s="211"/>
      <c r="AO202" s="273"/>
      <c r="AP202" s="285"/>
      <c r="AQ202" s="163"/>
      <c r="AR202" s="164"/>
      <c r="AS202" s="164"/>
      <c r="AT202" s="165"/>
      <c r="AU202" s="164"/>
      <c r="AV202" s="163"/>
      <c r="AW202" s="165"/>
      <c r="AX202" s="196"/>
      <c r="AY202" s="197"/>
      <c r="AZ202" s="166"/>
      <c r="BA202" s="167"/>
      <c r="BB202" s="168"/>
    </row>
    <row r="203" spans="1:54" ht="15" thickBot="1" x14ac:dyDescent="0.4">
      <c r="A203" s="288"/>
      <c r="B203" s="289"/>
      <c r="C203" s="290"/>
      <c r="D203" s="291"/>
      <c r="E203" s="292"/>
      <c r="F203" s="293"/>
      <c r="G203" s="294"/>
      <c r="H203" s="294"/>
      <c r="I203" s="294"/>
      <c r="J203" s="294"/>
      <c r="K203" s="295"/>
      <c r="L203" s="292"/>
      <c r="M203" s="296"/>
      <c r="N203" s="293"/>
      <c r="O203" s="294"/>
      <c r="P203" s="294"/>
      <c r="Q203" s="294"/>
      <c r="R203" s="294"/>
      <c r="S203" s="294"/>
      <c r="T203" s="294"/>
      <c r="U203" s="294"/>
      <c r="V203" s="294"/>
      <c r="W203" s="294"/>
      <c r="X203" s="294"/>
      <c r="Y203" s="294"/>
      <c r="Z203" s="294"/>
      <c r="AA203" s="294"/>
      <c r="AB203" s="294"/>
      <c r="AC203" s="288"/>
      <c r="AD203" s="296"/>
      <c r="AE203" s="297"/>
      <c r="AF203" s="288"/>
      <c r="AG203" s="298"/>
      <c r="AH203" s="299"/>
      <c r="AI203" s="300"/>
      <c r="AJ203" s="301"/>
      <c r="AK203" s="302"/>
      <c r="AL203" s="303"/>
      <c r="AM203" s="304"/>
      <c r="AN203" s="305"/>
      <c r="AO203" s="306"/>
      <c r="AP203" s="307"/>
      <c r="AQ203" s="308"/>
      <c r="AR203" s="309"/>
      <c r="AS203" s="309"/>
      <c r="AT203" s="310"/>
      <c r="AU203" s="309"/>
      <c r="AV203" s="308"/>
      <c r="AW203" s="310"/>
      <c r="AX203" s="311"/>
      <c r="AY203" s="312"/>
      <c r="AZ203" s="313"/>
      <c r="BA203" s="314"/>
      <c r="BB203" s="315"/>
    </row>
  </sheetData>
  <sheetProtection algorithmName="SHA-512" hashValue="mvoXTM1EiHC+s2ufWncrv+UXvt4UiZ+1rIKgLGsXCT3h0LGtOaHWtVcakGVpl9F/HNG/WXD9WHv8+l9ZNaEDIQ==" saltValue="yLjADnmHJwivNMA07DfV3w==" spinCount="100000" sheet="1" objects="1" scenarios="1"/>
  <autoFilter ref="A3:BK130" xr:uid="{92368D4D-7B35-4A2E-84B1-B7E95AB754EF}"/>
  <conditionalFormatting sqref="BD1:BD1048576">
    <cfRule type="cellIs" dxfId="30" priority="1" operator="greaterThan">
      <formula>2033</formula>
    </cfRule>
  </conditionalFormatting>
  <dataValidations count="1">
    <dataValidation type="list" allowBlank="1" showInputMessage="1" showErrorMessage="1" sqref="B1" xr:uid="{B2C0C439-8539-4E86-9EBC-9E7FAD1BF608}">
      <formula1>$A$4:$A$200</formula1>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Button 1">
              <controlPr defaultSize="0" print="0" autoFill="0" autoPict="0" macro="[0]!CalculateClick">
                <anchor moveWithCells="1" sizeWithCells="1">
                  <from>
                    <xdr:col>2</xdr:col>
                    <xdr:colOff>368300</xdr:colOff>
                    <xdr:row>0</xdr:row>
                    <xdr:rowOff>38100</xdr:rowOff>
                  </from>
                  <to>
                    <xdr:col>2</xdr:col>
                    <xdr:colOff>1270000</xdr:colOff>
                    <xdr:row>0</xdr:row>
                    <xdr:rowOff>241300</xdr:rowOff>
                  </to>
                </anchor>
              </controlPr>
            </control>
          </mc:Choice>
        </mc:AlternateContent>
        <mc:AlternateContent xmlns:mc="http://schemas.openxmlformats.org/markup-compatibility/2006">
          <mc:Choice Requires="x14">
            <control shapeId="3074" r:id="rId5" name="Button 2">
              <controlPr defaultSize="0" print="0" autoFill="0" autoPict="0" macro="[0]!CalculateAllClick">
                <anchor moveWithCells="1" sizeWithCells="1">
                  <from>
                    <xdr:col>2</xdr:col>
                    <xdr:colOff>1384300</xdr:colOff>
                    <xdr:row>0</xdr:row>
                    <xdr:rowOff>38100</xdr:rowOff>
                  </from>
                  <to>
                    <xdr:col>3</xdr:col>
                    <xdr:colOff>723900</xdr:colOff>
                    <xdr:row>0</xdr:row>
                    <xdr:rowOff>241300</xdr:rowOff>
                  </to>
                </anchor>
              </controlPr>
            </control>
          </mc:Choice>
        </mc:AlternateContent>
        <mc:AlternateContent xmlns:mc="http://schemas.openxmlformats.org/markup-compatibility/2006">
          <mc:Choice Requires="x14">
            <control shapeId="3075" r:id="rId6" name="Button 3">
              <controlPr defaultSize="0" print="0" autoFill="0" autoPict="0" macro="[0]!exportProjectClick">
                <anchor moveWithCells="1" sizeWithCells="1">
                  <from>
                    <xdr:col>10</xdr:col>
                    <xdr:colOff>292100</xdr:colOff>
                    <xdr:row>0</xdr:row>
                    <xdr:rowOff>31750</xdr:rowOff>
                  </from>
                  <to>
                    <xdr:col>11</xdr:col>
                    <xdr:colOff>215900</xdr:colOff>
                    <xdr:row>0</xdr:row>
                    <xdr:rowOff>254000</xdr:rowOff>
                  </to>
                </anchor>
              </controlPr>
            </control>
          </mc:Choice>
        </mc:AlternateContent>
        <mc:AlternateContent xmlns:mc="http://schemas.openxmlformats.org/markup-compatibility/2006">
          <mc:Choice Requires="x14">
            <control shapeId="3076" r:id="rId7" name="Button 4">
              <controlPr defaultSize="0" print="0" autoFill="0" autoPict="0" macro="[1]!Module2.exportAllClick">
                <anchor moveWithCells="1" sizeWithCells="1">
                  <from>
                    <xdr:col>11</xdr:col>
                    <xdr:colOff>520700</xdr:colOff>
                    <xdr:row>0</xdr:row>
                    <xdr:rowOff>38100</xdr:rowOff>
                  </from>
                  <to>
                    <xdr:col>12</xdr:col>
                    <xdr:colOff>349250</xdr:colOff>
                    <xdr:row>0</xdr:row>
                    <xdr:rowOff>254000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848F4-E5BB-45E2-A070-19AD58477438}">
  <sheetPr codeName="Sheet20">
    <tabColor theme="4" tint="0.39997558519241921"/>
  </sheetPr>
  <dimension ref="A1:Q65"/>
  <sheetViews>
    <sheetView topLeftCell="B1" zoomScale="85" zoomScaleNormal="85" workbookViewId="0">
      <selection activeCell="E23" sqref="E23"/>
    </sheetView>
  </sheetViews>
  <sheetFormatPr defaultColWidth="9.1796875" defaultRowHeight="14.5" x14ac:dyDescent="0.35"/>
  <cols>
    <col min="1" max="1" width="32.54296875" style="42" customWidth="1"/>
    <col min="2" max="2" width="30.1796875" style="42" customWidth="1"/>
    <col min="3" max="3" width="23.81640625" style="42" customWidth="1"/>
    <col min="4" max="4" width="25.453125" style="42" customWidth="1"/>
    <col min="5" max="5" width="31" style="42" customWidth="1"/>
    <col min="6" max="6" width="27.81640625" style="42" customWidth="1"/>
    <col min="7" max="7" width="27.453125" style="42" customWidth="1"/>
    <col min="8" max="8" width="28.81640625" style="42" customWidth="1"/>
    <col min="9" max="9" width="30.81640625" style="42" customWidth="1"/>
    <col min="10" max="10" width="30.1796875" style="42" customWidth="1"/>
    <col min="11" max="11" width="26.453125" style="42" customWidth="1"/>
    <col min="12" max="12" width="21.1796875" style="42" hidden="1" customWidth="1"/>
    <col min="13" max="13" width="19.453125" style="42" hidden="1" customWidth="1"/>
    <col min="14" max="14" width="21" style="42" hidden="1" customWidth="1"/>
    <col min="15" max="15" width="19" style="42" hidden="1" customWidth="1"/>
    <col min="16" max="16" width="19.453125" style="42" customWidth="1"/>
    <col min="17" max="17" width="25.81640625" style="42" customWidth="1"/>
    <col min="18" max="18" width="18.1796875" style="42" customWidth="1"/>
    <col min="19" max="19" width="11" style="42" customWidth="1"/>
    <col min="20" max="20" width="19.81640625" style="42" customWidth="1"/>
    <col min="21" max="21" width="25.1796875" style="42" customWidth="1"/>
    <col min="22" max="16384" width="9.1796875" style="42"/>
  </cols>
  <sheetData>
    <row r="1" spans="1:17" ht="20" thickBot="1" x14ac:dyDescent="0.5">
      <c r="A1" s="316" t="s">
        <v>169</v>
      </c>
    </row>
    <row r="2" spans="1:17" ht="15" thickTop="1" x14ac:dyDescent="0.35">
      <c r="A2" s="317" t="s">
        <v>170</v>
      </c>
      <c r="B2" s="317"/>
      <c r="C2" s="317"/>
      <c r="D2" s="317"/>
      <c r="E2" s="317"/>
      <c r="F2" s="317"/>
      <c r="G2" s="317"/>
      <c r="H2" s="317"/>
      <c r="I2" s="317"/>
      <c r="J2" s="317"/>
    </row>
    <row r="3" spans="1:17" x14ac:dyDescent="0.35">
      <c r="A3" s="42" t="s">
        <v>171</v>
      </c>
    </row>
    <row r="4" spans="1:17" x14ac:dyDescent="0.35">
      <c r="A4" s="318" t="s">
        <v>172</v>
      </c>
    </row>
    <row r="5" spans="1:17" x14ac:dyDescent="0.35">
      <c r="A5" s="319" t="s">
        <v>173</v>
      </c>
      <c r="B5" s="320" t="s">
        <v>174</v>
      </c>
      <c r="C5" s="320" t="s">
        <v>121</v>
      </c>
      <c r="D5" s="320" t="s">
        <v>122</v>
      </c>
      <c r="E5" s="320" t="s">
        <v>175</v>
      </c>
      <c r="F5" s="320" t="s">
        <v>176</v>
      </c>
      <c r="G5" s="320" t="s">
        <v>177</v>
      </c>
      <c r="H5" s="320" t="s">
        <v>178</v>
      </c>
      <c r="I5" s="320" t="s">
        <v>179</v>
      </c>
      <c r="J5" s="320" t="s">
        <v>180</v>
      </c>
      <c r="K5" s="320" t="s">
        <v>181</v>
      </c>
      <c r="L5" s="320" t="str">
        <f>'Other Benefit 1'!B7</f>
        <v>Other Benefit 1</v>
      </c>
      <c r="M5" s="320" t="str">
        <f>'Other Benefit 2'!B7</f>
        <v>Other Benefit 2</v>
      </c>
      <c r="N5" s="320" t="str">
        <f>'Other Benefit 3'!B7</f>
        <v>Other Benefit 3</v>
      </c>
      <c r="O5" s="320" t="str">
        <f>'Other Benefit 4'!B11</f>
        <v>Other Benefit 4</v>
      </c>
      <c r="P5" s="320" t="s">
        <v>182</v>
      </c>
      <c r="Q5" s="321" t="s">
        <v>162</v>
      </c>
    </row>
    <row r="6" spans="1:17" x14ac:dyDescent="0.35">
      <c r="A6" s="10">
        <f>'Project Information'!$B$9</f>
        <v>2030</v>
      </c>
      <c r="B6" s="322">
        <f>'Operations and Maintenance'!D8</f>
        <v>0</v>
      </c>
      <c r="C6" s="322">
        <f>Safety!D22</f>
        <v>17787834.403616644</v>
      </c>
      <c r="D6" s="322">
        <f>'Travel Time Savings'!D20</f>
        <v>2830226.0559417219</v>
      </c>
      <c r="E6" s="322">
        <f>'Vehicle Operating Cost Savings'!D26</f>
        <v>0</v>
      </c>
      <c r="F6" s="323">
        <f>'Emissions Reduction'!G33</f>
        <v>280983.40698305052</v>
      </c>
      <c r="G6" s="323">
        <f>'Emissions Reduction'!H33</f>
        <v>96912.626060685419</v>
      </c>
      <c r="H6" s="323">
        <f>'Other Highway Use Externalities'!B20</f>
        <v>0</v>
      </c>
      <c r="I6" s="322">
        <f>'Amenity Benefits'!B11</f>
        <v>0</v>
      </c>
      <c r="J6" s="322">
        <f>'Health Benefits'!B15</f>
        <v>0</v>
      </c>
      <c r="K6" s="322">
        <f>'Residual Value'!B18</f>
        <v>0</v>
      </c>
      <c r="L6" s="322">
        <f>'Other Benefit 1'!B8</f>
        <v>0</v>
      </c>
      <c r="M6" s="322">
        <f>'Other Benefit 2'!B8</f>
        <v>0</v>
      </c>
      <c r="N6" s="322">
        <f>'Other Benefit 3'!B8</f>
        <v>0</v>
      </c>
      <c r="O6" s="322">
        <f>'Other Benefit 4'!B12</f>
        <v>0</v>
      </c>
      <c r="P6" s="324">
        <f>SUM(C6:O6)-B6</f>
        <v>20995956.492602106</v>
      </c>
      <c r="Q6" s="325">
        <f>IFERROR(((P6-G6)/(1.031)^(A6-Instruction!$B$19))+((G6)/(1.02)^(A6-Instruction!$B$19)),0)</f>
        <v>16453031.218220491</v>
      </c>
    </row>
    <row r="7" spans="1:17" x14ac:dyDescent="0.35">
      <c r="A7" s="326">
        <f>IF(A6&lt;'Project Information'!B$11,A6+1,"")</f>
        <v>2031</v>
      </c>
      <c r="B7" s="322">
        <f>'Operations and Maintenance'!D9</f>
        <v>0</v>
      </c>
      <c r="C7" s="322">
        <f>Safety!D23</f>
        <v>18276999.849716105</v>
      </c>
      <c r="D7" s="322">
        <f>'Travel Time Savings'!D21</f>
        <v>2908057.272480119</v>
      </c>
      <c r="E7" s="322">
        <f>'Vehicle Operating Cost Savings'!D27</f>
        <v>0</v>
      </c>
      <c r="F7" s="323">
        <f>'Emissions Reduction'!G34</f>
        <v>288710.45067508443</v>
      </c>
      <c r="G7" s="323">
        <f>'Emissions Reduction'!H34</f>
        <v>101309.50976913435</v>
      </c>
      <c r="H7" s="323">
        <f>'Other Highway Use Externalities'!B21</f>
        <v>0</v>
      </c>
      <c r="I7" s="322">
        <f>'Amenity Benefits'!B12</f>
        <v>0</v>
      </c>
      <c r="J7" s="322">
        <f>'Health Benefits'!B16</f>
        <v>0</v>
      </c>
      <c r="K7" s="322">
        <f>'Residual Value'!B19</f>
        <v>0</v>
      </c>
      <c r="L7" s="322">
        <f>'Other Benefit 1'!B9</f>
        <v>0</v>
      </c>
      <c r="M7" s="322">
        <f>'Other Benefit 2'!B9</f>
        <v>0</v>
      </c>
      <c r="N7" s="322">
        <f>'Other Benefit 3'!B9</f>
        <v>0</v>
      </c>
      <c r="O7" s="322">
        <f>'Other Benefit 4'!B13</f>
        <v>0</v>
      </c>
      <c r="P7" s="324">
        <f t="shared" ref="P7:P35" si="0">SUM(C7:O7)-B7</f>
        <v>21575077.082640443</v>
      </c>
      <c r="Q7" s="325">
        <f>IFERROR(((P7-G7)/(1.031)^(A7-Instruction!$B$19))+((G7)/(1.02)^(A7-Instruction!$B$19)),0)</f>
        <v>16399515.15396785</v>
      </c>
    </row>
    <row r="8" spans="1:17" x14ac:dyDescent="0.35">
      <c r="A8" s="326">
        <f>IF(A7&lt;'Project Information'!B$11,A7+1,"")</f>
        <v>2032</v>
      </c>
      <c r="B8" s="322">
        <f>'Operations and Maintenance'!D10</f>
        <v>0</v>
      </c>
      <c r="C8" s="322">
        <f>Safety!D24</f>
        <v>18756097.35384487</v>
      </c>
      <c r="D8" s="322">
        <f>'Travel Time Savings'!D22</f>
        <v>2988028.8474733224</v>
      </c>
      <c r="E8" s="322">
        <f>'Vehicle Operating Cost Savings'!D28</f>
        <v>0</v>
      </c>
      <c r="F8" s="323">
        <f>'Emissions Reduction'!G35</f>
        <v>296649.98806864925</v>
      </c>
      <c r="G8" s="323">
        <f>'Emissions Reduction'!H35</f>
        <v>105430.07925301357</v>
      </c>
      <c r="H8" s="323">
        <f>'Other Highway Use Externalities'!B22</f>
        <v>0</v>
      </c>
      <c r="I8" s="322">
        <f>'Amenity Benefits'!B13</f>
        <v>0</v>
      </c>
      <c r="J8" s="322">
        <f>'Health Benefits'!B17</f>
        <v>0</v>
      </c>
      <c r="K8" s="322">
        <f>'Residual Value'!B20</f>
        <v>0</v>
      </c>
      <c r="L8" s="322">
        <f>'Other Benefit 1'!B10</f>
        <v>0</v>
      </c>
      <c r="M8" s="322">
        <f>'Other Benefit 2'!B10</f>
        <v>0</v>
      </c>
      <c r="N8" s="322">
        <f>'Other Benefit 3'!B10</f>
        <v>0</v>
      </c>
      <c r="O8" s="322">
        <f>'Other Benefit 4'!B14</f>
        <v>0</v>
      </c>
      <c r="P8" s="324">
        <f t="shared" si="0"/>
        <v>22146206.268639855</v>
      </c>
      <c r="Q8" s="325">
        <f>IFERROR(((P8-G8)/(1.031)^(A8-Instruction!$B$19))+((G8)/(1.02)^(A8-Instruction!$B$19)),0)</f>
        <v>16328516.522784891</v>
      </c>
    </row>
    <row r="9" spans="1:17" x14ac:dyDescent="0.35">
      <c r="A9" s="326">
        <f>IF(A8&lt;'Project Information'!B$11,A8+1,"")</f>
        <v>2033</v>
      </c>
      <c r="B9" s="322">
        <f>'Operations and Maintenance'!D11</f>
        <v>0</v>
      </c>
      <c r="C9" s="322">
        <f>Safety!D25</f>
        <v>19271890.031075604</v>
      </c>
      <c r="D9" s="322">
        <f>'Travel Time Savings'!D23</f>
        <v>3070199.6407788387</v>
      </c>
      <c r="E9" s="322">
        <f>'Vehicle Operating Cost Savings'!D29</f>
        <v>0</v>
      </c>
      <c r="F9" s="323">
        <f>'Emissions Reduction'!G36</f>
        <v>304807.86274053715</v>
      </c>
      <c r="G9" s="323">
        <f>'Emissions Reduction'!H36</f>
        <v>110157.75084483383</v>
      </c>
      <c r="H9" s="323">
        <f>'Other Highway Use Externalities'!B23</f>
        <v>0</v>
      </c>
      <c r="I9" s="322">
        <f>'Amenity Benefits'!B14</f>
        <v>0</v>
      </c>
      <c r="J9" s="322">
        <f>'Health Benefits'!B18</f>
        <v>0</v>
      </c>
      <c r="K9" s="322">
        <f>'Residual Value'!B21</f>
        <v>0</v>
      </c>
      <c r="L9" s="322">
        <f>'Other Benefit 1'!B11</f>
        <v>0</v>
      </c>
      <c r="M9" s="322">
        <f>'Other Benefit 2'!B11</f>
        <v>0</v>
      </c>
      <c r="N9" s="322">
        <f>'Other Benefit 3'!B11</f>
        <v>0</v>
      </c>
      <c r="O9" s="322">
        <f>'Other Benefit 4'!B15</f>
        <v>0</v>
      </c>
      <c r="P9" s="324">
        <f t="shared" si="0"/>
        <v>22757055.285439815</v>
      </c>
      <c r="Q9" s="325">
        <f>IFERROR(((P9-G9)/(1.031)^(A9-Instruction!$B$19))+((G9)/(1.02)^(A9-Instruction!$B$19)),0)</f>
        <v>16275485.121507239</v>
      </c>
    </row>
    <row r="10" spans="1:17" x14ac:dyDescent="0.35">
      <c r="A10" s="326">
        <f>IF(A9&lt;'Project Information'!B$11,A9+1,"")</f>
        <v>2034</v>
      </c>
      <c r="B10" s="322">
        <f>'Operations and Maintenance'!D12</f>
        <v>0</v>
      </c>
      <c r="C10" s="322">
        <f>Safety!D26</f>
        <v>19791091.699835982</v>
      </c>
      <c r="D10" s="322">
        <f>'Travel Time Savings'!D24</f>
        <v>3154630.1309002568</v>
      </c>
      <c r="E10" s="322">
        <f>'Vehicle Operating Cost Savings'!D30</f>
        <v>0</v>
      </c>
      <c r="F10" s="323">
        <f>'Emissions Reduction'!G37</f>
        <v>313190.07896590192</v>
      </c>
      <c r="G10" s="323">
        <f>'Emissions Reduction'!H37</f>
        <v>115065.71287676912</v>
      </c>
      <c r="H10" s="323">
        <f>'Other Highway Use Externalities'!B24</f>
        <v>0</v>
      </c>
      <c r="I10" s="322">
        <f>'Amenity Benefits'!B15</f>
        <v>0</v>
      </c>
      <c r="J10" s="322">
        <f>'Health Benefits'!B19</f>
        <v>0</v>
      </c>
      <c r="K10" s="322">
        <f>'Residual Value'!B22</f>
        <v>0</v>
      </c>
      <c r="L10" s="322">
        <f>'Other Benefit 1'!B12</f>
        <v>0</v>
      </c>
      <c r="M10" s="322">
        <f>'Other Benefit 2'!B12</f>
        <v>0</v>
      </c>
      <c r="N10" s="322">
        <f>'Other Benefit 3'!B12</f>
        <v>0</v>
      </c>
      <c r="O10" s="322">
        <f>'Other Benefit 4'!B16</f>
        <v>0</v>
      </c>
      <c r="P10" s="324">
        <f t="shared" si="0"/>
        <v>23373977.622578911</v>
      </c>
      <c r="Q10" s="325">
        <f>IFERROR(((P10-G10)/(1.031)^(A10-Instruction!$B$19))+((G10)/(1.02)^(A10-Instruction!$B$19)),0)</f>
        <v>16215197.113478672</v>
      </c>
    </row>
    <row r="11" spans="1:17" x14ac:dyDescent="0.35">
      <c r="A11" s="326">
        <f>IF(A10&lt;'Project Information'!B$11,A10+1,"")</f>
        <v>2035</v>
      </c>
      <c r="B11" s="322">
        <f>'Operations and Maintenance'!D13</f>
        <v>0</v>
      </c>
      <c r="C11" s="322">
        <f>Safety!D27</f>
        <v>20335346.721581474</v>
      </c>
      <c r="D11" s="322">
        <f>'Travel Time Savings'!D25</f>
        <v>3241382.4595000139</v>
      </c>
      <c r="E11" s="322">
        <f>'Vehicle Operating Cost Savings'!D31</f>
        <v>0</v>
      </c>
      <c r="F11" s="323">
        <f>'Emissions Reduction'!G38</f>
        <v>321802.8061374643</v>
      </c>
      <c r="G11" s="323">
        <f>'Emissions Reduction'!H38</f>
        <v>119677.73451125842</v>
      </c>
      <c r="H11" s="323">
        <f>'Other Highway Use Externalities'!B25</f>
        <v>0</v>
      </c>
      <c r="I11" s="322">
        <f>'Amenity Benefits'!B16</f>
        <v>0</v>
      </c>
      <c r="J11" s="322">
        <f>'Health Benefits'!B20</f>
        <v>0</v>
      </c>
      <c r="K11" s="322">
        <f>'Residual Value'!B23</f>
        <v>0</v>
      </c>
      <c r="L11" s="322">
        <f>'Other Benefit 1'!B13</f>
        <v>0</v>
      </c>
      <c r="M11" s="322">
        <f>'Other Benefit 2'!B13</f>
        <v>0</v>
      </c>
      <c r="N11" s="322">
        <f>'Other Benefit 3'!B13</f>
        <v>0</v>
      </c>
      <c r="O11" s="322">
        <f>'Other Benefit 4'!B17</f>
        <v>0</v>
      </c>
      <c r="P11" s="324">
        <f t="shared" si="0"/>
        <v>24018209.721730214</v>
      </c>
      <c r="Q11" s="325">
        <f>IFERROR(((P11-G11)/(1.031)^(A11-Instruction!$B$19))+((G11)/(1.02)^(A11-Instruction!$B$19)),0)</f>
        <v>16162244.626305614</v>
      </c>
    </row>
    <row r="12" spans="1:17" x14ac:dyDescent="0.35">
      <c r="A12" s="326">
        <f>IF(A11&lt;'Project Information'!B$11,A11+1,"")</f>
        <v>2036</v>
      </c>
      <c r="B12" s="322">
        <f>'Operations and Maintenance'!D14</f>
        <v>0</v>
      </c>
      <c r="C12" s="322">
        <f>Safety!D28</f>
        <v>20856927.256317109</v>
      </c>
      <c r="D12" s="322">
        <f>'Travel Time Savings'!D26</f>
        <v>3330520.4771362641</v>
      </c>
      <c r="E12" s="322">
        <f>'Vehicle Operating Cost Savings'!D32</f>
        <v>0</v>
      </c>
      <c r="F12" s="323">
        <f>'Emissions Reduction'!G39</f>
        <v>330652.38330624456</v>
      </c>
      <c r="G12" s="323">
        <f>'Emissions Reduction'!H39</f>
        <v>124952.24111693606</v>
      </c>
      <c r="H12" s="323">
        <f>'Other Highway Use Externalities'!B26</f>
        <v>0</v>
      </c>
      <c r="I12" s="322">
        <f>'Amenity Benefits'!B17</f>
        <v>0</v>
      </c>
      <c r="J12" s="322">
        <f>'Health Benefits'!B21</f>
        <v>0</v>
      </c>
      <c r="K12" s="322">
        <f>'Residual Value'!B24</f>
        <v>0</v>
      </c>
      <c r="L12" s="322">
        <f>'Other Benefit 1'!B14</f>
        <v>0</v>
      </c>
      <c r="M12" s="322">
        <f>'Other Benefit 2'!B14</f>
        <v>0</v>
      </c>
      <c r="N12" s="322">
        <f>'Other Benefit 3'!B14</f>
        <v>0</v>
      </c>
      <c r="O12" s="322">
        <f>'Other Benefit 4'!B18</f>
        <v>0</v>
      </c>
      <c r="P12" s="324">
        <f t="shared" si="0"/>
        <v>24643052.357876558</v>
      </c>
      <c r="Q12" s="325">
        <f>IFERROR(((P12-G12)/(1.031)^(A12-Instruction!$B$19))+((G12)/(1.02)^(A12-Instruction!$B$19)),0)</f>
        <v>16085325.446504747</v>
      </c>
    </row>
    <row r="13" spans="1:17" x14ac:dyDescent="0.35">
      <c r="A13" s="326">
        <f>IF(A12&lt;'Project Information'!B$11,A12+1,"")</f>
        <v>2037</v>
      </c>
      <c r="B13" s="322">
        <f>'Operations and Maintenance'!D15</f>
        <v>0</v>
      </c>
      <c r="C13" s="322">
        <f>Safety!D29</f>
        <v>21430492.755865827</v>
      </c>
      <c r="D13" s="322">
        <f>'Travel Time Savings'!D27</f>
        <v>3422109.7902575112</v>
      </c>
      <c r="E13" s="322">
        <f>'Vehicle Operating Cost Savings'!D33</f>
        <v>0</v>
      </c>
      <c r="F13" s="323">
        <f>'Emissions Reduction'!G40</f>
        <v>339745.32384716626</v>
      </c>
      <c r="G13" s="323">
        <f>'Emissions Reduction'!H40</f>
        <v>130426.33929920182</v>
      </c>
      <c r="H13" s="323">
        <f>'Other Highway Use Externalities'!B27</f>
        <v>0</v>
      </c>
      <c r="I13" s="322">
        <f>'Amenity Benefits'!B18</f>
        <v>0</v>
      </c>
      <c r="J13" s="322">
        <f>'Health Benefits'!B22</f>
        <v>0</v>
      </c>
      <c r="K13" s="322">
        <f>'Residual Value'!B25</f>
        <v>0</v>
      </c>
      <c r="L13" s="322">
        <f>'Other Benefit 1'!B15</f>
        <v>0</v>
      </c>
      <c r="M13" s="322">
        <f>'Other Benefit 2'!B15</f>
        <v>0</v>
      </c>
      <c r="N13" s="322">
        <f>'Other Benefit 3'!B15</f>
        <v>0</v>
      </c>
      <c r="O13" s="322">
        <f>'Other Benefit 4'!B19</f>
        <v>0</v>
      </c>
      <c r="P13" s="324">
        <f>SUM(C13:O13)-B13</f>
        <v>25322774.209269706</v>
      </c>
      <c r="Q13" s="325">
        <f>IFERROR(((P13-G13)/(1.031)^(A13-Instruction!$B$19))+((G13)/(1.02)^(A13-Instruction!$B$19)),0)</f>
        <v>16033251.57532</v>
      </c>
    </row>
    <row r="14" spans="1:17" x14ac:dyDescent="0.35">
      <c r="A14" s="326">
        <f>IF(A13&lt;'Project Information'!B$11,A13+1,"")</f>
        <v>2038</v>
      </c>
      <c r="B14" s="322">
        <f>'Operations and Maintenance'!D16</f>
        <v>0</v>
      </c>
      <c r="C14" s="322">
        <f>Safety!D30</f>
        <v>22019831.30665214</v>
      </c>
      <c r="D14" s="322">
        <f>'Travel Time Savings'!D28</f>
        <v>3516217.8094895929</v>
      </c>
      <c r="E14" s="322">
        <f>'Vehicle Operating Cost Savings'!D34</f>
        <v>0</v>
      </c>
      <c r="F14" s="323">
        <f>'Emissions Reduction'!G41</f>
        <v>349088.32025296334</v>
      </c>
      <c r="G14" s="323">
        <f>'Emissions Reduction'!H41</f>
        <v>135583.52921934309</v>
      </c>
      <c r="H14" s="323">
        <f>'Other Highway Use Externalities'!B28</f>
        <v>0</v>
      </c>
      <c r="I14" s="322">
        <f>'Amenity Benefits'!B19</f>
        <v>0</v>
      </c>
      <c r="J14" s="322">
        <f>'Health Benefits'!B23</f>
        <v>0</v>
      </c>
      <c r="K14" s="322">
        <f>'Residual Value'!B26</f>
        <v>0</v>
      </c>
      <c r="L14" s="322">
        <f>'Other Benefit 1'!B16</f>
        <v>0</v>
      </c>
      <c r="M14" s="322">
        <f>'Other Benefit 2'!B16</f>
        <v>0</v>
      </c>
      <c r="N14" s="322">
        <f>'Other Benefit 3'!B16</f>
        <v>0</v>
      </c>
      <c r="O14" s="322">
        <f>'Other Benefit 4'!B20</f>
        <v>0</v>
      </c>
      <c r="P14" s="324">
        <f t="shared" si="0"/>
        <v>26020720.965614039</v>
      </c>
      <c r="Q14" s="325">
        <f>IFERROR(((P14-G14)/(1.031)^(A14-Instruction!$B$19))+((G14)/(1.02)^(A14-Instruction!$B$19)),0)</f>
        <v>15981008.041226119</v>
      </c>
    </row>
    <row r="15" spans="1:17" x14ac:dyDescent="0.35">
      <c r="A15" s="326">
        <f>IF(A14&lt;'Project Information'!B$11,A14+1,"")</f>
        <v>2039</v>
      </c>
      <c r="B15" s="322">
        <f>'Operations and Maintenance'!D17</f>
        <v>0</v>
      </c>
      <c r="C15" s="322">
        <f>Safety!D31</f>
        <v>22625376.667585075</v>
      </c>
      <c r="D15" s="322">
        <f>'Travel Time Savings'!D29</f>
        <v>3612913.7992505566</v>
      </c>
      <c r="E15" s="322">
        <f>'Vehicle Operating Cost Savings'!D35</f>
        <v>0</v>
      </c>
      <c r="F15" s="323">
        <f>'Emissions Reduction'!G42</f>
        <v>358688.24905991991</v>
      </c>
      <c r="G15" s="323">
        <f>'Emissions Reduction'!H42</f>
        <v>141463.61413037122</v>
      </c>
      <c r="H15" s="323">
        <f>'Other Highway Use Externalities'!B29</f>
        <v>0</v>
      </c>
      <c r="I15" s="322">
        <f>'Amenity Benefits'!B20</f>
        <v>0</v>
      </c>
      <c r="J15" s="322">
        <f>'Health Benefits'!B24</f>
        <v>0</v>
      </c>
      <c r="K15" s="322">
        <f>'Residual Value'!B27</f>
        <v>0</v>
      </c>
      <c r="L15" s="322">
        <f>'Other Benefit 1'!B17</f>
        <v>0</v>
      </c>
      <c r="M15" s="322">
        <f>'Other Benefit 2'!B17</f>
        <v>0</v>
      </c>
      <c r="N15" s="322">
        <f>'Other Benefit 3'!B17</f>
        <v>0</v>
      </c>
      <c r="O15" s="322">
        <f>'Other Benefit 4'!B21</f>
        <v>0</v>
      </c>
      <c r="P15" s="324">
        <f t="shared" si="0"/>
        <v>26738442.330025923</v>
      </c>
      <c r="Q15" s="325">
        <f>IFERROR(((P15-G15)/(1.031)^(A15-Instruction!$B$19))+((G15)/(1.02)^(A15-Instruction!$B$19)),0)</f>
        <v>15929354.364009673</v>
      </c>
    </row>
    <row r="16" spans="1:17" x14ac:dyDescent="0.35">
      <c r="A16" s="326">
        <f>IF(A15&lt;'Project Information'!B$11,A15+1,"")</f>
        <v>2040</v>
      </c>
      <c r="B16" s="322">
        <f>'Operations and Maintenance'!D18</f>
        <v>0</v>
      </c>
      <c r="C16" s="322">
        <f>Safety!D32</f>
        <v>21884188.98886228</v>
      </c>
      <c r="D16" s="322">
        <f>'Travel Time Savings'!D30</f>
        <v>3712268.9287299467</v>
      </c>
      <c r="E16" s="322">
        <f>'Vehicle Operating Cost Savings'!D36</f>
        <v>0</v>
      </c>
      <c r="F16" s="323">
        <f>'Emissions Reduction'!G43</f>
        <v>368552.17590906768</v>
      </c>
      <c r="G16" s="323">
        <f>'Emissions Reduction'!H43</f>
        <v>147564.56866753372</v>
      </c>
      <c r="H16" s="323">
        <f>'Other Highway Use Externalities'!B30</f>
        <v>0</v>
      </c>
      <c r="I16" s="322">
        <f>'Amenity Benefits'!B21</f>
        <v>0</v>
      </c>
      <c r="J16" s="322">
        <f>'Health Benefits'!B25</f>
        <v>0</v>
      </c>
      <c r="K16" s="322">
        <f>'Residual Value'!B28</f>
        <v>0</v>
      </c>
      <c r="L16" s="322">
        <f>'Other Benefit 1'!B18</f>
        <v>0</v>
      </c>
      <c r="M16" s="322">
        <f>'Other Benefit 2'!B18</f>
        <v>0</v>
      </c>
      <c r="N16" s="322">
        <f>'Other Benefit 3'!B18</f>
        <v>0</v>
      </c>
      <c r="O16" s="322">
        <f>'Other Benefit 4'!B22</f>
        <v>0</v>
      </c>
      <c r="P16" s="324">
        <f t="shared" si="0"/>
        <v>26112574.662168831</v>
      </c>
      <c r="Q16" s="325">
        <f>IFERROR(((P16-G16)/(1.031)^(A16-Instruction!$B$19))+((G16)/(1.02)^(A16-Instruction!$B$19)),0)</f>
        <v>15090933.446676062</v>
      </c>
    </row>
    <row r="17" spans="1:17" x14ac:dyDescent="0.35">
      <c r="A17" s="326">
        <f>IF(A16&lt;'Project Information'!B$11,A16+1,"")</f>
        <v>2041</v>
      </c>
      <c r="B17" s="322">
        <f>'Operations and Maintenance'!D19</f>
        <v>0</v>
      </c>
      <c r="C17" s="322">
        <f>Safety!D33</f>
        <v>22486004.186055992</v>
      </c>
      <c r="D17" s="322">
        <f>'Travel Time Savings'!D31</f>
        <v>3814356.3242700202</v>
      </c>
      <c r="E17" s="322">
        <f>'Vehicle Operating Cost Savings'!D37</f>
        <v>0</v>
      </c>
      <c r="F17" s="323">
        <f>'Emissions Reduction'!G44</f>
        <v>378687.36074656708</v>
      </c>
      <c r="G17" s="323">
        <f>'Emissions Reduction'!H44</f>
        <v>153894.09384605402</v>
      </c>
      <c r="H17" s="323">
        <f>'Other Highway Use Externalities'!B31</f>
        <v>0</v>
      </c>
      <c r="I17" s="322">
        <f>'Amenity Benefits'!B22</f>
        <v>0</v>
      </c>
      <c r="J17" s="322">
        <f>'Health Benefits'!B26</f>
        <v>0</v>
      </c>
      <c r="K17" s="322">
        <f>'Residual Value'!B29</f>
        <v>0</v>
      </c>
      <c r="L17" s="322">
        <f>'Other Benefit 1'!B19</f>
        <v>0</v>
      </c>
      <c r="M17" s="322">
        <f>'Other Benefit 2'!B19</f>
        <v>0</v>
      </c>
      <c r="N17" s="322">
        <f>'Other Benefit 3'!B19</f>
        <v>0</v>
      </c>
      <c r="O17" s="322">
        <f>'Other Benefit 4'!B23</f>
        <v>0</v>
      </c>
      <c r="P17" s="324">
        <f t="shared" si="0"/>
        <v>26832941.964918632</v>
      </c>
      <c r="Q17" s="325">
        <f>IFERROR(((P17-G17)/(1.031)^(A17-Instruction!$B$19))+((G17)/(1.02)^(A17-Instruction!$B$19)),0)</f>
        <v>15042372.979820875</v>
      </c>
    </row>
    <row r="18" spans="1:17" x14ac:dyDescent="0.35">
      <c r="A18" s="326">
        <f>IF(A17&lt;'Project Information'!B$11,A17+1,"")</f>
        <v>2042</v>
      </c>
      <c r="B18" s="322">
        <f>'Operations and Maintenance'!D20</f>
        <v>0</v>
      </c>
      <c r="C18" s="322">
        <f>Safety!D34</f>
        <v>23104369.301172532</v>
      </c>
      <c r="D18" s="322">
        <f>'Travel Time Savings'!D32</f>
        <v>3919251.123187446</v>
      </c>
      <c r="E18" s="322">
        <f>'Vehicle Operating Cost Savings'!D38</f>
        <v>0</v>
      </c>
      <c r="F18" s="323">
        <f>'Emissions Reduction'!G45</f>
        <v>389101.26316709764</v>
      </c>
      <c r="G18" s="323">
        <f>'Emissions Reduction'!H45</f>
        <v>160460.14720433817</v>
      </c>
      <c r="H18" s="323">
        <f>'Other Highway Use Externalities'!B32</f>
        <v>0</v>
      </c>
      <c r="I18" s="322">
        <f>'Amenity Benefits'!B23</f>
        <v>0</v>
      </c>
      <c r="J18" s="322">
        <f>'Health Benefits'!B27</f>
        <v>0</v>
      </c>
      <c r="K18" s="322">
        <f>'Residual Value'!B30</f>
        <v>0</v>
      </c>
      <c r="L18" s="322">
        <f>'Other Benefit 1'!B20</f>
        <v>0</v>
      </c>
      <c r="M18" s="322">
        <f>'Other Benefit 2'!B20</f>
        <v>0</v>
      </c>
      <c r="N18" s="322">
        <f>'Other Benefit 3'!B20</f>
        <v>0</v>
      </c>
      <c r="O18" s="322">
        <f>'Other Benefit 4'!B24</f>
        <v>0</v>
      </c>
      <c r="P18" s="324">
        <f t="shared" si="0"/>
        <v>27573181.834731415</v>
      </c>
      <c r="Q18" s="325">
        <f>IFERROR(((P18-G18)/(1.031)^(A18-Instruction!$B$19))+((G18)/(1.02)^(A18-Instruction!$B$19)),0)</f>
        <v>14994013.75221999</v>
      </c>
    </row>
    <row r="19" spans="1:17" x14ac:dyDescent="0.35">
      <c r="A19" s="326">
        <f>IF(A18&lt;'Project Information'!B$11,A18+1,"")</f>
        <v>2043</v>
      </c>
      <c r="B19" s="322">
        <f>'Operations and Maintenance'!D21</f>
        <v>0</v>
      </c>
      <c r="C19" s="322">
        <f>Safety!D35</f>
        <v>23739739.456954781</v>
      </c>
      <c r="D19" s="322">
        <f>'Travel Time Savings'!D33</f>
        <v>4027030.529075101</v>
      </c>
      <c r="E19" s="322">
        <f>'Vehicle Operating Cost Savings'!D39</f>
        <v>0</v>
      </c>
      <c r="F19" s="323">
        <f>'Emissions Reduction'!G46</f>
        <v>399801.54790419294</v>
      </c>
      <c r="G19" s="323">
        <f>'Emissions Reduction'!H46</f>
        <v>167270.95108885691</v>
      </c>
      <c r="H19" s="323">
        <f>'Other Highway Use Externalities'!B33</f>
        <v>0</v>
      </c>
      <c r="I19" s="322">
        <f>'Amenity Benefits'!B24</f>
        <v>0</v>
      </c>
      <c r="J19" s="322">
        <f>'Health Benefits'!B28</f>
        <v>0</v>
      </c>
      <c r="K19" s="322">
        <f>'Residual Value'!B31</f>
        <v>0</v>
      </c>
      <c r="L19" s="322">
        <f>'Other Benefit 1'!B21</f>
        <v>0</v>
      </c>
      <c r="M19" s="322">
        <f>'Other Benefit 2'!B21</f>
        <v>0</v>
      </c>
      <c r="N19" s="322">
        <f>'Other Benefit 3'!B21</f>
        <v>0</v>
      </c>
      <c r="O19" s="322">
        <f>'Other Benefit 4'!B25</f>
        <v>0</v>
      </c>
      <c r="P19" s="324">
        <f t="shared" si="0"/>
        <v>28333842.485022932</v>
      </c>
      <c r="Q19" s="325">
        <f>IFERROR(((P19-G19)/(1.031)^(A19-Instruction!$B$19))+((G19)/(1.02)^(A19-Instruction!$B$19)),0)</f>
        <v>14945855.471494263</v>
      </c>
    </row>
    <row r="20" spans="1:17" x14ac:dyDescent="0.35">
      <c r="A20" s="326">
        <f>IF(A19&lt;'Project Information'!B$11,A19+1,"")</f>
        <v>2044</v>
      </c>
      <c r="B20" s="322">
        <f>'Operations and Maintenance'!D22</f>
        <v>0</v>
      </c>
      <c r="C20" s="322">
        <f>Safety!D36</f>
        <v>24392582.29202104</v>
      </c>
      <c r="D20" s="322">
        <f>'Travel Time Savings'!D34</f>
        <v>4137773.8686246662</v>
      </c>
      <c r="E20" s="322">
        <f>'Vehicle Operating Cost Savings'!D40</f>
        <v>0</v>
      </c>
      <c r="F20" s="323">
        <f>'Emissions Reduction'!G47</f>
        <v>410796.09047155827</v>
      </c>
      <c r="G20" s="323">
        <f>'Emissions Reduction'!H47</f>
        <v>174335.00120070082</v>
      </c>
      <c r="H20" s="323">
        <f>'Other Highway Use Externalities'!B34</f>
        <v>0</v>
      </c>
      <c r="I20" s="322">
        <f>'Amenity Benefits'!B25</f>
        <v>0</v>
      </c>
      <c r="J20" s="322">
        <f>'Health Benefits'!B29</f>
        <v>0</v>
      </c>
      <c r="K20" s="322">
        <f>'Residual Value'!B32</f>
        <v>0</v>
      </c>
      <c r="L20" s="322">
        <f>'Other Benefit 1'!B22</f>
        <v>0</v>
      </c>
      <c r="M20" s="322">
        <f>'Other Benefit 2'!B22</f>
        <v>0</v>
      </c>
      <c r="N20" s="322">
        <f>'Other Benefit 3'!B22</f>
        <v>0</v>
      </c>
      <c r="O20" s="322">
        <f>'Other Benefit 4'!B26</f>
        <v>0</v>
      </c>
      <c r="P20" s="324">
        <f t="shared" si="0"/>
        <v>29115487.252317965</v>
      </c>
      <c r="Q20" s="325">
        <f>IFERROR(((P20-G20)/(1.031)^(A20-Instruction!$B$19))+((G20)/(1.02)^(A20-Instruction!$B$19)),0)</f>
        <v>14897897.850036515</v>
      </c>
    </row>
    <row r="21" spans="1:17" x14ac:dyDescent="0.35">
      <c r="A21" s="326">
        <f>IF(A20&lt;'Project Information'!B$11,A20+1,"")</f>
        <v>2045</v>
      </c>
      <c r="B21" s="322">
        <f>'Operations and Maintenance'!D23</f>
        <v>0</v>
      </c>
      <c r="C21" s="322">
        <f>Safety!D37</f>
        <v>13464777.926523849</v>
      </c>
      <c r="D21" s="322">
        <f>'Travel Time Savings'!D35</f>
        <v>4251562.6500118449</v>
      </c>
      <c r="E21" s="322">
        <f>'Vehicle Operating Cost Savings'!D41</f>
        <v>0</v>
      </c>
      <c r="F21" s="323">
        <f>'Emissions Reduction'!G48</f>
        <v>422092.98295952607</v>
      </c>
      <c r="G21" s="323">
        <f>'Emissions Reduction'!H48</f>
        <v>181661.07541193522</v>
      </c>
      <c r="H21" s="323">
        <f>'Other Highway Use Externalities'!B35</f>
        <v>0</v>
      </c>
      <c r="I21" s="322">
        <f>'Amenity Benefits'!B26</f>
        <v>0</v>
      </c>
      <c r="J21" s="322">
        <f>'Health Benefits'!B30</f>
        <v>0</v>
      </c>
      <c r="K21" s="322">
        <f>'Residual Value'!B33</f>
        <v>0</v>
      </c>
      <c r="L21" s="322">
        <f>'Other Benefit 1'!B23</f>
        <v>0</v>
      </c>
      <c r="M21" s="322">
        <f>'Other Benefit 2'!B23</f>
        <v>0</v>
      </c>
      <c r="N21" s="322">
        <f>'Other Benefit 3'!B23</f>
        <v>0</v>
      </c>
      <c r="O21" s="322">
        <f>'Other Benefit 4'!B27</f>
        <v>0</v>
      </c>
      <c r="P21" s="324">
        <f t="shared" si="0"/>
        <v>18320094.634907156</v>
      </c>
      <c r="Q21" s="325">
        <f>IFERROR(((P21-G21)/(1.031)^(A21-Instruction!$B$19))+((G21)/(1.02)^(A21-Instruction!$B$19)),0)</f>
        <v>9102940.9595021997</v>
      </c>
    </row>
    <row r="22" spans="1:17" x14ac:dyDescent="0.35">
      <c r="A22" s="326">
        <f>IF(A21&lt;'Project Information'!B$11,A21+1,"")</f>
        <v>2046</v>
      </c>
      <c r="B22" s="322">
        <f>'Operations and Maintenance'!D24</f>
        <v>0</v>
      </c>
      <c r="C22" s="322">
        <f>Safety!D38</f>
        <v>13835059.319503255</v>
      </c>
      <c r="D22" s="322">
        <f>'Travel Time Savings'!D36</f>
        <v>4368480.6228871709</v>
      </c>
      <c r="E22" s="322">
        <f>'Vehicle Operating Cost Savings'!D42</f>
        <v>0</v>
      </c>
      <c r="F22" s="323">
        <f>'Emissions Reduction'!G49</f>
        <v>433700.53999091301</v>
      </c>
      <c r="G22" s="323">
        <f>'Emissions Reduction'!H49</f>
        <v>189258.24286012945</v>
      </c>
      <c r="H22" s="323">
        <f>'Other Highway Use Externalities'!B36</f>
        <v>0</v>
      </c>
      <c r="I22" s="322">
        <f>'Amenity Benefits'!B27</f>
        <v>0</v>
      </c>
      <c r="J22" s="322">
        <f>'Health Benefits'!B31</f>
        <v>0</v>
      </c>
      <c r="K22" s="322">
        <f>'Residual Value'!B34</f>
        <v>0</v>
      </c>
      <c r="L22" s="322">
        <f>'Other Benefit 1'!B24</f>
        <v>0</v>
      </c>
      <c r="M22" s="322">
        <f>'Other Benefit 2'!B24</f>
        <v>0</v>
      </c>
      <c r="N22" s="322">
        <f>'Other Benefit 3'!B24</f>
        <v>0</v>
      </c>
      <c r="O22" s="322">
        <f>'Other Benefit 4'!B28</f>
        <v>0</v>
      </c>
      <c r="P22" s="324">
        <f t="shared" si="0"/>
        <v>18826498.725241471</v>
      </c>
      <c r="Q22" s="325">
        <f>IFERROR(((P22-G22)/(1.031)^(A22-Instruction!$B$19))+((G22)/(1.02)^(A22-Instruction!$B$19)),0)</f>
        <v>9074894.190008508</v>
      </c>
    </row>
    <row r="23" spans="1:17" x14ac:dyDescent="0.35">
      <c r="A23" s="326">
        <f>IF(A22&lt;'Project Information'!B$11,A22+1,"")</f>
        <v>2047</v>
      </c>
      <c r="B23" s="322">
        <f>'Operations and Maintenance'!D25</f>
        <v>0</v>
      </c>
      <c r="C23" s="322">
        <f>Safety!D39</f>
        <v>14215523.450789595</v>
      </c>
      <c r="D23" s="322">
        <f>'Travel Time Savings'!D37</f>
        <v>4488613.8400165681</v>
      </c>
      <c r="E23" s="322">
        <f>'Vehicle Operating Cost Savings'!D43</f>
        <v>0</v>
      </c>
      <c r="F23" s="323">
        <f>'Emissions Reduction'!G50</f>
        <v>445627.30484066316</v>
      </c>
      <c r="G23" s="323">
        <f>'Emissions Reduction'!H50</f>
        <v>197804.13052742192</v>
      </c>
      <c r="H23" s="323">
        <f>'Other Highway Use Externalities'!B37</f>
        <v>0</v>
      </c>
      <c r="I23" s="322">
        <f>'Amenity Benefits'!B28</f>
        <v>0</v>
      </c>
      <c r="J23" s="322">
        <f>'Health Benefits'!B32</f>
        <v>0</v>
      </c>
      <c r="K23" s="322">
        <f>'Residual Value'!B35</f>
        <v>0</v>
      </c>
      <c r="L23" s="322">
        <f>'Other Benefit 1'!B25</f>
        <v>0</v>
      </c>
      <c r="M23" s="322">
        <f>'Other Benefit 2'!B25</f>
        <v>0</v>
      </c>
      <c r="N23" s="322">
        <f>'Other Benefit 3'!B25</f>
        <v>0</v>
      </c>
      <c r="O23" s="322">
        <f>'Other Benefit 4'!B29</f>
        <v>0</v>
      </c>
      <c r="P23" s="324">
        <f t="shared" si="0"/>
        <v>19347568.726174247</v>
      </c>
      <c r="Q23" s="325">
        <f>IFERROR(((P23-G23)/(1.031)^(A23-Instruction!$B$19))+((G23)/(1.02)^(A23-Instruction!$B$19)),0)</f>
        <v>9047388.3360745348</v>
      </c>
    </row>
    <row r="24" spans="1:17" x14ac:dyDescent="0.35">
      <c r="A24" s="326">
        <f>IF(A23&lt;'Project Information'!B$11,A23+1,"")</f>
        <v>2048</v>
      </c>
      <c r="B24" s="322">
        <f>'Operations and Maintenance'!D26</f>
        <v>0</v>
      </c>
      <c r="C24" s="322">
        <f>Safety!D40</f>
        <v>14606450.345686311</v>
      </c>
      <c r="D24" s="322">
        <f>'Travel Time Savings'!D38</f>
        <v>4612050.7206170233</v>
      </c>
      <c r="E24" s="322">
        <f>'Vehicle Operating Cost Savings'!D44</f>
        <v>0</v>
      </c>
      <c r="F24" s="323">
        <f>'Emissions Reduction'!G51</f>
        <v>457882.05572378146</v>
      </c>
      <c r="G24" s="323">
        <f>'Emissions Reduction'!H51</f>
        <v>205990.28119958722</v>
      </c>
      <c r="H24" s="323">
        <f>'Other Highway Use Externalities'!B38</f>
        <v>0</v>
      </c>
      <c r="I24" s="322">
        <f>'Amenity Benefits'!B29</f>
        <v>0</v>
      </c>
      <c r="J24" s="322">
        <f>'Health Benefits'!B33</f>
        <v>0</v>
      </c>
      <c r="K24" s="322">
        <f>'Residual Value'!B36</f>
        <v>0</v>
      </c>
      <c r="L24" s="322">
        <f>'Other Benefit 1'!B26</f>
        <v>0</v>
      </c>
      <c r="M24" s="322">
        <f>'Other Benefit 2'!B26</f>
        <v>0</v>
      </c>
      <c r="N24" s="322">
        <f>'Other Benefit 3'!B26</f>
        <v>0</v>
      </c>
      <c r="O24" s="322">
        <f>'Other Benefit 4'!B30</f>
        <v>0</v>
      </c>
      <c r="P24" s="324">
        <f t="shared" si="0"/>
        <v>19882373.403226703</v>
      </c>
      <c r="Q24" s="325">
        <f>IFERROR(((P24-G24)/(1.031)^(A24-Instruction!$B$19))+((G24)/(1.02)^(A24-Instruction!$B$19)),0)</f>
        <v>9019611.7024535965</v>
      </c>
    </row>
    <row r="25" spans="1:17" x14ac:dyDescent="0.35">
      <c r="A25" s="326">
        <f>IF(A24&lt;'Project Information'!B$11,A24+1,"")</f>
        <v>2049</v>
      </c>
      <c r="B25" s="322">
        <f>'Operations and Maintenance'!D27</f>
        <v>0</v>
      </c>
      <c r="C25" s="322">
        <f>Safety!D41</f>
        <v>15008127.730192684</v>
      </c>
      <c r="D25" s="322">
        <f>'Travel Time Savings'!D39</f>
        <v>4738882.1154339919</v>
      </c>
      <c r="E25" s="322">
        <f>'Vehicle Operating Cost Savings'!D45</f>
        <v>0</v>
      </c>
      <c r="F25" s="323">
        <f>'Emissions Reduction'!G52</f>
        <v>470473.8122561854</v>
      </c>
      <c r="G25" s="323">
        <f>'Emissions Reduction'!H52</f>
        <v>214477.08078501018</v>
      </c>
      <c r="H25" s="323">
        <f>'Other Highway Use Externalities'!B39</f>
        <v>0</v>
      </c>
      <c r="I25" s="322">
        <f>'Amenity Benefits'!B30</f>
        <v>0</v>
      </c>
      <c r="J25" s="322">
        <f>'Health Benefits'!B34</f>
        <v>0</v>
      </c>
      <c r="K25" s="322">
        <f>'Residual Value'!B37</f>
        <v>0</v>
      </c>
      <c r="L25" s="322">
        <f>'Other Benefit 1'!B27</f>
        <v>0</v>
      </c>
      <c r="M25" s="322">
        <f>'Other Benefit 2'!B27</f>
        <v>0</v>
      </c>
      <c r="N25" s="322">
        <f>'Other Benefit 3'!B27</f>
        <v>0</v>
      </c>
      <c r="O25" s="322">
        <f>'Other Benefit 4'!B31</f>
        <v>0</v>
      </c>
      <c r="P25" s="324">
        <f t="shared" si="0"/>
        <v>20431960.738667872</v>
      </c>
      <c r="Q25" s="325">
        <f>IFERROR(((P25-G25)/(1.031)^(A25-Instruction!$B$19))+((G25)/(1.02)^(A25-Instruction!$B$19)),0)</f>
        <v>8991968.6001481283</v>
      </c>
    </row>
    <row r="26" spans="1:17" x14ac:dyDescent="0.35">
      <c r="A26" s="326">
        <f>IF(A25&lt;'Project Information'!B$11,A25+1,"")</f>
        <v>2050</v>
      </c>
      <c r="B26" s="322">
        <f>'Operations and Maintenance'!D28</f>
        <v>0</v>
      </c>
      <c r="C26" s="322">
        <f>Safety!D42</f>
        <v>0</v>
      </c>
      <c r="D26" s="322">
        <f>'Travel Time Savings'!D40</f>
        <v>4869201.3736084271</v>
      </c>
      <c r="E26" s="322">
        <f>'Vehicle Operating Cost Savings'!D46</f>
        <v>0</v>
      </c>
      <c r="F26" s="323">
        <f>'Emissions Reduction'!G53</f>
        <v>483411.84209323052</v>
      </c>
      <c r="G26" s="323">
        <f>'Emissions Reduction'!H53</f>
        <v>223274.87419747427</v>
      </c>
      <c r="H26" s="323">
        <f>'Other Highway Use Externalities'!B40</f>
        <v>0</v>
      </c>
      <c r="I26" s="322">
        <f>'Amenity Benefits'!B31</f>
        <v>0</v>
      </c>
      <c r="J26" s="322">
        <f>'Health Benefits'!B35</f>
        <v>0</v>
      </c>
      <c r="K26" s="322">
        <f>'Residual Value'!B38</f>
        <v>0</v>
      </c>
      <c r="L26" s="322">
        <f>'Other Benefit 1'!B28</f>
        <v>0</v>
      </c>
      <c r="M26" s="322">
        <f>'Other Benefit 2'!B28</f>
        <v>0</v>
      </c>
      <c r="N26" s="322">
        <f>'Other Benefit 3'!B28</f>
        <v>0</v>
      </c>
      <c r="O26" s="322">
        <f>'Other Benefit 4'!B32</f>
        <v>0</v>
      </c>
      <c r="P26" s="324">
        <f t="shared" si="0"/>
        <v>5575888.089899132</v>
      </c>
      <c r="Q26" s="325">
        <f>IFERROR(((P26-G26)/(1.031)^(A26-Instruction!$B$19))+((G26)/(1.02)^(A26-Instruction!$B$19)),0)</f>
        <v>2405034.763001977</v>
      </c>
    </row>
    <row r="27" spans="1:17" x14ac:dyDescent="0.35">
      <c r="A27" s="326">
        <f>IF(A26&lt;'Project Information'!B$11,A26+1,"")</f>
        <v>2051</v>
      </c>
      <c r="B27" s="322">
        <f>'Operations and Maintenance'!D29</f>
        <v>0</v>
      </c>
      <c r="C27" s="322">
        <f>Safety!D43</f>
        <v>0</v>
      </c>
      <c r="D27" s="322">
        <f>'Travel Time Savings'!D41</f>
        <v>5003104.4113826584</v>
      </c>
      <c r="E27" s="322">
        <f>'Vehicle Operating Cost Savings'!D47</f>
        <v>0</v>
      </c>
      <c r="F27" s="323">
        <f>'Emissions Reduction'!G54</f>
        <v>496705.6677507945</v>
      </c>
      <c r="G27" s="323">
        <f>'Emissions Reduction'!H54</f>
        <v>232394.34795528027</v>
      </c>
      <c r="H27" s="323">
        <f>'Other Highway Use Externalities'!B41</f>
        <v>0</v>
      </c>
      <c r="I27" s="322">
        <f>'Amenity Benefits'!B32</f>
        <v>0</v>
      </c>
      <c r="J27" s="322">
        <f>'Health Benefits'!B36</f>
        <v>0</v>
      </c>
      <c r="K27" s="322">
        <f>'Residual Value'!B39</f>
        <v>0</v>
      </c>
      <c r="L27" s="322">
        <f>'Other Benefit 1'!B29</f>
        <v>0</v>
      </c>
      <c r="M27" s="322">
        <f>'Other Benefit 2'!B29</f>
        <v>0</v>
      </c>
      <c r="N27" s="322">
        <f>'Other Benefit 3'!B29</f>
        <v>0</v>
      </c>
      <c r="O27" s="322">
        <f>'Other Benefit 4'!B33</f>
        <v>0</v>
      </c>
      <c r="P27" s="324">
        <f t="shared" si="0"/>
        <v>5732204.4270887328</v>
      </c>
      <c r="Q27" s="325">
        <f>IFERROR(((P27-G27)/(1.031)^(A27-Instruction!$B$19))+((G27)/(1.02)^(A27-Instruction!$B$19)),0)</f>
        <v>2399926.3087018589</v>
      </c>
    </row>
    <row r="28" spans="1:17" x14ac:dyDescent="0.35">
      <c r="A28" s="326">
        <f>IF(A27&lt;'Project Information'!B$11,A27+1,"")</f>
        <v>2052</v>
      </c>
      <c r="B28" s="322">
        <f>'Operations and Maintenance'!D30</f>
        <v>0</v>
      </c>
      <c r="C28" s="322">
        <f>Safety!D44</f>
        <v>0</v>
      </c>
      <c r="D28" s="322">
        <f>'Travel Time Savings'!D42</f>
        <v>5140689.7826956818</v>
      </c>
      <c r="E28" s="322">
        <f>'Vehicle Operating Cost Savings'!D48</f>
        <v>0</v>
      </c>
      <c r="F28" s="323">
        <f>'Emissions Reduction'!G55</f>
        <v>510365.07361394132</v>
      </c>
      <c r="G28" s="323">
        <f>'Emissions Reduction'!H55</f>
        <v>241081.20399062787</v>
      </c>
      <c r="H28" s="323">
        <f>'Other Highway Use Externalities'!B42</f>
        <v>0</v>
      </c>
      <c r="I28" s="322">
        <f>'Amenity Benefits'!B33</f>
        <v>0</v>
      </c>
      <c r="J28" s="322">
        <f>'Health Benefits'!B37</f>
        <v>0</v>
      </c>
      <c r="K28" s="322">
        <f>'Residual Value'!B40</f>
        <v>0</v>
      </c>
      <c r="L28" s="322">
        <f>'Other Benefit 1'!B30</f>
        <v>0</v>
      </c>
      <c r="M28" s="322">
        <f>'Other Benefit 2'!B30</f>
        <v>0</v>
      </c>
      <c r="N28" s="322">
        <f>'Other Benefit 3'!B30</f>
        <v>0</v>
      </c>
      <c r="O28" s="322">
        <f>'Other Benefit 4'!B34</f>
        <v>0</v>
      </c>
      <c r="P28" s="324">
        <f t="shared" si="0"/>
        <v>5892136.0603002515</v>
      </c>
      <c r="Q28" s="325">
        <f>IFERROR(((P28-G28)/(1.031)^(A28-Instruction!$B$19))+((G28)/(1.02)^(A28-Instruction!$B$19)),0)</f>
        <v>2394453.1790156057</v>
      </c>
    </row>
    <row r="29" spans="1:17" x14ac:dyDescent="0.35">
      <c r="A29" s="326">
        <f>IF(A28&lt;'Project Information'!B$11,A28+1,"")</f>
        <v>2053</v>
      </c>
      <c r="B29" s="322">
        <f>'Operations and Maintenance'!D31</f>
        <v>0</v>
      </c>
      <c r="C29" s="322">
        <f>Safety!D45</f>
        <v>0</v>
      </c>
      <c r="D29" s="322">
        <f>'Travel Time Savings'!D43</f>
        <v>5282058.7517198129</v>
      </c>
      <c r="E29" s="322">
        <f>'Vehicle Operating Cost Savings'!D49</f>
        <v>0</v>
      </c>
      <c r="F29" s="323">
        <f>'Emissions Reduction'!G56</f>
        <v>524400.1131383247</v>
      </c>
      <c r="G29" s="323">
        <f>'Emissions Reduction'!H56</f>
        <v>250856.47280958117</v>
      </c>
      <c r="H29" s="323">
        <f>'Other Highway Use Externalities'!B43</f>
        <v>0</v>
      </c>
      <c r="I29" s="322">
        <f>'Amenity Benefits'!B34</f>
        <v>0</v>
      </c>
      <c r="J29" s="322">
        <f>'Health Benefits'!B38</f>
        <v>0</v>
      </c>
      <c r="K29" s="322">
        <f>'Residual Value'!B41</f>
        <v>0</v>
      </c>
      <c r="L29" s="322">
        <f>'Other Benefit 1'!B31</f>
        <v>0</v>
      </c>
      <c r="M29" s="322">
        <f>'Other Benefit 2'!B31</f>
        <v>0</v>
      </c>
      <c r="N29" s="322">
        <f>'Other Benefit 3'!B31</f>
        <v>0</v>
      </c>
      <c r="O29" s="322">
        <f>'Other Benefit 4'!B35</f>
        <v>0</v>
      </c>
      <c r="P29" s="324">
        <f t="shared" si="0"/>
        <v>6057315.3376677185</v>
      </c>
      <c r="Q29" s="325">
        <f>IFERROR(((P29-G29)/(1.031)^(A29-Instruction!$B$19))+((G29)/(1.02)^(A29-Instruction!$B$19)),0)</f>
        <v>2389457.5419371701</v>
      </c>
    </row>
    <row r="30" spans="1:17" x14ac:dyDescent="0.35">
      <c r="A30" s="326">
        <f>IF(A29&lt;'Project Information'!B$11,A29+1,"")</f>
        <v>2054</v>
      </c>
      <c r="B30" s="322">
        <f>'Operations and Maintenance'!D32</f>
        <v>0</v>
      </c>
      <c r="C30" s="322">
        <f>Safety!D46</f>
        <v>0</v>
      </c>
      <c r="D30" s="322">
        <f>'Travel Time Savings'!D44</f>
        <v>5427315.3673921078</v>
      </c>
      <c r="E30" s="322">
        <f>'Vehicle Operating Cost Savings'!D50</f>
        <v>0</v>
      </c>
      <c r="F30" s="323">
        <f>'Emissions Reduction'!G57</f>
        <v>538821.1162496286</v>
      </c>
      <c r="G30" s="323">
        <f>'Emissions Reduction'!H57</f>
        <v>257755.02581184465</v>
      </c>
      <c r="H30" s="323">
        <f>'Other Highway Use Externalities'!B44</f>
        <v>0</v>
      </c>
      <c r="I30" s="322">
        <f>'Amenity Benefits'!B35</f>
        <v>0</v>
      </c>
      <c r="J30" s="322">
        <f>'Health Benefits'!B39</f>
        <v>0</v>
      </c>
      <c r="K30" s="322">
        <f>'Residual Value'!B42</f>
        <v>31778113.491270661</v>
      </c>
      <c r="L30" s="322">
        <f>'Other Benefit 1'!B32</f>
        <v>0</v>
      </c>
      <c r="M30" s="322">
        <f>'Other Benefit 2'!B32</f>
        <v>0</v>
      </c>
      <c r="N30" s="322">
        <f>'Other Benefit 3'!B32</f>
        <v>0</v>
      </c>
      <c r="O30" s="322">
        <f>'Other Benefit 4'!B36</f>
        <v>0</v>
      </c>
      <c r="P30" s="324">
        <f t="shared" si="0"/>
        <v>38002005.000724241</v>
      </c>
      <c r="Q30" s="325">
        <f>IFERROR(((P30-G30)/(1.031)^(A30-Instruction!$B$19))+((G30)/(1.02)^(A30-Instruction!$B$19)),0)</f>
        <v>14346100.464213032</v>
      </c>
    </row>
    <row r="31" spans="1:17" x14ac:dyDescent="0.35">
      <c r="A31" s="326" t="str">
        <f>IF(A30&lt;'Project Information'!B$11,A30+1,"")</f>
        <v/>
      </c>
      <c r="B31" s="322">
        <f>'Operations and Maintenance'!D33</f>
        <v>0</v>
      </c>
      <c r="C31" s="322">
        <f>Safety!D47</f>
        <v>0</v>
      </c>
      <c r="D31" s="322">
        <f>'Travel Time Savings'!D45</f>
        <v>0</v>
      </c>
      <c r="E31" s="322">
        <f>'Vehicle Operating Cost Savings'!D51</f>
        <v>0</v>
      </c>
      <c r="F31" s="323">
        <f>'Emissions Reduction'!G58</f>
        <v>0</v>
      </c>
      <c r="G31" s="323">
        <f>'Emissions Reduction'!H58</f>
        <v>0</v>
      </c>
      <c r="H31" s="323">
        <f>'Other Highway Use Externalities'!B45</f>
        <v>0</v>
      </c>
      <c r="I31" s="322">
        <f>'Amenity Benefits'!B36</f>
        <v>0</v>
      </c>
      <c r="J31" s="322">
        <f>'Health Benefits'!B40</f>
        <v>0</v>
      </c>
      <c r="K31" s="322">
        <f>'Residual Value'!B43</f>
        <v>0</v>
      </c>
      <c r="L31" s="322">
        <f>'Other Benefit 1'!B33</f>
        <v>0</v>
      </c>
      <c r="M31" s="322">
        <f>'Other Benefit 2'!B33</f>
        <v>0</v>
      </c>
      <c r="N31" s="322">
        <f>'Other Benefit 3'!B33</f>
        <v>0</v>
      </c>
      <c r="O31" s="322">
        <f>'Other Benefit 4'!B37</f>
        <v>0</v>
      </c>
      <c r="P31" s="324">
        <f t="shared" si="0"/>
        <v>0</v>
      </c>
      <c r="Q31" s="325">
        <f>IFERROR(((P31-G31)/(1.031)^(A31-Instruction!$B$19))+((G31)/(1.02)^(A31-Instruction!$B$19)),0)</f>
        <v>0</v>
      </c>
    </row>
    <row r="32" spans="1:17" x14ac:dyDescent="0.35">
      <c r="A32" s="326" t="str">
        <f>IF(A31&lt;'Project Information'!B$11,A31+1,"")</f>
        <v/>
      </c>
      <c r="B32" s="322">
        <f>'Operations and Maintenance'!D34</f>
        <v>0</v>
      </c>
      <c r="C32" s="322">
        <f>Safety!D48</f>
        <v>0</v>
      </c>
      <c r="D32" s="322">
        <f>'Travel Time Savings'!D46</f>
        <v>0</v>
      </c>
      <c r="E32" s="322">
        <f>'Vehicle Operating Cost Savings'!D52</f>
        <v>0</v>
      </c>
      <c r="F32" s="323">
        <f>'Emissions Reduction'!G59</f>
        <v>0</v>
      </c>
      <c r="G32" s="323">
        <f>'Emissions Reduction'!H59</f>
        <v>0</v>
      </c>
      <c r="H32" s="323">
        <f>'Other Highway Use Externalities'!B46</f>
        <v>0</v>
      </c>
      <c r="I32" s="322">
        <f>'Amenity Benefits'!B37</f>
        <v>0</v>
      </c>
      <c r="J32" s="322">
        <f>'Health Benefits'!B41</f>
        <v>0</v>
      </c>
      <c r="K32" s="322">
        <f>'Residual Value'!B44</f>
        <v>0</v>
      </c>
      <c r="L32" s="322">
        <f>'Other Benefit 1'!B34</f>
        <v>0</v>
      </c>
      <c r="M32" s="322">
        <f>'Other Benefit 2'!B34</f>
        <v>0</v>
      </c>
      <c r="N32" s="322">
        <f>'Other Benefit 3'!B34</f>
        <v>0</v>
      </c>
      <c r="O32" s="322">
        <f>'Other Benefit 4'!B38</f>
        <v>0</v>
      </c>
      <c r="P32" s="324">
        <f t="shared" si="0"/>
        <v>0</v>
      </c>
      <c r="Q32" s="325">
        <f>IFERROR(((P32-G32)/(1.031)^(A32-Instruction!$B$19))+((G32)/(1.02)^(A32-Instruction!$B$19)),0)</f>
        <v>0</v>
      </c>
    </row>
    <row r="33" spans="1:17" x14ac:dyDescent="0.35">
      <c r="A33" s="326" t="str">
        <f>IF(A32&lt;'Project Information'!B$11,A32+1,"")</f>
        <v/>
      </c>
      <c r="B33" s="322">
        <f>'Operations and Maintenance'!D35</f>
        <v>0</v>
      </c>
      <c r="C33" s="322">
        <f>Safety!D49</f>
        <v>0</v>
      </c>
      <c r="D33" s="322">
        <f>'Travel Time Savings'!D47</f>
        <v>0</v>
      </c>
      <c r="E33" s="322">
        <f>'Vehicle Operating Cost Savings'!D53</f>
        <v>0</v>
      </c>
      <c r="F33" s="323">
        <f>'Emissions Reduction'!G60</f>
        <v>0</v>
      </c>
      <c r="G33" s="323">
        <f>'Emissions Reduction'!H60</f>
        <v>0</v>
      </c>
      <c r="H33" s="323">
        <f>'Other Highway Use Externalities'!B47</f>
        <v>0</v>
      </c>
      <c r="I33" s="322">
        <f>'Amenity Benefits'!B38</f>
        <v>0</v>
      </c>
      <c r="J33" s="322">
        <f>'Health Benefits'!B42</f>
        <v>0</v>
      </c>
      <c r="K33" s="322">
        <f>'Residual Value'!B45</f>
        <v>0</v>
      </c>
      <c r="L33" s="322">
        <f>'Other Benefit 1'!B35</f>
        <v>0</v>
      </c>
      <c r="M33" s="322">
        <f>'Other Benefit 2'!B35</f>
        <v>0</v>
      </c>
      <c r="N33" s="322">
        <f>'Other Benefit 3'!B35</f>
        <v>0</v>
      </c>
      <c r="O33" s="322">
        <f>'Other Benefit 4'!B39</f>
        <v>0</v>
      </c>
      <c r="P33" s="324">
        <f t="shared" si="0"/>
        <v>0</v>
      </c>
      <c r="Q33" s="325">
        <f>IFERROR(((P33-G33)/(1.031)^(A33-Instruction!$B$19))+((G33)/(1.02)^(A33-Instruction!$B$19)),0)</f>
        <v>0</v>
      </c>
    </row>
    <row r="34" spans="1:17" x14ac:dyDescent="0.35">
      <c r="A34" s="326" t="str">
        <f>IF(A33&lt;'Project Information'!B$11,A33+1,"")</f>
        <v/>
      </c>
      <c r="B34" s="322">
        <f>'Operations and Maintenance'!D36</f>
        <v>0</v>
      </c>
      <c r="C34" s="322">
        <f>Safety!D50</f>
        <v>0</v>
      </c>
      <c r="D34" s="322">
        <f>'Travel Time Savings'!D48</f>
        <v>0</v>
      </c>
      <c r="E34" s="322">
        <f>'Vehicle Operating Cost Savings'!D54</f>
        <v>0</v>
      </c>
      <c r="F34" s="323">
        <f>'Emissions Reduction'!G61</f>
        <v>0</v>
      </c>
      <c r="G34" s="323">
        <f>'Emissions Reduction'!H61</f>
        <v>0</v>
      </c>
      <c r="H34" s="323">
        <f>'Other Highway Use Externalities'!B48</f>
        <v>0</v>
      </c>
      <c r="I34" s="322">
        <f>'Amenity Benefits'!B39</f>
        <v>0</v>
      </c>
      <c r="J34" s="322">
        <f>'Health Benefits'!B43</f>
        <v>0</v>
      </c>
      <c r="K34" s="322">
        <f>'Residual Value'!B46</f>
        <v>0</v>
      </c>
      <c r="L34" s="322">
        <f>'Other Benefit 1'!B36</f>
        <v>0</v>
      </c>
      <c r="M34" s="322">
        <f>'Other Benefit 2'!B36</f>
        <v>0</v>
      </c>
      <c r="N34" s="322">
        <f>'Other Benefit 3'!B36</f>
        <v>0</v>
      </c>
      <c r="O34" s="322">
        <f>'Other Benefit 4'!B40</f>
        <v>0</v>
      </c>
      <c r="P34" s="324">
        <f t="shared" si="0"/>
        <v>0</v>
      </c>
      <c r="Q34" s="325">
        <f>IFERROR(((P34-G34)/(1.031)^(A34-Instruction!$B$19))+((G34)/(1.02)^(A34-Instruction!$B$19)),0)</f>
        <v>0</v>
      </c>
    </row>
    <row r="35" spans="1:17" x14ac:dyDescent="0.35">
      <c r="A35" s="326" t="str">
        <f>IF(A34&lt;'Project Information'!B$11,A34+1,"")</f>
        <v/>
      </c>
      <c r="B35" s="322">
        <f>'Operations and Maintenance'!D37</f>
        <v>0</v>
      </c>
      <c r="C35" s="322">
        <f>Safety!D51</f>
        <v>0</v>
      </c>
      <c r="D35" s="322">
        <f>'Travel Time Savings'!D49</f>
        <v>0</v>
      </c>
      <c r="E35" s="322">
        <f>'Vehicle Operating Cost Savings'!D55</f>
        <v>0</v>
      </c>
      <c r="F35" s="323">
        <f>'Emissions Reduction'!G62</f>
        <v>0</v>
      </c>
      <c r="G35" s="323">
        <f>'Emissions Reduction'!H62</f>
        <v>0</v>
      </c>
      <c r="H35" s="323">
        <f>'Other Highway Use Externalities'!B49</f>
        <v>0</v>
      </c>
      <c r="I35" s="322">
        <f>'Amenity Benefits'!B40</f>
        <v>0</v>
      </c>
      <c r="J35" s="322">
        <f>'Health Benefits'!B44</f>
        <v>0</v>
      </c>
      <c r="K35" s="322">
        <f>'Residual Value'!B47</f>
        <v>0</v>
      </c>
      <c r="L35" s="322">
        <f>'Other Benefit 1'!B37</f>
        <v>0</v>
      </c>
      <c r="M35" s="322">
        <f>'Other Benefit 2'!B37</f>
        <v>0</v>
      </c>
      <c r="N35" s="322">
        <f>'Other Benefit 3'!B37</f>
        <v>0</v>
      </c>
      <c r="O35" s="322">
        <f>'Other Benefit 4'!B41</f>
        <v>0</v>
      </c>
      <c r="P35" s="324">
        <f t="shared" si="0"/>
        <v>0</v>
      </c>
      <c r="Q35" s="325">
        <f>IFERROR(((P35-G35)/(1.031)^(A35-Instruction!$B$19))+((G35)/(1.02)^(A35-Instruction!$B$19)),0)</f>
        <v>0</v>
      </c>
    </row>
    <row r="36" spans="1:17" x14ac:dyDescent="0.35">
      <c r="A36" s="327" t="s">
        <v>183</v>
      </c>
      <c r="B36" s="328">
        <f>SUM(B6:B35)</f>
        <v>0</v>
      </c>
      <c r="C36" s="328">
        <f t="shared" ref="C36:O36" si="1">SUM(C6:C35)</f>
        <v>387888711.04385304</v>
      </c>
      <c r="D36" s="328">
        <f t="shared" si="1"/>
        <v>99866926.692860663</v>
      </c>
      <c r="E36" s="328">
        <f t="shared" si="1"/>
        <v>0</v>
      </c>
      <c r="F36" s="328">
        <f t="shared" si="1"/>
        <v>9914737.8168524541</v>
      </c>
      <c r="G36" s="328">
        <f t="shared" si="1"/>
        <v>4179056.6346379225</v>
      </c>
      <c r="H36" s="329">
        <f t="shared" si="1"/>
        <v>0</v>
      </c>
      <c r="I36" s="328">
        <f t="shared" si="1"/>
        <v>0</v>
      </c>
      <c r="J36" s="328">
        <f t="shared" si="1"/>
        <v>0</v>
      </c>
      <c r="K36" s="328">
        <f t="shared" si="1"/>
        <v>31778113.491270661</v>
      </c>
      <c r="L36" s="328">
        <f t="shared" si="1"/>
        <v>0</v>
      </c>
      <c r="M36" s="328">
        <f t="shared" si="1"/>
        <v>0</v>
      </c>
      <c r="N36" s="328">
        <f t="shared" si="1"/>
        <v>0</v>
      </c>
      <c r="O36" s="328">
        <f t="shared" si="1"/>
        <v>0</v>
      </c>
      <c r="P36" s="330">
        <f>SUM(P6:P35)</f>
        <v>533627545.67947483</v>
      </c>
      <c r="Q36" s="331"/>
    </row>
    <row r="37" spans="1:17" x14ac:dyDescent="0.35">
      <c r="A37" s="332" t="s">
        <v>184</v>
      </c>
      <c r="B37" s="328">
        <f>NPV(0.031,B6:B35)/(1.031)^($A$6-Overview!$B$22-1)</f>
        <v>0</v>
      </c>
      <c r="C37" s="328">
        <f>NPV(0.031,C6:C35)/(1.031)^($A$6-Instruction!$B$19-1)</f>
        <v>232811177.24895644</v>
      </c>
      <c r="D37" s="328">
        <f>NPV(0.031,D6:D35)/(1.031)^($A$6-Instruction!$B$19-1)</f>
        <v>53223123.631993897</v>
      </c>
      <c r="E37" s="328">
        <f>NPV(0.031,E6:E35)/(1.031)^($A$6-Instruction!$B$19-1)</f>
        <v>0</v>
      </c>
      <c r="F37" s="328">
        <f>NPV(0.031,F6:F35)/(1.031)^($A$6-Instruction!$B$19-1)</f>
        <v>5283964.7126426222</v>
      </c>
      <c r="G37" s="328">
        <f>NPV(0.02,G6:G35)/(1.02)^($A$6-Instruction!$B$19-1)</f>
        <v>2724217.8422590075</v>
      </c>
      <c r="H37" s="333">
        <f>NPV(0.031,H6:H35)/(1.031)^($A$6-Instruction!$B$19-1)</f>
        <v>0</v>
      </c>
      <c r="I37" s="328">
        <f>NPV(0.031,I6:I35)/(1.031)^($A$6-Instruction!$B$19-1)</f>
        <v>0</v>
      </c>
      <c r="J37" s="328">
        <f>NPV(0.031,J6:J35)/(1.031)^($A$6-Instruction!$B$19-1)</f>
        <v>0</v>
      </c>
      <c r="K37" s="328">
        <f>NPV(0.031,K6:K35)/(1.031)^($A$6-Instruction!$B$19-1)</f>
        <v>11963295.292777799</v>
      </c>
      <c r="L37" s="328">
        <f>NPV(0.031,L6:L35)/(1.031)^($A$6-Overview!$B$22-1)</f>
        <v>0</v>
      </c>
      <c r="M37" s="328">
        <f>NPV(0.031,M6:M35)/(1.031)^($A$6-Overview!$B$22-1)</f>
        <v>0</v>
      </c>
      <c r="N37" s="328">
        <f>NPV(0.031,N6:N35)/(1.031)^($A$6-Overview!$B$22-1)</f>
        <v>0</v>
      </c>
      <c r="O37" s="328">
        <f>NPV(0.031,O6:O35)/(1.031)^($A$6-Overview!$B$22-1)</f>
        <v>0</v>
      </c>
      <c r="P37" s="328">
        <f>NPV(0.031,P6:P35)/(1.031)^($A$6-Instruction!$B$19-1)</f>
        <v>305460230.85984826</v>
      </c>
      <c r="Q37" s="331">
        <f>SUM(Q6:Q35)</f>
        <v>306005778.72862959</v>
      </c>
    </row>
    <row r="38" spans="1:17" x14ac:dyDescent="0.35">
      <c r="A38" s="42" t="s">
        <v>171</v>
      </c>
    </row>
    <row r="39" spans="1:17" x14ac:dyDescent="0.35">
      <c r="A39" s="318" t="s">
        <v>185</v>
      </c>
    </row>
    <row r="40" spans="1:17" x14ac:dyDescent="0.35">
      <c r="A40" s="319" t="s">
        <v>173</v>
      </c>
      <c r="B40" s="320" t="s">
        <v>118</v>
      </c>
      <c r="C40" s="334" t="s">
        <v>186</v>
      </c>
    </row>
    <row r="41" spans="1:17" x14ac:dyDescent="0.35">
      <c r="A41" s="335">
        <f>'Capital Costs'!A9</f>
        <v>2025</v>
      </c>
      <c r="B41" s="322">
        <f>'Capital Costs'!C9</f>
        <v>0</v>
      </c>
      <c r="C41" s="336">
        <f>B41/(1.031)^(A41-Overview!$B$22)</f>
        <v>0</v>
      </c>
    </row>
    <row r="42" spans="1:17" x14ac:dyDescent="0.35">
      <c r="A42" s="337">
        <f t="shared" ref="A42:A55" si="2">A41+1</f>
        <v>2026</v>
      </c>
      <c r="B42" s="322">
        <f>'Capital Costs'!C10</f>
        <v>0</v>
      </c>
      <c r="C42" s="336">
        <f>B42/(1.031)^(A42-Overview!$B$22)</f>
        <v>0</v>
      </c>
    </row>
    <row r="43" spans="1:17" x14ac:dyDescent="0.35">
      <c r="A43" s="337">
        <f t="shared" si="2"/>
        <v>2027</v>
      </c>
      <c r="B43" s="322">
        <f>'Capital Costs'!C11</f>
        <v>0</v>
      </c>
      <c r="C43" s="336">
        <f>B43/(1.031)^(A43-Overview!$B$22)</f>
        <v>0</v>
      </c>
    </row>
    <row r="44" spans="1:17" x14ac:dyDescent="0.35">
      <c r="A44" s="337">
        <f t="shared" si="2"/>
        <v>2028</v>
      </c>
      <c r="B44" s="322">
        <f>'Capital Costs'!C12</f>
        <v>0</v>
      </c>
      <c r="C44" s="336">
        <f>B44/(1.031)^(A44-Overview!$B$22)</f>
        <v>0</v>
      </c>
    </row>
    <row r="45" spans="1:17" x14ac:dyDescent="0.35">
      <c r="A45" s="337">
        <f t="shared" si="2"/>
        <v>2029</v>
      </c>
      <c r="B45" s="322">
        <f>'Capital Costs'!C13</f>
        <v>0</v>
      </c>
      <c r="C45" s="336">
        <f>B45/(1.031)^(A45-Overview!$B$22)</f>
        <v>0</v>
      </c>
      <c r="D45" s="338"/>
    </row>
    <row r="46" spans="1:17" x14ac:dyDescent="0.35">
      <c r="A46" s="337">
        <f t="shared" si="2"/>
        <v>2030</v>
      </c>
      <c r="B46" s="322">
        <f>'Capital Costs'!C14</f>
        <v>0</v>
      </c>
      <c r="C46" s="336">
        <f>B46/(1.031)^(A46-Overview!$B$22)</f>
        <v>0</v>
      </c>
      <c r="D46" s="338"/>
    </row>
    <row r="47" spans="1:17" x14ac:dyDescent="0.35">
      <c r="A47" s="337">
        <f t="shared" si="2"/>
        <v>2031</v>
      </c>
      <c r="B47" s="322">
        <f>'Capital Costs'!C15</f>
        <v>0</v>
      </c>
      <c r="C47" s="336">
        <f>B47/(1.031)^(A47-Overview!$B$22)</f>
        <v>0</v>
      </c>
      <c r="D47" s="338"/>
    </row>
    <row r="48" spans="1:17" x14ac:dyDescent="0.35">
      <c r="A48" s="337">
        <f t="shared" si="2"/>
        <v>2032</v>
      </c>
      <c r="B48" s="322">
        <f>'Capital Costs'!C16</f>
        <v>0</v>
      </c>
      <c r="C48" s="336">
        <f>B48/(1.031)^(A48-Overview!$B$22)</f>
        <v>0</v>
      </c>
      <c r="D48" s="338"/>
    </row>
    <row r="49" spans="1:4" x14ac:dyDescent="0.35">
      <c r="A49" s="337">
        <f t="shared" si="2"/>
        <v>2033</v>
      </c>
      <c r="B49" s="322">
        <f>'Capital Costs'!C17</f>
        <v>0</v>
      </c>
      <c r="C49" s="336">
        <f>B49/(1.031)^(A49-Overview!$B$22)</f>
        <v>0</v>
      </c>
      <c r="D49" s="338"/>
    </row>
    <row r="50" spans="1:4" x14ac:dyDescent="0.35">
      <c r="A50" s="337">
        <f t="shared" si="2"/>
        <v>2034</v>
      </c>
      <c r="B50" s="322">
        <f>'Capital Costs'!C18</f>
        <v>0</v>
      </c>
      <c r="C50" s="336">
        <f>B50/(1.031)^(A50-Overview!$B$22)</f>
        <v>0</v>
      </c>
    </row>
    <row r="51" spans="1:4" x14ac:dyDescent="0.35">
      <c r="A51" s="337">
        <f t="shared" si="2"/>
        <v>2035</v>
      </c>
      <c r="B51" s="322">
        <f>'Capital Costs'!C19</f>
        <v>0</v>
      </c>
      <c r="C51" s="336">
        <f>B51/(1.031)^(A51-Overview!$B$22)</f>
        <v>0</v>
      </c>
    </row>
    <row r="52" spans="1:4" x14ac:dyDescent="0.35">
      <c r="A52" s="337">
        <f t="shared" si="2"/>
        <v>2036</v>
      </c>
      <c r="B52" s="322">
        <f>'Capital Costs'!C20</f>
        <v>0</v>
      </c>
      <c r="C52" s="336">
        <f>B52/(1.031)^(A52-Overview!$B$22)</f>
        <v>0</v>
      </c>
    </row>
    <row r="53" spans="1:4" x14ac:dyDescent="0.35">
      <c r="A53" s="337">
        <f t="shared" si="2"/>
        <v>2037</v>
      </c>
      <c r="B53" s="322">
        <f>'Capital Costs'!C21</f>
        <v>0</v>
      </c>
      <c r="C53" s="336">
        <f>B53/(1.031)^(A53-Overview!$B$22)</f>
        <v>0</v>
      </c>
    </row>
    <row r="54" spans="1:4" x14ac:dyDescent="0.35">
      <c r="A54" s="337">
        <f t="shared" si="2"/>
        <v>2038</v>
      </c>
      <c r="B54" s="322">
        <f>'Capital Costs'!C22</f>
        <v>0</v>
      </c>
      <c r="C54" s="336">
        <f>B54/(1.031)^(A54-Overview!$B$22)</f>
        <v>0</v>
      </c>
    </row>
    <row r="55" spans="1:4" x14ac:dyDescent="0.35">
      <c r="A55" s="337">
        <f t="shared" si="2"/>
        <v>2039</v>
      </c>
      <c r="B55" s="322">
        <f>'Capital Costs'!C23</f>
        <v>0</v>
      </c>
      <c r="C55" s="336">
        <f>B55/(1.031)^(A55-Overview!$B$22)</f>
        <v>0</v>
      </c>
    </row>
    <row r="56" spans="1:4" x14ac:dyDescent="0.35">
      <c r="A56" s="332" t="s">
        <v>82</v>
      </c>
      <c r="B56" s="328">
        <f>SUM(B41:B55)</f>
        <v>0</v>
      </c>
      <c r="C56" s="339">
        <f>SUM(C41:C55)+'Capital Costs'!A5</f>
        <v>84741635.976721764</v>
      </c>
      <c r="D56" s="338"/>
    </row>
    <row r="57" spans="1:4" x14ac:dyDescent="0.35">
      <c r="C57" s="338"/>
      <c r="D57" s="338"/>
    </row>
    <row r="58" spans="1:4" x14ac:dyDescent="0.35">
      <c r="C58" s="338"/>
      <c r="D58" s="338"/>
    </row>
    <row r="59" spans="1:4" x14ac:dyDescent="0.35">
      <c r="C59" s="338"/>
      <c r="D59" s="338"/>
    </row>
    <row r="60" spans="1:4" x14ac:dyDescent="0.35">
      <c r="C60" s="338"/>
      <c r="D60" s="338"/>
    </row>
    <row r="61" spans="1:4" x14ac:dyDescent="0.35">
      <c r="C61" s="338"/>
      <c r="D61" s="338"/>
    </row>
    <row r="62" spans="1:4" x14ac:dyDescent="0.35">
      <c r="C62" s="338"/>
      <c r="D62" s="338"/>
    </row>
    <row r="63" spans="1:4" x14ac:dyDescent="0.35">
      <c r="D63" s="338"/>
    </row>
    <row r="65" spans="3:3" x14ac:dyDescent="0.35">
      <c r="C65" s="340"/>
    </row>
  </sheetData>
  <sheetProtection algorithmName="SHA-512" hashValue="1xGHGgW7pKmR4LKfUrea1tlCs4KGKUPhwfyoBabrEs4q9vlwiitOsfQeIFOV/sCW4WHubEen4gItSc3RvcVWtg==" saltValue="4DwLZ8q6A/rCXu3tp3n1OA==" spinCount="100000" sheet="1" objects="1" scenarios="1"/>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3C65A9-F167-4AD2-9655-B991CD7F5FAF}">
  <sheetPr codeName="Sheet21">
    <tabColor theme="4" tint="0.39997558519241921"/>
  </sheetPr>
  <dimension ref="A1:B8"/>
  <sheetViews>
    <sheetView workbookViewId="0">
      <selection activeCell="B8" sqref="B8"/>
    </sheetView>
  </sheetViews>
  <sheetFormatPr defaultColWidth="8.81640625" defaultRowHeight="14.5" x14ac:dyDescent="0.35"/>
  <cols>
    <col min="1" max="1" width="41.1796875" style="42" customWidth="1"/>
    <col min="2" max="2" width="31.453125" style="42" customWidth="1"/>
    <col min="3" max="16384" width="8.81640625" style="42"/>
  </cols>
  <sheetData>
    <row r="1" spans="1:2" ht="20" thickBot="1" x14ac:dyDescent="0.5">
      <c r="A1" s="316" t="s">
        <v>187</v>
      </c>
    </row>
    <row r="2" spans="1:2" ht="19" thickTop="1" x14ac:dyDescent="0.35">
      <c r="A2" s="341" t="s">
        <v>171</v>
      </c>
    </row>
    <row r="3" spans="1:2" x14ac:dyDescent="0.35">
      <c r="A3" s="318" t="s">
        <v>188</v>
      </c>
    </row>
    <row r="4" spans="1:2" x14ac:dyDescent="0.35">
      <c r="A4" s="342" t="s">
        <v>189</v>
      </c>
      <c r="B4" s="342" t="s">
        <v>190</v>
      </c>
    </row>
    <row r="5" spans="1:2" x14ac:dyDescent="0.35">
      <c r="A5" s="343" t="s">
        <v>162</v>
      </c>
      <c r="B5" s="344">
        <f>Summary!Q37</f>
        <v>306005778.72862959</v>
      </c>
    </row>
    <row r="6" spans="1:2" x14ac:dyDescent="0.35">
      <c r="A6" s="343" t="s">
        <v>163</v>
      </c>
      <c r="B6" s="344">
        <f>Summary!C56</f>
        <v>84741635.976721764</v>
      </c>
    </row>
    <row r="7" spans="1:2" x14ac:dyDescent="0.35">
      <c r="A7" s="343" t="s">
        <v>164</v>
      </c>
      <c r="B7" s="344">
        <f>B5-B6</f>
        <v>221264142.75190783</v>
      </c>
    </row>
    <row r="8" spans="1:2" x14ac:dyDescent="0.35">
      <c r="A8" s="343" t="s">
        <v>165</v>
      </c>
      <c r="B8" s="345">
        <f>IFERROR(B5/B6, "Enter Costs in 'Capital Cost' sheet")</f>
        <v>3.6110440305009961</v>
      </c>
    </row>
  </sheetData>
  <sheetProtection algorithmName="SHA-512" hashValue="pX7JRNaB0Ob7RYmdDDBTdKIfYlQeFbhgLBjf+b0cRJXUJkNT04IlQ4eArtzZXEtKeEUb6EHWhduhuGMWPanB3w==" saltValue="Zu6tuXmSffjwccpl1y+guA==" spinCount="100000" sheet="1" objects="1" scenarios="1"/>
  <conditionalFormatting sqref="A4:B4">
    <cfRule type="expression" dxfId="29" priority="1">
      <formula>ISNUMBER(SEARCH("_sns",A$4))</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A63748-3198-4B05-A9D5-FA3B170B0E24}">
  <sheetPr codeName="Sheet5">
    <tabColor theme="7" tint="0.59999389629810485"/>
  </sheetPr>
  <dimension ref="A1:AZ48"/>
  <sheetViews>
    <sheetView zoomScale="115" zoomScaleNormal="115" workbookViewId="0">
      <selection activeCell="P42" sqref="P42"/>
    </sheetView>
  </sheetViews>
  <sheetFormatPr defaultColWidth="9.1796875" defaultRowHeight="14.5" x14ac:dyDescent="0.35"/>
  <cols>
    <col min="1" max="1" width="28.81640625" style="42" customWidth="1"/>
    <col min="2" max="2" width="39.54296875" style="42" bestFit="1" customWidth="1"/>
    <col min="3" max="3" width="28" style="42" customWidth="1"/>
    <col min="4" max="4" width="9.1796875" style="42"/>
    <col min="5" max="5" width="73" style="42" customWidth="1"/>
    <col min="6" max="6" width="13.1796875" style="42" customWidth="1"/>
    <col min="7" max="7" width="11.1796875" style="42" customWidth="1"/>
    <col min="8" max="8" width="11.81640625" style="42" customWidth="1"/>
    <col min="9" max="9" width="13.453125" style="42" bestFit="1" customWidth="1"/>
    <col min="10" max="16384" width="9.1796875" style="42"/>
  </cols>
  <sheetData>
    <row r="1" spans="1:52" ht="19.5" x14ac:dyDescent="0.45">
      <c r="A1" s="360" t="s">
        <v>206</v>
      </c>
    </row>
    <row r="2" spans="1:52" x14ac:dyDescent="0.35">
      <c r="A2" s="361"/>
      <c r="B2" s="362"/>
      <c r="C2" s="362"/>
      <c r="D2" s="362"/>
      <c r="E2" s="362"/>
      <c r="F2" s="362"/>
      <c r="G2" s="362"/>
      <c r="H2" s="362"/>
      <c r="I2" s="362"/>
    </row>
    <row r="3" spans="1:52" x14ac:dyDescent="0.35">
      <c r="A3" s="363" t="s">
        <v>171</v>
      </c>
    </row>
    <row r="4" spans="1:52" x14ac:dyDescent="0.35">
      <c r="A4" s="364">
        <v>0</v>
      </c>
      <c r="B4" s="42" t="s">
        <v>207</v>
      </c>
    </row>
    <row r="5" spans="1:52" x14ac:dyDescent="0.35">
      <c r="A5" s="365">
        <f>F13</f>
        <v>84741635.976721764</v>
      </c>
      <c r="B5" s="42" t="s">
        <v>208</v>
      </c>
    </row>
    <row r="6" spans="1:52" x14ac:dyDescent="0.35">
      <c r="A6" s="340" t="s">
        <v>171</v>
      </c>
    </row>
    <row r="7" spans="1:52" ht="15" thickBot="1" x14ac:dyDescent="0.4">
      <c r="A7" s="318" t="s">
        <v>206</v>
      </c>
    </row>
    <row r="8" spans="1:52" x14ac:dyDescent="0.35">
      <c r="A8" s="366" t="s">
        <v>173</v>
      </c>
      <c r="B8" s="320" t="s">
        <v>209</v>
      </c>
      <c r="C8" s="334" t="s">
        <v>210</v>
      </c>
      <c r="E8" s="347" t="s">
        <v>211</v>
      </c>
      <c r="F8" s="348"/>
      <c r="G8" s="348"/>
      <c r="H8" s="348"/>
      <c r="I8" s="348"/>
      <c r="J8" s="348"/>
      <c r="K8" s="348"/>
      <c r="L8" s="348"/>
      <c r="M8" s="348"/>
      <c r="N8" s="348"/>
      <c r="O8" s="348"/>
      <c r="P8" s="348"/>
      <c r="Q8" s="348"/>
      <c r="R8" s="348"/>
      <c r="S8" s="348"/>
      <c r="T8" s="348"/>
      <c r="U8" s="348"/>
      <c r="V8" s="348"/>
      <c r="W8" s="348"/>
      <c r="X8" s="348"/>
      <c r="Y8" s="348"/>
      <c r="Z8" s="348"/>
      <c r="AA8" s="348"/>
      <c r="AB8" s="348"/>
      <c r="AC8" s="348"/>
      <c r="AD8" s="348"/>
      <c r="AE8" s="348"/>
      <c r="AF8" s="348"/>
      <c r="AG8" s="348"/>
      <c r="AH8" s="348"/>
      <c r="AI8" s="348"/>
      <c r="AJ8" s="348"/>
      <c r="AK8" s="348"/>
      <c r="AL8" s="348"/>
      <c r="AM8" s="348"/>
      <c r="AN8" s="348"/>
      <c r="AO8" s="348"/>
      <c r="AP8" s="348"/>
      <c r="AQ8" s="348"/>
      <c r="AR8" s="348"/>
      <c r="AS8" s="348"/>
      <c r="AT8" s="348"/>
      <c r="AU8" s="348"/>
      <c r="AV8" s="348"/>
      <c r="AW8" s="348"/>
      <c r="AX8" s="348"/>
      <c r="AY8" s="348"/>
      <c r="AZ8" s="349"/>
    </row>
    <row r="9" spans="1:52" x14ac:dyDescent="0.35">
      <c r="A9" s="367">
        <f>'Project Information'!B7</f>
        <v>2025</v>
      </c>
      <c r="B9" s="368">
        <v>0</v>
      </c>
      <c r="C9" s="325">
        <f>B9/(1+$A$4)^(A9-Overview!$B$22)</f>
        <v>0</v>
      </c>
      <c r="E9" s="369"/>
      <c r="F9" s="370"/>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s="353"/>
    </row>
    <row r="10" spans="1:52" x14ac:dyDescent="0.35">
      <c r="A10" s="326">
        <f>IF(A9&lt;$A$9+'Project Information'!$B$8-1,A9+1,"")</f>
        <v>2026</v>
      </c>
      <c r="B10" s="368">
        <v>0</v>
      </c>
      <c r="C10" s="325">
        <f>IFERROR(B10/(1+$A$4)^(A10-Overview!$B$22),0)</f>
        <v>0</v>
      </c>
      <c r="E10" s="371" t="s">
        <v>212</v>
      </c>
      <c r="F10" s="372">
        <f>Project_ID</f>
        <v>1057</v>
      </c>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s="353"/>
    </row>
    <row r="11" spans="1:52" x14ac:dyDescent="0.35">
      <c r="A11" s="326">
        <f>IF(A10&lt;$A$9+'Project Information'!$B$8-1,A10+1,"")</f>
        <v>2027</v>
      </c>
      <c r="B11" s="368">
        <v>0</v>
      </c>
      <c r="C11" s="325">
        <f>IFERROR(B11/(1+$A$4)^(A11-Overview!$B$22),0)</f>
        <v>0</v>
      </c>
      <c r="E11" s="373"/>
      <c r="F11" s="374"/>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s="353"/>
    </row>
    <row r="12" spans="1:52" x14ac:dyDescent="0.35">
      <c r="A12" s="326">
        <f>IF(A11&lt;$A$9+'Project Information'!$B$8-1,A11+1,"")</f>
        <v>2028</v>
      </c>
      <c r="B12" s="368">
        <v>0</v>
      </c>
      <c r="C12" s="325">
        <f>IFERROR(B12/(1+$A$4)^(A12-Overview!$B$22),0)</f>
        <v>0</v>
      </c>
      <c r="E12" s="371" t="s">
        <v>207</v>
      </c>
      <c r="F12" s="371">
        <v>0</v>
      </c>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s="353"/>
    </row>
    <row r="13" spans="1:52" x14ac:dyDescent="0.35">
      <c r="A13" s="326">
        <f>IF(A12&lt;$A$9+'Project Information'!$B$8-1,A12+1,"")</f>
        <v>2029</v>
      </c>
      <c r="B13" s="368">
        <v>0</v>
      </c>
      <c r="C13" s="325">
        <f>IFERROR(B13/(1+$A$4)^(A13-Overview!$B$22),0)</f>
        <v>0</v>
      </c>
      <c r="D13" s="375"/>
      <c r="E13" s="371" t="s">
        <v>208</v>
      </c>
      <c r="F13" s="376">
        <f>IF(ISBLANK(Project_ID), 0, _xlfn.XLOOKUP(Project_ID, Output!$A:$A, Output!$D:$D, 0, 0)) * 'Parameter Values'!$B$137</f>
        <v>84741635.976721764</v>
      </c>
      <c r="G13" t="s">
        <v>213</v>
      </c>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s="353"/>
    </row>
    <row r="14" spans="1:52" x14ac:dyDescent="0.35">
      <c r="A14" s="326" t="str">
        <f>IF(A13&lt;$A$9+'Project Information'!$B$8-1,A13+1,"")</f>
        <v/>
      </c>
      <c r="B14" s="368">
        <v>0</v>
      </c>
      <c r="C14" s="325">
        <f>IFERROR(B14/(1+$A$4)^(A14-Overview!$B$22),0)</f>
        <v>0</v>
      </c>
      <c r="D14" s="375"/>
      <c r="E14" s="352"/>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s="353"/>
    </row>
    <row r="15" spans="1:52" x14ac:dyDescent="0.35">
      <c r="A15" s="326" t="str">
        <f>IF(A14&lt;$A$9+'Project Information'!$B$8-1,A14+1,"")</f>
        <v/>
      </c>
      <c r="B15" s="368">
        <v>0</v>
      </c>
      <c r="C15" s="325">
        <f>IFERROR(B15/(1+$A$4)^(A15-Overview!$B$22),0)</f>
        <v>0</v>
      </c>
      <c r="D15" s="375"/>
      <c r="E15" s="352"/>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s="353"/>
    </row>
    <row r="16" spans="1:52" x14ac:dyDescent="0.35">
      <c r="A16" s="326" t="str">
        <f>IF(A15&lt;$A$9+'Project Information'!$B$8-1,A15+1,"")</f>
        <v/>
      </c>
      <c r="B16" s="377">
        <v>0</v>
      </c>
      <c r="C16" s="325">
        <f>IFERROR(B16/(1+$A$4)^(A16-Overview!$B$22),0)</f>
        <v>0</v>
      </c>
      <c r="E16" s="352"/>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s="353"/>
    </row>
    <row r="17" spans="1:52" x14ac:dyDescent="0.35">
      <c r="A17" s="326" t="str">
        <f>IF(A16&lt;$A$9+'Project Information'!$B$8-1,A16+1,"")</f>
        <v/>
      </c>
      <c r="B17" s="377">
        <v>0</v>
      </c>
      <c r="C17" s="325">
        <f>IFERROR(B17/(1+$A$4)^(A17-Overview!$B$22),0)</f>
        <v>0</v>
      </c>
      <c r="E17" s="352"/>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s="353"/>
    </row>
    <row r="18" spans="1:52" x14ac:dyDescent="0.35">
      <c r="A18" s="326" t="str">
        <f>IF(A17&lt;$A$9+'Project Information'!$B$8-1,A17+1,"")</f>
        <v/>
      </c>
      <c r="B18" s="377">
        <v>0</v>
      </c>
      <c r="C18" s="325">
        <f>IFERROR(B18/(1+$A$4)^(A18-Overview!$B$22),0)</f>
        <v>0</v>
      </c>
      <c r="E18" s="352"/>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s="353"/>
    </row>
    <row r="19" spans="1:52" x14ac:dyDescent="0.35">
      <c r="A19" s="326" t="str">
        <f>IF(A18&lt;$A$9+'Project Information'!$B$8-1,A18+1,"")</f>
        <v/>
      </c>
      <c r="B19" s="377">
        <v>0</v>
      </c>
      <c r="C19" s="325">
        <f>IFERROR(B19/(1+$A$4)^(A19-Overview!$B$22),0)</f>
        <v>0</v>
      </c>
      <c r="E19" s="352"/>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s="353"/>
    </row>
    <row r="20" spans="1:52" x14ac:dyDescent="0.35">
      <c r="A20" s="326" t="str">
        <f>IF(A19&lt;$A$9+'Project Information'!$B$8-1,A19+1,"")</f>
        <v/>
      </c>
      <c r="B20" s="377">
        <v>0</v>
      </c>
      <c r="C20" s="325">
        <f>IFERROR(B20/(1+$A$4)^(A20-Overview!$B$22),0)</f>
        <v>0</v>
      </c>
      <c r="E20" s="352"/>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s="353"/>
    </row>
    <row r="21" spans="1:52" x14ac:dyDescent="0.35">
      <c r="A21" s="326" t="str">
        <f>IF(A20&lt;$A$9+'Project Information'!$B$8-1,A20+1,"")</f>
        <v/>
      </c>
      <c r="B21" s="377">
        <v>0</v>
      </c>
      <c r="C21" s="325">
        <f>IFERROR(B21/(1+$A$4)^(A21-Overview!$B$22),0)</f>
        <v>0</v>
      </c>
      <c r="D21" s="375"/>
      <c r="E21" s="352"/>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s="353"/>
    </row>
    <row r="22" spans="1:52" x14ac:dyDescent="0.35">
      <c r="A22" s="326" t="str">
        <f>IF(A21&lt;$A$9+'Project Information'!$B$8-1,A21+1,"")</f>
        <v/>
      </c>
      <c r="B22" s="377">
        <v>0</v>
      </c>
      <c r="C22" s="325">
        <f>IFERROR(B22/(1+$A$4)^(A22-Overview!$B$22),0)</f>
        <v>0</v>
      </c>
      <c r="D22" s="375"/>
      <c r="E22" s="35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s="353"/>
    </row>
    <row r="23" spans="1:52" x14ac:dyDescent="0.35">
      <c r="A23" s="326" t="str">
        <f>IF(A22&lt;$A$9+'Project Information'!$B$8-1,A22+1,"")</f>
        <v/>
      </c>
      <c r="B23" s="377">
        <v>0</v>
      </c>
      <c r="C23" s="325">
        <f>IFERROR(B23/(1+$A$4)^(A23-Overview!$B$22),0)</f>
        <v>0</v>
      </c>
      <c r="D23" s="375"/>
      <c r="E23" s="352"/>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s="353"/>
    </row>
    <row r="24" spans="1:52" x14ac:dyDescent="0.35">
      <c r="A24" s="378"/>
      <c r="B24" s="379"/>
      <c r="C24" s="380"/>
      <c r="E24" s="352"/>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s="353"/>
    </row>
    <row r="25" spans="1:52" x14ac:dyDescent="0.35">
      <c r="B25" s="381"/>
      <c r="C25" s="340"/>
      <c r="E25" s="352"/>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s="353"/>
    </row>
    <row r="26" spans="1:52" x14ac:dyDescent="0.35">
      <c r="B26" s="381"/>
      <c r="C26" s="340"/>
      <c r="E26" s="352"/>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s="353"/>
    </row>
    <row r="27" spans="1:52" x14ac:dyDescent="0.35">
      <c r="B27" s="381"/>
      <c r="C27" s="340"/>
      <c r="E27" s="352"/>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s="353"/>
    </row>
    <row r="28" spans="1:52" x14ac:dyDescent="0.35">
      <c r="B28" s="381"/>
      <c r="C28" s="340"/>
      <c r="E28" s="352"/>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s="353"/>
    </row>
    <row r="29" spans="1:52" x14ac:dyDescent="0.35">
      <c r="B29" s="381"/>
      <c r="C29" s="340"/>
      <c r="E29" s="352"/>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s="353"/>
    </row>
    <row r="30" spans="1:52" x14ac:dyDescent="0.35">
      <c r="B30" s="381"/>
      <c r="C30" s="340"/>
      <c r="E30" s="352"/>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s="353"/>
    </row>
    <row r="31" spans="1:52" x14ac:dyDescent="0.35">
      <c r="B31" s="381"/>
      <c r="C31" s="340"/>
      <c r="E31" s="352"/>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s="353"/>
    </row>
    <row r="32" spans="1:52" x14ac:dyDescent="0.35">
      <c r="B32" s="381"/>
      <c r="C32" s="340"/>
      <c r="E32" s="35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s="353"/>
    </row>
    <row r="33" spans="2:52" x14ac:dyDescent="0.35">
      <c r="B33" s="381"/>
      <c r="C33" s="340"/>
      <c r="E33" s="352"/>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s="353"/>
    </row>
    <row r="34" spans="2:52" x14ac:dyDescent="0.35">
      <c r="B34" s="381"/>
      <c r="C34" s="340"/>
      <c r="E34" s="352"/>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s="353"/>
    </row>
    <row r="35" spans="2:52" x14ac:dyDescent="0.35">
      <c r="B35" s="381"/>
      <c r="C35" s="340"/>
      <c r="E35" s="352"/>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s="353"/>
    </row>
    <row r="36" spans="2:52" x14ac:dyDescent="0.35">
      <c r="B36" s="381"/>
      <c r="C36" s="340"/>
      <c r="E36" s="352"/>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s="353"/>
    </row>
    <row r="37" spans="2:52" x14ac:dyDescent="0.35">
      <c r="B37" s="381"/>
      <c r="C37" s="340"/>
      <c r="E37" s="352"/>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s="353"/>
    </row>
    <row r="38" spans="2:52" x14ac:dyDescent="0.35">
      <c r="B38" s="381"/>
      <c r="C38" s="340"/>
      <c r="E38" s="352"/>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s="353"/>
    </row>
    <row r="39" spans="2:52" x14ac:dyDescent="0.35">
      <c r="B39" s="381"/>
      <c r="C39" s="340"/>
      <c r="E39" s="352"/>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s="353"/>
    </row>
    <row r="40" spans="2:52" x14ac:dyDescent="0.35">
      <c r="B40" s="381"/>
      <c r="C40" s="340"/>
      <c r="E40" s="352"/>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s="353"/>
    </row>
    <row r="41" spans="2:52" x14ac:dyDescent="0.35">
      <c r="B41" s="381"/>
      <c r="C41" s="340"/>
      <c r="E41" s="352"/>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s="353"/>
    </row>
    <row r="42" spans="2:52" x14ac:dyDescent="0.35">
      <c r="B42" s="381"/>
      <c r="C42" s="340"/>
      <c r="E42" s="35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s="353"/>
    </row>
    <row r="43" spans="2:52" x14ac:dyDescent="0.35">
      <c r="B43" s="381"/>
      <c r="C43" s="340"/>
      <c r="E43" s="352"/>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s="353"/>
    </row>
    <row r="44" spans="2:52" x14ac:dyDescent="0.35">
      <c r="B44" s="381"/>
      <c r="C44" s="340"/>
      <c r="E44" s="352"/>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s="353"/>
    </row>
    <row r="45" spans="2:52" x14ac:dyDescent="0.35">
      <c r="B45" s="381"/>
      <c r="C45" s="340"/>
      <c r="E45" s="352"/>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s="353"/>
    </row>
    <row r="46" spans="2:52" x14ac:dyDescent="0.35">
      <c r="B46" s="381"/>
      <c r="C46" s="340"/>
      <c r="E46" s="352"/>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s="353"/>
    </row>
    <row r="47" spans="2:52" x14ac:dyDescent="0.35">
      <c r="B47" s="381"/>
      <c r="C47" s="340"/>
      <c r="E47" s="352"/>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s="353"/>
    </row>
    <row r="48" spans="2:52" ht="15" thickBot="1" x14ac:dyDescent="0.4">
      <c r="B48" s="381"/>
      <c r="C48" s="340"/>
      <c r="D48" s="356"/>
      <c r="E48" s="382"/>
      <c r="F48" s="382"/>
      <c r="G48" s="382"/>
      <c r="H48" s="382"/>
      <c r="I48" s="382"/>
      <c r="J48" s="382"/>
      <c r="K48" s="382"/>
      <c r="L48" s="382"/>
      <c r="M48" s="382"/>
      <c r="N48" s="382"/>
      <c r="O48" s="382"/>
      <c r="P48" s="382"/>
      <c r="Q48" s="382"/>
      <c r="R48" s="382"/>
      <c r="S48" s="382"/>
      <c r="T48" s="382"/>
      <c r="U48" s="382"/>
      <c r="V48" s="382"/>
      <c r="W48" s="382"/>
      <c r="X48" s="382"/>
      <c r="Y48" s="382"/>
      <c r="Z48" s="382"/>
      <c r="AA48" s="382"/>
      <c r="AB48" s="382"/>
      <c r="AC48" s="382"/>
      <c r="AD48" s="382"/>
      <c r="AE48" s="382"/>
      <c r="AF48" s="382"/>
      <c r="AG48" s="382"/>
      <c r="AH48" s="382"/>
      <c r="AI48" s="382"/>
      <c r="AJ48" s="382"/>
      <c r="AK48" s="382"/>
      <c r="AL48" s="382"/>
      <c r="AM48" s="382"/>
      <c r="AN48" s="382"/>
      <c r="AO48" s="382"/>
      <c r="AP48" s="382"/>
      <c r="AQ48" s="382"/>
      <c r="AR48" s="382"/>
      <c r="AS48" s="382"/>
      <c r="AT48" s="382"/>
      <c r="AU48" s="382"/>
      <c r="AV48" s="382"/>
      <c r="AW48" s="382"/>
      <c r="AX48" s="382"/>
      <c r="AY48" s="382"/>
      <c r="AZ48" s="383"/>
    </row>
  </sheetData>
  <sheetProtection algorithmName="SHA-512" hashValue="ovPuq0/KMhgaqLicq/nb9DVY+7j/Euw0uWtbmqNN21+Lj8F9QFBrY1mrSkqzI19DUXtMq6n9mWha9+mR6WHIMQ==" saltValue="jChGKDAdoSuYrTYUObluiw==" spinCount="100000" sheet="1" objects="1" scenarios="1"/>
  <conditionalFormatting sqref="B9:B23">
    <cfRule type="expression" dxfId="28" priority="1">
      <formula>A9=""</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3CC84E-75F3-45C3-843A-DE3438DF540D}">
  <sheetPr codeName="Sheet6">
    <tabColor theme="5" tint="0.59999389629810485"/>
  </sheetPr>
  <dimension ref="A1:BB97"/>
  <sheetViews>
    <sheetView zoomScaleNormal="100" workbookViewId="0">
      <selection activeCell="H93" sqref="H93"/>
    </sheetView>
  </sheetViews>
  <sheetFormatPr defaultColWidth="9.1796875" defaultRowHeight="14.5" x14ac:dyDescent="0.35"/>
  <cols>
    <col min="1" max="1" width="28.54296875" style="42" customWidth="1"/>
    <col min="2" max="2" width="42" style="42" customWidth="1"/>
    <col min="3" max="3" width="37.81640625" style="42" customWidth="1"/>
    <col min="4" max="4" width="46.54296875" style="42" customWidth="1"/>
    <col min="5" max="6" width="9.1796875" style="42"/>
    <col min="7" max="7" width="32.453125" style="42" customWidth="1"/>
    <col min="8" max="8" width="39.54296875" style="42" bestFit="1" customWidth="1"/>
    <col min="9" max="9" width="36.54296875" style="42" bestFit="1" customWidth="1"/>
    <col min="10" max="10" width="44.453125" style="42" bestFit="1" customWidth="1"/>
    <col min="11" max="11" width="9.1796875" style="42"/>
    <col min="12" max="12" width="32.81640625" style="42" customWidth="1"/>
    <col min="13" max="13" width="15.81640625" style="42" customWidth="1"/>
    <col min="14" max="16" width="9.1796875" style="42"/>
    <col min="17" max="17" width="33.1796875" style="42" customWidth="1"/>
    <col min="18" max="19" width="25.1796875" style="42" customWidth="1"/>
    <col min="20" max="21" width="9.1796875" style="42"/>
    <col min="22" max="22" width="32.54296875" style="42" customWidth="1"/>
    <col min="23" max="16384" width="9.1796875" style="42"/>
  </cols>
  <sheetData>
    <row r="1" spans="1:54" ht="20" thickBot="1" x14ac:dyDescent="0.5">
      <c r="A1" s="316" t="s">
        <v>214</v>
      </c>
    </row>
    <row r="2" spans="1:54" ht="15" thickTop="1" x14ac:dyDescent="0.35">
      <c r="A2" s="384"/>
      <c r="B2" s="385"/>
      <c r="C2" s="385"/>
      <c r="D2" s="385"/>
      <c r="E2" s="385"/>
      <c r="F2" s="386"/>
    </row>
    <row r="3" spans="1:54" x14ac:dyDescent="0.35">
      <c r="A3" s="386" t="s">
        <v>171</v>
      </c>
      <c r="B3" s="386"/>
      <c r="C3" s="386"/>
      <c r="D3" s="386"/>
      <c r="E3" s="386"/>
      <c r="F3" s="386"/>
    </row>
    <row r="4" spans="1:54" x14ac:dyDescent="0.35">
      <c r="A4" s="387"/>
      <c r="B4" s="388"/>
      <c r="C4" s="388"/>
      <c r="D4" s="388"/>
      <c r="E4" s="388"/>
      <c r="F4" s="388"/>
    </row>
    <row r="5" spans="1:54" x14ac:dyDescent="0.35">
      <c r="A5" s="42" t="s">
        <v>171</v>
      </c>
    </row>
    <row r="6" spans="1:54" ht="15" thickBot="1" x14ac:dyDescent="0.4">
      <c r="A6" s="318" t="s">
        <v>215</v>
      </c>
    </row>
    <row r="7" spans="1:54" x14ac:dyDescent="0.35">
      <c r="A7" s="321" t="s">
        <v>173</v>
      </c>
      <c r="B7" s="334" t="s">
        <v>216</v>
      </c>
      <c r="C7" s="334" t="s">
        <v>217</v>
      </c>
      <c r="D7" s="334" t="s">
        <v>218</v>
      </c>
      <c r="G7" s="347" t="s">
        <v>211</v>
      </c>
      <c r="H7" s="348"/>
      <c r="I7" s="348"/>
      <c r="J7" s="348"/>
      <c r="K7" s="348"/>
      <c r="L7" s="348"/>
      <c r="M7" s="348"/>
      <c r="N7" s="348"/>
      <c r="O7" s="348"/>
      <c r="P7" s="348"/>
      <c r="Q7" s="348"/>
      <c r="R7" s="348"/>
      <c r="S7" s="348"/>
      <c r="T7" s="348"/>
      <c r="U7" s="348"/>
      <c r="V7" s="348"/>
      <c r="W7" s="348"/>
      <c r="X7" s="348"/>
      <c r="Y7" s="348"/>
      <c r="Z7" s="348"/>
      <c r="AA7" s="348"/>
      <c r="AB7" s="348"/>
      <c r="AC7" s="348"/>
      <c r="AD7" s="348"/>
      <c r="AE7" s="348"/>
      <c r="AF7" s="348"/>
      <c r="AG7" s="348"/>
      <c r="AH7" s="348"/>
      <c r="AI7" s="348"/>
      <c r="AJ7" s="348"/>
      <c r="AK7" s="348"/>
      <c r="AL7" s="348"/>
      <c r="AM7" s="348"/>
      <c r="AN7" s="348"/>
      <c r="AO7" s="348"/>
      <c r="AP7" s="348"/>
      <c r="AQ7" s="348"/>
      <c r="AR7" s="348"/>
      <c r="AS7" s="348"/>
      <c r="AT7" s="348"/>
      <c r="AU7" s="348"/>
      <c r="AV7" s="348"/>
      <c r="AW7" s="348"/>
      <c r="AX7" s="348"/>
      <c r="AY7" s="348"/>
      <c r="AZ7" s="348"/>
      <c r="BA7" s="348"/>
      <c r="BB7" s="349"/>
    </row>
    <row r="8" spans="1:54" x14ac:dyDescent="0.35">
      <c r="A8" s="10">
        <f>'Project Information'!$B$9</f>
        <v>2030</v>
      </c>
      <c r="B8" s="368">
        <f t="shared" ref="B8:C37" si="0">IF($A8="", 0, H15)</f>
        <v>0</v>
      </c>
      <c r="C8" s="368">
        <f t="shared" si="0"/>
        <v>0</v>
      </c>
      <c r="D8" s="389">
        <f>C8-B8</f>
        <v>0</v>
      </c>
      <c r="G8" s="369"/>
      <c r="H8" s="370"/>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s="353"/>
    </row>
    <row r="9" spans="1:54" x14ac:dyDescent="0.35">
      <c r="A9" s="326">
        <f>IF(A8&lt;'Project Information'!$B$11,A8+1,"")</f>
        <v>2031</v>
      </c>
      <c r="B9" s="368">
        <f t="shared" si="0"/>
        <v>0</v>
      </c>
      <c r="C9" s="368">
        <f t="shared" si="0"/>
        <v>0</v>
      </c>
      <c r="D9" s="325">
        <f t="shared" ref="D9:D37" si="1">C9-B9</f>
        <v>0</v>
      </c>
      <c r="F9" s="356"/>
      <c r="G9" s="371" t="s">
        <v>212</v>
      </c>
      <c r="H9" s="372">
        <f>Project_ID</f>
        <v>1057</v>
      </c>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s="353"/>
    </row>
    <row r="10" spans="1:54" x14ac:dyDescent="0.35">
      <c r="A10" s="326">
        <f>IF(A9&lt;'Project Information'!$B$11,A9+1,"")</f>
        <v>2032</v>
      </c>
      <c r="B10" s="368">
        <f t="shared" si="0"/>
        <v>0</v>
      </c>
      <c r="C10" s="368">
        <f t="shared" si="0"/>
        <v>0</v>
      </c>
      <c r="D10" s="325">
        <f t="shared" si="1"/>
        <v>0</v>
      </c>
      <c r="F10" s="356"/>
      <c r="G10" s="390"/>
      <c r="H10" s="391"/>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s="353"/>
    </row>
    <row r="11" spans="1:54" x14ac:dyDescent="0.35">
      <c r="A11" s="326">
        <f>IF(A10&lt;'Project Information'!$B$11,A10+1,"")</f>
        <v>2033</v>
      </c>
      <c r="B11" s="368">
        <f t="shared" si="0"/>
        <v>0</v>
      </c>
      <c r="C11" s="368">
        <f t="shared" si="0"/>
        <v>0</v>
      </c>
      <c r="D11" s="325">
        <f t="shared" si="1"/>
        <v>0</v>
      </c>
      <c r="F11" s="356"/>
      <c r="G11" s="392" t="s">
        <v>219</v>
      </c>
      <c r="H11" s="372">
        <f>_xlfn.XLOOKUP(Project_ID, Output!$A:$A, Output!$L:$L)</f>
        <v>0</v>
      </c>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s="353"/>
    </row>
    <row r="12" spans="1:54" x14ac:dyDescent="0.35">
      <c r="A12" s="326">
        <f>IF(A11&lt;'Project Information'!$B$11,A11+1,"")</f>
        <v>2034</v>
      </c>
      <c r="B12" s="368">
        <f t="shared" si="0"/>
        <v>0</v>
      </c>
      <c r="C12" s="368">
        <f t="shared" si="0"/>
        <v>0</v>
      </c>
      <c r="D12" s="325">
        <f t="shared" si="1"/>
        <v>0</v>
      </c>
      <c r="F12" s="356"/>
      <c r="G12" s="371" t="s">
        <v>220</v>
      </c>
      <c r="H12" s="393">
        <f>_xlfn.XLOOKUP(Project_ID, Output!$A:$A, Output!$M:$M, 0,0)</f>
        <v>0</v>
      </c>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s="353"/>
    </row>
    <row r="13" spans="1:54" x14ac:dyDescent="0.35">
      <c r="A13" s="326">
        <f>IF(A12&lt;'Project Information'!$B$11,A12+1,"")</f>
        <v>2035</v>
      </c>
      <c r="B13" s="368">
        <f t="shared" si="0"/>
        <v>0</v>
      </c>
      <c r="C13" s="368">
        <f t="shared" si="0"/>
        <v>0</v>
      </c>
      <c r="D13" s="325">
        <f t="shared" si="1"/>
        <v>0</v>
      </c>
      <c r="F13" s="356"/>
      <c r="G13" s="352"/>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s="353"/>
    </row>
    <row r="14" spans="1:54" x14ac:dyDescent="0.35">
      <c r="A14" s="326">
        <f>IF(A13&lt;'Project Information'!$B$11,A13+1,"")</f>
        <v>2036</v>
      </c>
      <c r="B14" s="368">
        <f t="shared" si="0"/>
        <v>0</v>
      </c>
      <c r="C14" s="368">
        <f t="shared" si="0"/>
        <v>0</v>
      </c>
      <c r="D14" s="325">
        <f t="shared" si="1"/>
        <v>0</v>
      </c>
      <c r="F14" s="356"/>
      <c r="G14" s="334" t="s">
        <v>173</v>
      </c>
      <c r="H14" s="334" t="s">
        <v>216</v>
      </c>
      <c r="I14" s="334" t="s">
        <v>217</v>
      </c>
      <c r="J14" s="334" t="s">
        <v>218</v>
      </c>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s="353"/>
    </row>
    <row r="15" spans="1:54" x14ac:dyDescent="0.35">
      <c r="A15" s="326">
        <f>IF(A14&lt;'Project Information'!$B$11,A14+1,"")</f>
        <v>2037</v>
      </c>
      <c r="B15" s="368">
        <f t="shared" si="0"/>
        <v>0</v>
      </c>
      <c r="C15" s="368">
        <f t="shared" si="0"/>
        <v>0</v>
      </c>
      <c r="D15" s="325">
        <f t="shared" si="1"/>
        <v>0</v>
      </c>
      <c r="F15" s="356"/>
      <c r="G15" s="10">
        <f>'Project Information'!$B$9</f>
        <v>2030</v>
      </c>
      <c r="H15" s="368">
        <f>$H$11</f>
        <v>0</v>
      </c>
      <c r="I15" s="368">
        <f t="shared" ref="I15:I44" si="2">IF(G15="", 0, H$12)</f>
        <v>0</v>
      </c>
      <c r="J15" s="389">
        <f>I15-H15</f>
        <v>0</v>
      </c>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s="353"/>
    </row>
    <row r="16" spans="1:54" x14ac:dyDescent="0.35">
      <c r="A16" s="326">
        <f>IF(A15&lt;'Project Information'!$B$11,A15+1,"")</f>
        <v>2038</v>
      </c>
      <c r="B16" s="368">
        <f t="shared" si="0"/>
        <v>0</v>
      </c>
      <c r="C16" s="368">
        <f t="shared" si="0"/>
        <v>0</v>
      </c>
      <c r="D16" s="325">
        <f t="shared" si="1"/>
        <v>0</v>
      </c>
      <c r="F16" s="356"/>
      <c r="G16" s="326">
        <f>IF(G15&lt;'Project Information'!$B$11,G15+1,"")</f>
        <v>2031</v>
      </c>
      <c r="H16" s="368">
        <f t="shared" ref="H16:H44" si="3">$H$11</f>
        <v>0</v>
      </c>
      <c r="I16" s="368">
        <f t="shared" si="2"/>
        <v>0</v>
      </c>
      <c r="J16" s="325">
        <f t="shared" ref="J16:J44" si="4">I16-H16</f>
        <v>0</v>
      </c>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s="353"/>
    </row>
    <row r="17" spans="1:54" x14ac:dyDescent="0.35">
      <c r="A17" s="326">
        <f>IF(A16&lt;'Project Information'!$B$11,A16+1,"")</f>
        <v>2039</v>
      </c>
      <c r="B17" s="368">
        <f t="shared" si="0"/>
        <v>0</v>
      </c>
      <c r="C17" s="368">
        <f t="shared" si="0"/>
        <v>0</v>
      </c>
      <c r="D17" s="325">
        <f t="shared" si="1"/>
        <v>0</v>
      </c>
      <c r="F17" s="356"/>
      <c r="G17" s="326">
        <f>IF(G16&lt;'Project Information'!$B$11,G16+1,"")</f>
        <v>2032</v>
      </c>
      <c r="H17" s="368">
        <f t="shared" si="3"/>
        <v>0</v>
      </c>
      <c r="I17" s="368">
        <f t="shared" si="2"/>
        <v>0</v>
      </c>
      <c r="J17" s="325">
        <f t="shared" si="4"/>
        <v>0</v>
      </c>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s="353"/>
    </row>
    <row r="18" spans="1:54" x14ac:dyDescent="0.35">
      <c r="A18" s="326">
        <f>IF(A17&lt;'Project Information'!$B$11,A17+1,"")</f>
        <v>2040</v>
      </c>
      <c r="B18" s="368">
        <f t="shared" si="0"/>
        <v>0</v>
      </c>
      <c r="C18" s="368">
        <f t="shared" si="0"/>
        <v>0</v>
      </c>
      <c r="D18" s="325">
        <f t="shared" si="1"/>
        <v>0</v>
      </c>
      <c r="F18" s="356"/>
      <c r="G18" s="326">
        <f>IF(G17&lt;'Project Information'!$B$11,G17+1,"")</f>
        <v>2033</v>
      </c>
      <c r="H18" s="368">
        <f t="shared" si="3"/>
        <v>0</v>
      </c>
      <c r="I18" s="368">
        <f t="shared" si="2"/>
        <v>0</v>
      </c>
      <c r="J18" s="325">
        <f t="shared" si="4"/>
        <v>0</v>
      </c>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s="353"/>
    </row>
    <row r="19" spans="1:54" x14ac:dyDescent="0.35">
      <c r="A19" s="326">
        <f>IF(A18&lt;'Project Information'!$B$11,A18+1,"")</f>
        <v>2041</v>
      </c>
      <c r="B19" s="368">
        <f t="shared" si="0"/>
        <v>0</v>
      </c>
      <c r="C19" s="368">
        <f t="shared" si="0"/>
        <v>0</v>
      </c>
      <c r="D19" s="325">
        <f t="shared" si="1"/>
        <v>0</v>
      </c>
      <c r="F19" s="356"/>
      <c r="G19" s="326">
        <f>IF(G18&lt;'Project Information'!$B$11,G18+1,"")</f>
        <v>2034</v>
      </c>
      <c r="H19" s="368">
        <f t="shared" si="3"/>
        <v>0</v>
      </c>
      <c r="I19" s="368">
        <f t="shared" si="2"/>
        <v>0</v>
      </c>
      <c r="J19" s="325">
        <f t="shared" si="4"/>
        <v>0</v>
      </c>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s="353"/>
    </row>
    <row r="20" spans="1:54" x14ac:dyDescent="0.35">
      <c r="A20" s="326">
        <f>IF(A19&lt;'Project Information'!$B$11,A19+1,"")</f>
        <v>2042</v>
      </c>
      <c r="B20" s="368">
        <f t="shared" si="0"/>
        <v>0</v>
      </c>
      <c r="C20" s="368">
        <f t="shared" si="0"/>
        <v>0</v>
      </c>
      <c r="D20" s="325">
        <f t="shared" si="1"/>
        <v>0</v>
      </c>
      <c r="F20" s="356"/>
      <c r="G20" s="326">
        <f>IF(G19&lt;'Project Information'!$B$11,G19+1,"")</f>
        <v>2035</v>
      </c>
      <c r="H20" s="368">
        <f t="shared" si="3"/>
        <v>0</v>
      </c>
      <c r="I20" s="368">
        <f t="shared" si="2"/>
        <v>0</v>
      </c>
      <c r="J20" s="325">
        <f t="shared" si="4"/>
        <v>0</v>
      </c>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s="353"/>
    </row>
    <row r="21" spans="1:54" x14ac:dyDescent="0.35">
      <c r="A21" s="326">
        <f>IF(A20&lt;'Project Information'!$B$11,A20+1,"")</f>
        <v>2043</v>
      </c>
      <c r="B21" s="368">
        <f t="shared" si="0"/>
        <v>0</v>
      </c>
      <c r="C21" s="368">
        <f t="shared" si="0"/>
        <v>0</v>
      </c>
      <c r="D21" s="325">
        <f t="shared" si="1"/>
        <v>0</v>
      </c>
      <c r="F21" s="356"/>
      <c r="G21" s="326">
        <f>IF(G20&lt;'Project Information'!$B$11,G20+1,"")</f>
        <v>2036</v>
      </c>
      <c r="H21" s="368">
        <f t="shared" si="3"/>
        <v>0</v>
      </c>
      <c r="I21" s="368">
        <f t="shared" si="2"/>
        <v>0</v>
      </c>
      <c r="J21" s="325">
        <f t="shared" si="4"/>
        <v>0</v>
      </c>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s="353"/>
    </row>
    <row r="22" spans="1:54" x14ac:dyDescent="0.35">
      <c r="A22" s="326">
        <f>IF(A21&lt;'Project Information'!$B$11,A21+1,"")</f>
        <v>2044</v>
      </c>
      <c r="B22" s="368">
        <f t="shared" si="0"/>
        <v>0</v>
      </c>
      <c r="C22" s="368">
        <f t="shared" si="0"/>
        <v>0</v>
      </c>
      <c r="D22" s="325">
        <f t="shared" si="1"/>
        <v>0</v>
      </c>
      <c r="F22" s="356"/>
      <c r="G22" s="326">
        <f>IF(G21&lt;'Project Information'!$B$11,G21+1,"")</f>
        <v>2037</v>
      </c>
      <c r="H22" s="368">
        <f t="shared" si="3"/>
        <v>0</v>
      </c>
      <c r="I22" s="368">
        <f t="shared" si="2"/>
        <v>0</v>
      </c>
      <c r="J22" s="325">
        <f t="shared" si="4"/>
        <v>0</v>
      </c>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s="353"/>
    </row>
    <row r="23" spans="1:54" x14ac:dyDescent="0.35">
      <c r="A23" s="326">
        <f>IF(A22&lt;'Project Information'!$B$11,A22+1,"")</f>
        <v>2045</v>
      </c>
      <c r="B23" s="368">
        <f t="shared" si="0"/>
        <v>0</v>
      </c>
      <c r="C23" s="368">
        <f t="shared" si="0"/>
        <v>0</v>
      </c>
      <c r="D23" s="325">
        <f t="shared" si="1"/>
        <v>0</v>
      </c>
      <c r="F23" s="356"/>
      <c r="G23" s="326">
        <f>IF(G22&lt;'Project Information'!$B$11,G22+1,"")</f>
        <v>2038</v>
      </c>
      <c r="H23" s="368">
        <f t="shared" si="3"/>
        <v>0</v>
      </c>
      <c r="I23" s="368">
        <f t="shared" si="2"/>
        <v>0</v>
      </c>
      <c r="J23" s="325">
        <f t="shared" si="4"/>
        <v>0</v>
      </c>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s="353"/>
    </row>
    <row r="24" spans="1:54" x14ac:dyDescent="0.35">
      <c r="A24" s="326">
        <f>IF(A23&lt;'Project Information'!$B$11,A23+1,"")</f>
        <v>2046</v>
      </c>
      <c r="B24" s="368">
        <f t="shared" si="0"/>
        <v>0</v>
      </c>
      <c r="C24" s="368">
        <f t="shared" si="0"/>
        <v>0</v>
      </c>
      <c r="D24" s="325">
        <f t="shared" si="1"/>
        <v>0</v>
      </c>
      <c r="F24" s="356"/>
      <c r="G24" s="326">
        <f>IF(G23&lt;'Project Information'!$B$11,G23+1,"")</f>
        <v>2039</v>
      </c>
      <c r="H24" s="368">
        <f t="shared" si="3"/>
        <v>0</v>
      </c>
      <c r="I24" s="368">
        <f t="shared" si="2"/>
        <v>0</v>
      </c>
      <c r="J24" s="325">
        <f t="shared" si="4"/>
        <v>0</v>
      </c>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s="353"/>
    </row>
    <row r="25" spans="1:54" x14ac:dyDescent="0.35">
      <c r="A25" s="326">
        <f>IF(A24&lt;'Project Information'!$B$11,A24+1,"")</f>
        <v>2047</v>
      </c>
      <c r="B25" s="368">
        <f t="shared" si="0"/>
        <v>0</v>
      </c>
      <c r="C25" s="368">
        <f t="shared" si="0"/>
        <v>0</v>
      </c>
      <c r="D25" s="325">
        <f t="shared" si="1"/>
        <v>0</v>
      </c>
      <c r="F25" s="356"/>
      <c r="G25" s="326">
        <f>IF(G24&lt;'Project Information'!$B$11,G24+1,"")</f>
        <v>2040</v>
      </c>
      <c r="H25" s="368">
        <f t="shared" si="3"/>
        <v>0</v>
      </c>
      <c r="I25" s="368">
        <f t="shared" si="2"/>
        <v>0</v>
      </c>
      <c r="J25" s="325">
        <f t="shared" si="4"/>
        <v>0</v>
      </c>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s="353"/>
    </row>
    <row r="26" spans="1:54" x14ac:dyDescent="0.35">
      <c r="A26" s="326">
        <f>IF(A25&lt;'Project Information'!$B$11,A25+1,"")</f>
        <v>2048</v>
      </c>
      <c r="B26" s="368">
        <f t="shared" si="0"/>
        <v>0</v>
      </c>
      <c r="C26" s="368">
        <f t="shared" si="0"/>
        <v>0</v>
      </c>
      <c r="D26" s="325">
        <f t="shared" si="1"/>
        <v>0</v>
      </c>
      <c r="F26" s="356"/>
      <c r="G26" s="326">
        <f>IF(G25&lt;'Project Information'!$B$11,G25+1,"")</f>
        <v>2041</v>
      </c>
      <c r="H26" s="368">
        <f t="shared" si="3"/>
        <v>0</v>
      </c>
      <c r="I26" s="368">
        <f t="shared" si="2"/>
        <v>0</v>
      </c>
      <c r="J26" s="325">
        <f t="shared" si="4"/>
        <v>0</v>
      </c>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s="353"/>
    </row>
    <row r="27" spans="1:54" x14ac:dyDescent="0.35">
      <c r="A27" s="326">
        <f>IF(A26&lt;'Project Information'!$B$11,A26+1,"")</f>
        <v>2049</v>
      </c>
      <c r="B27" s="368">
        <f t="shared" si="0"/>
        <v>0</v>
      </c>
      <c r="C27" s="368">
        <f t="shared" si="0"/>
        <v>0</v>
      </c>
      <c r="D27" s="325">
        <f t="shared" si="1"/>
        <v>0</v>
      </c>
      <c r="F27" s="356"/>
      <c r="G27" s="326">
        <f>IF(G26&lt;'Project Information'!$B$11,G26+1,"")</f>
        <v>2042</v>
      </c>
      <c r="H27" s="368">
        <f t="shared" si="3"/>
        <v>0</v>
      </c>
      <c r="I27" s="368">
        <f t="shared" si="2"/>
        <v>0</v>
      </c>
      <c r="J27" s="325">
        <f t="shared" si="4"/>
        <v>0</v>
      </c>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s="353"/>
    </row>
    <row r="28" spans="1:54" x14ac:dyDescent="0.35">
      <c r="A28" s="326">
        <f>IF(A27&lt;'Project Information'!$B$11,A27+1,"")</f>
        <v>2050</v>
      </c>
      <c r="B28" s="368">
        <f t="shared" si="0"/>
        <v>0</v>
      </c>
      <c r="C28" s="368">
        <f t="shared" si="0"/>
        <v>0</v>
      </c>
      <c r="D28" s="325">
        <f t="shared" si="1"/>
        <v>0</v>
      </c>
      <c r="F28" s="356"/>
      <c r="G28" s="326">
        <f>IF(G27&lt;'Project Information'!$B$11,G27+1,"")</f>
        <v>2043</v>
      </c>
      <c r="H28" s="368">
        <f t="shared" si="3"/>
        <v>0</v>
      </c>
      <c r="I28" s="368">
        <f t="shared" si="2"/>
        <v>0</v>
      </c>
      <c r="J28" s="325">
        <f t="shared" si="4"/>
        <v>0</v>
      </c>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s="353"/>
    </row>
    <row r="29" spans="1:54" x14ac:dyDescent="0.35">
      <c r="A29" s="326">
        <f>IF(A28&lt;'Project Information'!$B$11,A28+1,"")</f>
        <v>2051</v>
      </c>
      <c r="B29" s="368">
        <f t="shared" si="0"/>
        <v>0</v>
      </c>
      <c r="C29" s="368">
        <f t="shared" si="0"/>
        <v>0</v>
      </c>
      <c r="D29" s="325">
        <f t="shared" si="1"/>
        <v>0</v>
      </c>
      <c r="F29" s="356"/>
      <c r="G29" s="326">
        <f>IF(G28&lt;'Project Information'!$B$11,G28+1,"")</f>
        <v>2044</v>
      </c>
      <c r="H29" s="368">
        <f t="shared" si="3"/>
        <v>0</v>
      </c>
      <c r="I29" s="368">
        <f t="shared" si="2"/>
        <v>0</v>
      </c>
      <c r="J29" s="325">
        <f t="shared" si="4"/>
        <v>0</v>
      </c>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s="353"/>
    </row>
    <row r="30" spans="1:54" x14ac:dyDescent="0.35">
      <c r="A30" s="326">
        <f>IF(A29&lt;'Project Information'!$B$11,A29+1,"")</f>
        <v>2052</v>
      </c>
      <c r="B30" s="368">
        <f t="shared" si="0"/>
        <v>0</v>
      </c>
      <c r="C30" s="368">
        <f t="shared" si="0"/>
        <v>0</v>
      </c>
      <c r="D30" s="325">
        <f t="shared" si="1"/>
        <v>0</v>
      </c>
      <c r="F30" s="356"/>
      <c r="G30" s="326">
        <f>IF(G29&lt;'Project Information'!$B$11,G29+1,"")</f>
        <v>2045</v>
      </c>
      <c r="H30" s="368">
        <f t="shared" si="3"/>
        <v>0</v>
      </c>
      <c r="I30" s="368">
        <f t="shared" si="2"/>
        <v>0</v>
      </c>
      <c r="J30" s="325">
        <f t="shared" si="4"/>
        <v>0</v>
      </c>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s="353"/>
    </row>
    <row r="31" spans="1:54" x14ac:dyDescent="0.35">
      <c r="A31" s="326">
        <f>IF(A30&lt;'Project Information'!$B$11,A30+1,"")</f>
        <v>2053</v>
      </c>
      <c r="B31" s="368">
        <f t="shared" si="0"/>
        <v>0</v>
      </c>
      <c r="C31" s="368">
        <f t="shared" si="0"/>
        <v>0</v>
      </c>
      <c r="D31" s="325">
        <f t="shared" si="1"/>
        <v>0</v>
      </c>
      <c r="F31" s="356"/>
      <c r="G31" s="326">
        <f>IF(G30&lt;'Project Information'!$B$11,G30+1,"")</f>
        <v>2046</v>
      </c>
      <c r="H31" s="368">
        <f t="shared" si="3"/>
        <v>0</v>
      </c>
      <c r="I31" s="368">
        <f t="shared" si="2"/>
        <v>0</v>
      </c>
      <c r="J31" s="325">
        <f t="shared" si="4"/>
        <v>0</v>
      </c>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s="353"/>
    </row>
    <row r="32" spans="1:54" x14ac:dyDescent="0.35">
      <c r="A32" s="326">
        <f>IF(A31&lt;'Project Information'!$B$11,A31+1,"")</f>
        <v>2054</v>
      </c>
      <c r="B32" s="368">
        <f t="shared" si="0"/>
        <v>0</v>
      </c>
      <c r="C32" s="368">
        <f t="shared" si="0"/>
        <v>0</v>
      </c>
      <c r="D32" s="325">
        <f t="shared" si="1"/>
        <v>0</v>
      </c>
      <c r="F32" s="356"/>
      <c r="G32" s="326">
        <f>IF(G31&lt;'Project Information'!$B$11,G31+1,"")</f>
        <v>2047</v>
      </c>
      <c r="H32" s="368">
        <f t="shared" si="3"/>
        <v>0</v>
      </c>
      <c r="I32" s="368">
        <f t="shared" si="2"/>
        <v>0</v>
      </c>
      <c r="J32" s="325">
        <f t="shared" si="4"/>
        <v>0</v>
      </c>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s="353"/>
    </row>
    <row r="33" spans="1:54" x14ac:dyDescent="0.35">
      <c r="A33" s="326" t="str">
        <f>IF(A32&lt;'Project Information'!$B$11,A32+1,"")</f>
        <v/>
      </c>
      <c r="B33" s="368">
        <f t="shared" si="0"/>
        <v>0</v>
      </c>
      <c r="C33" s="368">
        <f t="shared" si="0"/>
        <v>0</v>
      </c>
      <c r="D33" s="325">
        <f t="shared" si="1"/>
        <v>0</v>
      </c>
      <c r="F33" s="356"/>
      <c r="G33" s="326">
        <f>IF(G32&lt;'Project Information'!$B$11,G32+1,"")</f>
        <v>2048</v>
      </c>
      <c r="H33" s="368">
        <f t="shared" si="3"/>
        <v>0</v>
      </c>
      <c r="I33" s="368">
        <f t="shared" si="2"/>
        <v>0</v>
      </c>
      <c r="J33" s="325">
        <f t="shared" si="4"/>
        <v>0</v>
      </c>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s="353"/>
    </row>
    <row r="34" spans="1:54" x14ac:dyDescent="0.35">
      <c r="A34" s="326" t="str">
        <f>IF(A33&lt;'Project Information'!$B$11,A33+1,"")</f>
        <v/>
      </c>
      <c r="B34" s="368">
        <f t="shared" si="0"/>
        <v>0</v>
      </c>
      <c r="C34" s="368">
        <f t="shared" si="0"/>
        <v>0</v>
      </c>
      <c r="D34" s="325">
        <f t="shared" si="1"/>
        <v>0</v>
      </c>
      <c r="F34" s="356"/>
      <c r="G34" s="326">
        <f>IF(G33&lt;'Project Information'!$B$11,G33+1,"")</f>
        <v>2049</v>
      </c>
      <c r="H34" s="368">
        <f t="shared" si="3"/>
        <v>0</v>
      </c>
      <c r="I34" s="368">
        <f t="shared" si="2"/>
        <v>0</v>
      </c>
      <c r="J34" s="325">
        <f t="shared" si="4"/>
        <v>0</v>
      </c>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s="353"/>
    </row>
    <row r="35" spans="1:54" x14ac:dyDescent="0.35">
      <c r="A35" s="326" t="str">
        <f>IF(A34&lt;'Project Information'!$B$11,A34+1,"")</f>
        <v/>
      </c>
      <c r="B35" s="368">
        <f t="shared" si="0"/>
        <v>0</v>
      </c>
      <c r="C35" s="368">
        <f t="shared" si="0"/>
        <v>0</v>
      </c>
      <c r="D35" s="325">
        <f t="shared" si="1"/>
        <v>0</v>
      </c>
      <c r="F35" s="356"/>
      <c r="G35" s="326">
        <f>IF(G34&lt;'Project Information'!$B$11,G34+1,"")</f>
        <v>2050</v>
      </c>
      <c r="H35" s="368">
        <f t="shared" si="3"/>
        <v>0</v>
      </c>
      <c r="I35" s="368">
        <f t="shared" si="2"/>
        <v>0</v>
      </c>
      <c r="J35" s="325">
        <f t="shared" si="4"/>
        <v>0</v>
      </c>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s="353"/>
    </row>
    <row r="36" spans="1:54" x14ac:dyDescent="0.35">
      <c r="A36" s="326" t="str">
        <f>IF(A35&lt;'Project Information'!$B$11,A35+1,"")</f>
        <v/>
      </c>
      <c r="B36" s="368">
        <f t="shared" si="0"/>
        <v>0</v>
      </c>
      <c r="C36" s="368">
        <f t="shared" si="0"/>
        <v>0</v>
      </c>
      <c r="D36" s="325">
        <f t="shared" si="1"/>
        <v>0</v>
      </c>
      <c r="F36" s="356"/>
      <c r="G36" s="326">
        <f>IF(G35&lt;'Project Information'!$B$11,G35+1,"")</f>
        <v>2051</v>
      </c>
      <c r="H36" s="368">
        <f t="shared" si="3"/>
        <v>0</v>
      </c>
      <c r="I36" s="368">
        <f t="shared" si="2"/>
        <v>0</v>
      </c>
      <c r="J36" s="325">
        <f t="shared" si="4"/>
        <v>0</v>
      </c>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s="353"/>
    </row>
    <row r="37" spans="1:54" x14ac:dyDescent="0.35">
      <c r="A37" s="394" t="str">
        <f>IF(A36&lt;'Project Information'!$B$11,A36+1,"")</f>
        <v/>
      </c>
      <c r="B37" s="395">
        <f t="shared" si="0"/>
        <v>0</v>
      </c>
      <c r="C37" s="395">
        <f t="shared" si="0"/>
        <v>0</v>
      </c>
      <c r="D37" s="396">
        <f t="shared" si="1"/>
        <v>0</v>
      </c>
      <c r="F37" s="356"/>
      <c r="G37" s="326">
        <f>IF(G36&lt;'Project Information'!$B$11,G36+1,"")</f>
        <v>2052</v>
      </c>
      <c r="H37" s="368">
        <f t="shared" si="3"/>
        <v>0</v>
      </c>
      <c r="I37" s="368">
        <f t="shared" si="2"/>
        <v>0</v>
      </c>
      <c r="J37" s="325">
        <f t="shared" si="4"/>
        <v>0</v>
      </c>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s="353"/>
    </row>
    <row r="38" spans="1:54" x14ac:dyDescent="0.35">
      <c r="A38" s="397" t="s">
        <v>221</v>
      </c>
      <c r="B38" s="398"/>
      <c r="C38" s="398"/>
      <c r="D38" s="399">
        <f>SUM(D8:D37)</f>
        <v>0</v>
      </c>
      <c r="F38" s="356"/>
      <c r="G38" s="326">
        <f>IF(G37&lt;'Project Information'!$B$11,G37+1,"")</f>
        <v>2053</v>
      </c>
      <c r="H38" s="368">
        <f t="shared" si="3"/>
        <v>0</v>
      </c>
      <c r="I38" s="368">
        <f t="shared" si="2"/>
        <v>0</v>
      </c>
      <c r="J38" s="325">
        <f t="shared" si="4"/>
        <v>0</v>
      </c>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s="353"/>
    </row>
    <row r="39" spans="1:54" x14ac:dyDescent="0.35">
      <c r="A39" s="400" t="s">
        <v>222</v>
      </c>
      <c r="B39" s="401"/>
      <c r="C39" s="401"/>
      <c r="D39" s="402">
        <f>NPV(0.031, D8:D37)/(1.031 ^ (Opening_Year - Base_Year - 1))</f>
        <v>0</v>
      </c>
      <c r="F39" s="356"/>
      <c r="G39" s="326">
        <f>IF(G38&lt;'Project Information'!$B$11,G38+1,"")</f>
        <v>2054</v>
      </c>
      <c r="H39" s="368">
        <f t="shared" si="3"/>
        <v>0</v>
      </c>
      <c r="I39" s="368">
        <f t="shared" si="2"/>
        <v>0</v>
      </c>
      <c r="J39" s="325">
        <f t="shared" si="4"/>
        <v>0</v>
      </c>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s="353"/>
    </row>
    <row r="40" spans="1:54" x14ac:dyDescent="0.35">
      <c r="B40" s="381"/>
      <c r="C40" s="381"/>
      <c r="D40" s="340"/>
      <c r="F40" s="356"/>
      <c r="G40" s="326" t="str">
        <f>IF(G39&lt;'Project Information'!$B$11,G39+1,"")</f>
        <v/>
      </c>
      <c r="H40" s="368">
        <f t="shared" si="3"/>
        <v>0</v>
      </c>
      <c r="I40" s="368">
        <f t="shared" si="2"/>
        <v>0</v>
      </c>
      <c r="J40" s="325">
        <f t="shared" si="4"/>
        <v>0</v>
      </c>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s="353"/>
    </row>
    <row r="41" spans="1:54" x14ac:dyDescent="0.35">
      <c r="B41" s="381"/>
      <c r="C41" s="381"/>
      <c r="D41" s="340"/>
      <c r="F41" s="356"/>
      <c r="G41" s="326" t="str">
        <f>IF(G40&lt;'Project Information'!$B$11,G40+1,"")</f>
        <v/>
      </c>
      <c r="H41" s="368">
        <f t="shared" si="3"/>
        <v>0</v>
      </c>
      <c r="I41" s="368">
        <f t="shared" si="2"/>
        <v>0</v>
      </c>
      <c r="J41" s="325">
        <f t="shared" si="4"/>
        <v>0</v>
      </c>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s="353"/>
    </row>
    <row r="42" spans="1:54" x14ac:dyDescent="0.35">
      <c r="B42" s="381"/>
      <c r="C42" s="381"/>
      <c r="D42" s="340"/>
      <c r="F42" s="356"/>
      <c r="G42" s="326" t="str">
        <f>IF(G41&lt;'Project Information'!$B$11,G41+1,"")</f>
        <v/>
      </c>
      <c r="H42" s="368">
        <f t="shared" si="3"/>
        <v>0</v>
      </c>
      <c r="I42" s="368">
        <f t="shared" si="2"/>
        <v>0</v>
      </c>
      <c r="J42" s="325">
        <f t="shared" si="4"/>
        <v>0</v>
      </c>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s="353"/>
    </row>
    <row r="43" spans="1:54" x14ac:dyDescent="0.35">
      <c r="B43" s="381"/>
      <c r="C43" s="381"/>
      <c r="D43" s="340"/>
      <c r="F43" s="356"/>
      <c r="G43" s="326" t="str">
        <f>IF(G42&lt;'Project Information'!$B$11,G42+1,"")</f>
        <v/>
      </c>
      <c r="H43" s="368">
        <f t="shared" si="3"/>
        <v>0</v>
      </c>
      <c r="I43" s="368">
        <f t="shared" si="2"/>
        <v>0</v>
      </c>
      <c r="J43" s="325">
        <f t="shared" si="4"/>
        <v>0</v>
      </c>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s="353"/>
    </row>
    <row r="44" spans="1:54" x14ac:dyDescent="0.35">
      <c r="B44" s="381"/>
      <c r="C44" s="381"/>
      <c r="D44" s="340"/>
      <c r="F44" s="356"/>
      <c r="G44" s="394" t="str">
        <f>IF(G43&lt;'Project Information'!$B$11,G43+1,"")</f>
        <v/>
      </c>
      <c r="H44" s="395">
        <f t="shared" si="3"/>
        <v>0</v>
      </c>
      <c r="I44" s="395">
        <f t="shared" si="2"/>
        <v>0</v>
      </c>
      <c r="J44" s="396">
        <f t="shared" si="4"/>
        <v>0</v>
      </c>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s="353"/>
    </row>
    <row r="45" spans="1:54" x14ac:dyDescent="0.35">
      <c r="B45" s="381"/>
      <c r="C45" s="381"/>
      <c r="D45" s="340"/>
      <c r="F45" s="356"/>
      <c r="G45" s="400" t="s">
        <v>221</v>
      </c>
      <c r="H45" s="401"/>
      <c r="I45" s="401"/>
      <c r="J45" s="399">
        <f>SUM(J15:J44)</f>
        <v>0</v>
      </c>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s="353"/>
    </row>
    <row r="46" spans="1:54" x14ac:dyDescent="0.35">
      <c r="B46" s="381"/>
      <c r="C46" s="381"/>
      <c r="D46" s="340"/>
      <c r="F46" s="356"/>
      <c r="G46" s="397" t="s">
        <v>222</v>
      </c>
      <c r="H46" s="401"/>
      <c r="I46" s="401"/>
      <c r="J46" s="399">
        <f>NPV(0.031, J15:J44)/(1.031 ^ (Opening_Year - Base_Year - 1))</f>
        <v>0</v>
      </c>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s="353"/>
    </row>
    <row r="47" spans="1:54" x14ac:dyDescent="0.35">
      <c r="B47" s="381"/>
      <c r="C47" s="381"/>
      <c r="D47" s="340"/>
      <c r="G47" s="352"/>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s="353"/>
    </row>
    <row r="48" spans="1:54" x14ac:dyDescent="0.35">
      <c r="G48" s="352"/>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s="353"/>
    </row>
    <row r="49" spans="7:54" x14ac:dyDescent="0.35">
      <c r="G49" s="352"/>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s="353"/>
    </row>
    <row r="50" spans="7:54" x14ac:dyDescent="0.35">
      <c r="G50" s="352"/>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s="353"/>
    </row>
    <row r="51" spans="7:54" x14ac:dyDescent="0.35">
      <c r="G51" s="352"/>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s="353"/>
    </row>
    <row r="52" spans="7:54" x14ac:dyDescent="0.35">
      <c r="G52" s="3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s="353"/>
    </row>
    <row r="53" spans="7:54" x14ac:dyDescent="0.35">
      <c r="G53" s="352"/>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s="353"/>
    </row>
    <row r="54" spans="7:54" x14ac:dyDescent="0.35">
      <c r="G54" s="352"/>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s="353"/>
    </row>
    <row r="55" spans="7:54" x14ac:dyDescent="0.35">
      <c r="G55" s="352"/>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s="353"/>
    </row>
    <row r="56" spans="7:54" x14ac:dyDescent="0.35">
      <c r="G56" s="352"/>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s="353"/>
    </row>
    <row r="57" spans="7:54" x14ac:dyDescent="0.35">
      <c r="G57" s="352"/>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s="353"/>
    </row>
    <row r="58" spans="7:54" x14ac:dyDescent="0.35">
      <c r="G58" s="352"/>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s="353"/>
    </row>
    <row r="59" spans="7:54" x14ac:dyDescent="0.35">
      <c r="G59" s="352"/>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s="353"/>
    </row>
    <row r="60" spans="7:54" x14ac:dyDescent="0.35">
      <c r="G60" s="352"/>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s="353"/>
    </row>
    <row r="61" spans="7:54" x14ac:dyDescent="0.35">
      <c r="G61" s="352"/>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s="353"/>
    </row>
    <row r="62" spans="7:54" x14ac:dyDescent="0.35">
      <c r="G62" s="35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s="353"/>
    </row>
    <row r="63" spans="7:54" x14ac:dyDescent="0.35">
      <c r="G63" s="352"/>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s="353"/>
    </row>
    <row r="64" spans="7:54" x14ac:dyDescent="0.35">
      <c r="G64" s="352"/>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s="353"/>
    </row>
    <row r="65" spans="7:54" x14ac:dyDescent="0.35">
      <c r="G65" s="352"/>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s="353"/>
    </row>
    <row r="66" spans="7:54" x14ac:dyDescent="0.35">
      <c r="G66" s="352"/>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s="353"/>
    </row>
    <row r="67" spans="7:54" x14ac:dyDescent="0.35">
      <c r="G67" s="352"/>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s="353"/>
    </row>
    <row r="68" spans="7:54" x14ac:dyDescent="0.35">
      <c r="G68" s="352"/>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s="353"/>
    </row>
    <row r="69" spans="7:54" x14ac:dyDescent="0.35">
      <c r="G69" s="352"/>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s="353"/>
    </row>
    <row r="70" spans="7:54" x14ac:dyDescent="0.35">
      <c r="G70" s="352"/>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s="353"/>
    </row>
    <row r="71" spans="7:54" x14ac:dyDescent="0.35">
      <c r="G71" s="352"/>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s="353"/>
    </row>
    <row r="72" spans="7:54" x14ac:dyDescent="0.35">
      <c r="G72" s="35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s="353"/>
    </row>
    <row r="73" spans="7:54" x14ac:dyDescent="0.35">
      <c r="G73" s="352"/>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s="353"/>
    </row>
    <row r="74" spans="7:54" x14ac:dyDescent="0.35">
      <c r="G74" s="352"/>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s="353"/>
    </row>
    <row r="75" spans="7:54" x14ac:dyDescent="0.35">
      <c r="G75" s="352"/>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s="353"/>
    </row>
    <row r="76" spans="7:54" x14ac:dyDescent="0.35">
      <c r="G76" s="352"/>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s="353"/>
    </row>
    <row r="77" spans="7:54" x14ac:dyDescent="0.35">
      <c r="G77" s="352"/>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s="353"/>
    </row>
    <row r="78" spans="7:54" x14ac:dyDescent="0.35">
      <c r="G78" s="352"/>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s="353"/>
    </row>
    <row r="79" spans="7:54" x14ac:dyDescent="0.35">
      <c r="G79" s="352"/>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s="353"/>
    </row>
    <row r="80" spans="7:54" x14ac:dyDescent="0.35">
      <c r="G80" s="352"/>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s="353"/>
    </row>
    <row r="81" spans="6:54" x14ac:dyDescent="0.35">
      <c r="G81" s="352"/>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s="353"/>
    </row>
    <row r="82" spans="6:54" x14ac:dyDescent="0.35">
      <c r="G82" s="35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s="353"/>
    </row>
    <row r="83" spans="6:54" x14ac:dyDescent="0.35">
      <c r="G83" s="352"/>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s="353"/>
    </row>
    <row r="84" spans="6:54" x14ac:dyDescent="0.35">
      <c r="G84" s="352"/>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s="353"/>
    </row>
    <row r="85" spans="6:54" x14ac:dyDescent="0.35">
      <c r="G85" s="352"/>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s="353"/>
    </row>
    <row r="86" spans="6:54" x14ac:dyDescent="0.35">
      <c r="G86" s="352"/>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s="353"/>
    </row>
    <row r="87" spans="6:54" x14ac:dyDescent="0.35">
      <c r="G87" s="352"/>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s="353"/>
    </row>
    <row r="88" spans="6:54" x14ac:dyDescent="0.35">
      <c r="G88" s="352"/>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s="353"/>
    </row>
    <row r="89" spans="6:54" x14ac:dyDescent="0.35">
      <c r="G89" s="352"/>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s="353"/>
    </row>
    <row r="90" spans="6:54" x14ac:dyDescent="0.35">
      <c r="G90" s="352"/>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s="353"/>
    </row>
    <row r="91" spans="6:54" x14ac:dyDescent="0.35">
      <c r="G91" s="352"/>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s="353"/>
    </row>
    <row r="92" spans="6:54" x14ac:dyDescent="0.35">
      <c r="G92" s="35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s="353"/>
    </row>
    <row r="93" spans="6:54" x14ac:dyDescent="0.35">
      <c r="G93" s="352"/>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s="353"/>
    </row>
    <row r="94" spans="6:54" x14ac:dyDescent="0.35">
      <c r="G94" s="352"/>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s="353"/>
    </row>
    <row r="95" spans="6:54" x14ac:dyDescent="0.35">
      <c r="F95" s="356"/>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s="353"/>
    </row>
    <row r="96" spans="6:54" x14ac:dyDescent="0.35">
      <c r="F96" s="35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s="353"/>
    </row>
    <row r="97" spans="6:54" ht="15" thickBot="1" x14ac:dyDescent="0.4">
      <c r="F97" s="356"/>
      <c r="G97" s="382"/>
      <c r="H97" s="382"/>
      <c r="I97" s="382"/>
      <c r="J97" s="382"/>
      <c r="K97" s="382"/>
      <c r="L97" s="382"/>
      <c r="M97" s="382"/>
      <c r="N97" s="382"/>
      <c r="O97" s="382"/>
      <c r="P97" s="382"/>
      <c r="Q97" s="382"/>
      <c r="R97" s="382"/>
      <c r="S97" s="382"/>
      <c r="T97" s="382"/>
      <c r="U97" s="382"/>
      <c r="V97" s="382"/>
      <c r="W97" s="382"/>
      <c r="X97" s="382"/>
      <c r="Y97" s="382"/>
      <c r="Z97" s="382"/>
      <c r="AA97" s="382"/>
      <c r="AB97" s="382"/>
      <c r="AC97" s="382"/>
      <c r="AD97" s="382"/>
      <c r="AE97" s="382"/>
      <c r="AF97" s="382"/>
      <c r="AG97" s="382"/>
      <c r="AH97" s="382"/>
      <c r="AI97" s="382"/>
      <c r="AJ97" s="382"/>
      <c r="AK97" s="382"/>
      <c r="AL97" s="382"/>
      <c r="AM97" s="382"/>
      <c r="AN97" s="382"/>
      <c r="AO97" s="382"/>
      <c r="AP97" s="382"/>
      <c r="AQ97" s="382"/>
      <c r="AR97" s="382"/>
      <c r="AS97" s="382"/>
      <c r="AT97" s="382"/>
      <c r="AU97" s="382"/>
      <c r="AV97" s="382"/>
      <c r="AW97" s="382"/>
      <c r="AX97" s="382"/>
      <c r="AY97" s="382"/>
      <c r="AZ97" s="382"/>
      <c r="BA97" s="382"/>
      <c r="BB97" s="383"/>
    </row>
  </sheetData>
  <sheetProtection algorithmName="SHA-512" hashValue="dF7qr8bEwd820NTtASzVeha9T6aeQFQeKkDfkGcVmMAsDHR286JjgUmVBXTC9LkbN6T2+QrHhy+ntns75FjadQ==" saltValue="7YBn5nPYHB8u1tGwi553RA==" spinCount="100000" sheet="1" objects="1" scenarios="1"/>
  <conditionalFormatting sqref="B8:C37">
    <cfRule type="expression" dxfId="27" priority="3">
      <formula>XFD8=""</formula>
    </cfRule>
  </conditionalFormatting>
  <conditionalFormatting sqref="H15:H44">
    <cfRule type="expression" dxfId="26" priority="2">
      <formula>G15=""</formula>
    </cfRule>
  </conditionalFormatting>
  <conditionalFormatting sqref="I15:I44">
    <cfRule type="expression" dxfId="25" priority="1">
      <formula>G15=""</formula>
    </cfRule>
  </conditionalFormatting>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83</vt:i4>
      </vt:variant>
    </vt:vector>
  </HeadingPairs>
  <TitlesOfParts>
    <vt:vector size="109" baseType="lpstr">
      <vt:lpstr>Instruction</vt:lpstr>
      <vt:lpstr>Project Information Data</vt:lpstr>
      <vt:lpstr>Raw Crash Data</vt:lpstr>
      <vt:lpstr>Raw Bike_Ped Data</vt:lpstr>
      <vt:lpstr>Output</vt:lpstr>
      <vt:lpstr>Summary</vt:lpstr>
      <vt:lpstr>Final BCR</vt:lpstr>
      <vt:lpstr>Capital Costs</vt:lpstr>
      <vt:lpstr>Operations and Maintenance</vt:lpstr>
      <vt:lpstr>Safety</vt:lpstr>
      <vt:lpstr>Travel Time Savings</vt:lpstr>
      <vt:lpstr>Emissions Reduction</vt:lpstr>
      <vt:lpstr>Vehicle Operating Cost Savings</vt:lpstr>
      <vt:lpstr>Other Highway Use Externalities</vt:lpstr>
      <vt:lpstr>Amenity Benefits</vt:lpstr>
      <vt:lpstr>Health Benefits</vt:lpstr>
      <vt:lpstr>Residual Value</vt:lpstr>
      <vt:lpstr>Project Information</vt:lpstr>
      <vt:lpstr>Parameter Values</vt:lpstr>
      <vt:lpstr>Emission Factors</vt:lpstr>
      <vt:lpstr>Other Benefit 4</vt:lpstr>
      <vt:lpstr>Other Benefit 3</vt:lpstr>
      <vt:lpstr>Other Benefit 2</vt:lpstr>
      <vt:lpstr>Other Benefit 1</vt:lpstr>
      <vt:lpstr>User Volumes</vt:lpstr>
      <vt:lpstr>Overview</vt:lpstr>
      <vt:lpstr>Add_Sidewalk_Width</vt:lpstr>
      <vt:lpstr>Analysis_Period</vt:lpstr>
      <vt:lpstr>'Other Benefit 1'!Assumed_Heavy_Truck_Percent</vt:lpstr>
      <vt:lpstr>'Other Benefit 2'!Assumed_Heavy_Truck_Percent</vt:lpstr>
      <vt:lpstr>'Other Benefit 3'!Assumed_Heavy_Truck_Percent</vt:lpstr>
      <vt:lpstr>'Other Benefit 4'!Assumed_Heavy_Truck_Percent</vt:lpstr>
      <vt:lpstr>Assumed_Heavy_Truck_Percent</vt:lpstr>
      <vt:lpstr>Assumed_Pct_Increase_Daily_Cycling_Trips</vt:lpstr>
      <vt:lpstr>Assumed_Pct_Increase_Daily_Walking_Trips</vt:lpstr>
      <vt:lpstr>Base_Year</vt:lpstr>
      <vt:lpstr>Base_Year_AADT</vt:lpstr>
      <vt:lpstr>Base_Year_Daily_Cycling_Trips</vt:lpstr>
      <vt:lpstr>Base_Year_Daily_Walking_Trips</vt:lpstr>
      <vt:lpstr>'Emission Factors'!Base_Year_Truck_AADT</vt:lpstr>
      <vt:lpstr>'Other Benefit 1'!Base_Year_Truck_AADT</vt:lpstr>
      <vt:lpstr>'Other Benefit 2'!Base_Year_Truck_AADT</vt:lpstr>
      <vt:lpstr>'Other Benefit 3'!Base_Year_Truck_AADT</vt:lpstr>
      <vt:lpstr>'Other Benefit 4'!Base_Year_Truck_AADT</vt:lpstr>
      <vt:lpstr>'Parameter Values'!Base_Year_Truck_AADT</vt:lpstr>
      <vt:lpstr>Base_Year_Truck_AADT</vt:lpstr>
      <vt:lpstr>BikePed_GR</vt:lpstr>
      <vt:lpstr>Build_Project_Length</vt:lpstr>
      <vt:lpstr>Build_Start_AADT</vt:lpstr>
      <vt:lpstr>'Emission Factors'!Build_Start_Annual_VMT</vt:lpstr>
      <vt:lpstr>'Other Benefit 1'!Build_Start_Annual_VMT</vt:lpstr>
      <vt:lpstr>'Other Benefit 2'!Build_Start_Annual_VMT</vt:lpstr>
      <vt:lpstr>'Other Benefit 3'!Build_Start_Annual_VMT</vt:lpstr>
      <vt:lpstr>'Other Benefit 4'!Build_Start_Annual_VMT</vt:lpstr>
      <vt:lpstr>'Parameter Values'!Build_Start_Annual_VMT</vt:lpstr>
      <vt:lpstr>Build_Start_Annual_VMT</vt:lpstr>
      <vt:lpstr>'Emission Factors'!Build_Start_Daily_Bike_Ped_Trips</vt:lpstr>
      <vt:lpstr>'Other Benefit 1'!Build_Start_Daily_Bike_Ped_Trips</vt:lpstr>
      <vt:lpstr>'Other Benefit 2'!Build_Start_Daily_Bike_Ped_Trips</vt:lpstr>
      <vt:lpstr>'Other Benefit 3'!Build_Start_Daily_Bike_Ped_Trips</vt:lpstr>
      <vt:lpstr>'Other Benefit 4'!Build_Start_Daily_Bike_Ped_Trips</vt:lpstr>
      <vt:lpstr>'Parameter Values'!Build_Start_Daily_Bike_Ped_Trips</vt:lpstr>
      <vt:lpstr>Build_Start_Daily_Bike_Ped_Trips</vt:lpstr>
      <vt:lpstr>Build_Start_Daily_Cycling_Trips</vt:lpstr>
      <vt:lpstr>Build_Start_Daily_Walking_Trips</vt:lpstr>
      <vt:lpstr>'Emission Factors'!County</vt:lpstr>
      <vt:lpstr>'Other Benefit 1'!County</vt:lpstr>
      <vt:lpstr>'Other Benefit 2'!County</vt:lpstr>
      <vt:lpstr>'Other Benefit 3'!County</vt:lpstr>
      <vt:lpstr>'Other Benefit 4'!County</vt:lpstr>
      <vt:lpstr>'Parameter Values'!County</vt:lpstr>
      <vt:lpstr>County</vt:lpstr>
      <vt:lpstr>'Emission Factors'!Facility_Type</vt:lpstr>
      <vt:lpstr>'Other Benefit 1'!Facility_Type</vt:lpstr>
      <vt:lpstr>'Other Benefit 2'!Facility_Type</vt:lpstr>
      <vt:lpstr>'Other Benefit 3'!Facility_Type</vt:lpstr>
      <vt:lpstr>'Other Benefit 4'!Facility_Type</vt:lpstr>
      <vt:lpstr>'Parameter Values'!Facility_Type</vt:lpstr>
      <vt:lpstr>Facility_Type</vt:lpstr>
      <vt:lpstr>Growth_Rate</vt:lpstr>
      <vt:lpstr>Induced_Daily_Cycling_Trips</vt:lpstr>
      <vt:lpstr>Induced_Daily_Walking_Trips</vt:lpstr>
      <vt:lpstr>No_Build_Project_Length</vt:lpstr>
      <vt:lpstr>No_Build_Start_AADT</vt:lpstr>
      <vt:lpstr>'Emission Factors'!No_Build_Start_Annual_VMT</vt:lpstr>
      <vt:lpstr>'Other Benefit 1'!No_Build_Start_Annual_VMT</vt:lpstr>
      <vt:lpstr>'Other Benefit 2'!No_Build_Start_Annual_VMT</vt:lpstr>
      <vt:lpstr>'Other Benefit 3'!No_Build_Start_Annual_VMT</vt:lpstr>
      <vt:lpstr>'Other Benefit 4'!No_Build_Start_Annual_VMT</vt:lpstr>
      <vt:lpstr>'Parameter Values'!No_Build_Start_Annual_VMT</vt:lpstr>
      <vt:lpstr>No_Build_Start_Annual_VMT</vt:lpstr>
      <vt:lpstr>'Emission Factors'!No_Build_Start_Daily_Bike_Ped_Trips</vt:lpstr>
      <vt:lpstr>'Other Benefit 1'!No_Build_Start_Daily_Bike_Ped_Trips</vt:lpstr>
      <vt:lpstr>'Other Benefit 2'!No_Build_Start_Daily_Bike_Ped_Trips</vt:lpstr>
      <vt:lpstr>'Other Benefit 3'!No_Build_Start_Daily_Bike_Ped_Trips</vt:lpstr>
      <vt:lpstr>'Other Benefit 4'!No_Build_Start_Daily_Bike_Ped_Trips</vt:lpstr>
      <vt:lpstr>'Parameter Values'!No_Build_Start_Daily_Bike_Ped_Trips</vt:lpstr>
      <vt:lpstr>No_Build_Start_Daily_Bike_Ped_Trips</vt:lpstr>
      <vt:lpstr>No_Build_Start_Daily_Cycling_Trips</vt:lpstr>
      <vt:lpstr>No_Build_Start_Daily_Walking_Trips</vt:lpstr>
      <vt:lpstr>Opening_Year</vt:lpstr>
      <vt:lpstr>Project_ID</vt:lpstr>
      <vt:lpstr>'Emission Factors'!Reduced_Annual_VMT_Open_Year</vt:lpstr>
      <vt:lpstr>'Other Benefit 1'!Reduced_Annual_VMT_Open_Year</vt:lpstr>
      <vt:lpstr>'Other Benefit 2'!Reduced_Annual_VMT_Open_Year</vt:lpstr>
      <vt:lpstr>'Other Benefit 3'!Reduced_Annual_VMT_Open_Year</vt:lpstr>
      <vt:lpstr>'Other Benefit 4'!Reduced_Annual_VMT_Open_Year</vt:lpstr>
      <vt:lpstr>'Parameter Values'!Reduced_Annual_VMT_Open_Year</vt:lpstr>
      <vt:lpstr>Reduced_Annual_VMT_Open_Year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Liu, Haiqing</dc:creator>
  <cp:lastModifiedBy>Qing Li</cp:lastModifiedBy>
  <dcterms:created xsi:type="dcterms:W3CDTF">2024-08-22T15:46:51Z</dcterms:created>
  <dcterms:modified xsi:type="dcterms:W3CDTF">2024-08-23T14:28:52Z</dcterms:modified>
</cp:coreProperties>
</file>