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15"/>
  <workbookPr codeName="ThisWorkbook" defaultThemeVersion="124226"/>
  <mc:AlternateContent xmlns:mc="http://schemas.openxmlformats.org/markup-compatibility/2006">
    <mc:Choice Requires="x15">
      <x15ac:absPath xmlns:x15ac="http://schemas.microsoft.com/office/spreadsheetml/2010/11/ac" url="https://houtx.sharepoint.com/sites/TDO-TrafficManagement/Shared Documents/1-Grants/2023 TIP/2023 2024 Submissions/Dairy Ashford/BCAs/"/>
    </mc:Choice>
  </mc:AlternateContent>
  <xr:revisionPtr revIDLastSave="9" documentId="8_{FC10C99D-91BC-4F0F-82F7-E98E235C2D9E}" xr6:coauthVersionLast="47" xr6:coauthVersionMax="47" xr10:uidLastSave="{59FA113D-4137-4128-B0E8-F06E5DAE55A0}"/>
  <bookViews>
    <workbookView xWindow="-120" yWindow="-120" windowWidth="29040" windowHeight="15840" tabRatio="951" firstSheet="3" activeTab="3" xr2:uid="{00000000-000D-0000-FFFF-FFFF00000000}"/>
  </bookViews>
  <sheets>
    <sheet name="Instructions" sheetId="8" r:id="rId1"/>
    <sheet name="ITS Delay Worksheet" sheetId="7" state="hidden" r:id="rId2"/>
    <sheet name="Emissions Reduction Worksheet" sheetId="5" state="hidden" r:id="rId3"/>
    <sheet name="Inputs &amp; Outputs" sheetId="11" r:id="rId4"/>
    <sheet name="Preventable Crash data" sheetId="19" r:id="rId5"/>
    <sheet name="Calculations" sheetId="12" r:id="rId6"/>
    <sheet name="Assumed Values" sheetId="2" r:id="rId7"/>
    <sheet name="Value of Statistical Life" sheetId="9" r:id="rId8"/>
    <sheet name="CRF Lookup Table" sheetId="16" r:id="rId9"/>
    <sheet name="Raw Crash data" sheetId="20" r:id="rId10"/>
    <sheet name="Ped bike commuter analysis data" sheetId="21" r:id="rId11"/>
    <sheet name="Growth Rates" sheetId="22" r:id="rId12"/>
  </sheets>
  <externalReferences>
    <externalReference r:id="rId13"/>
  </externalReferences>
  <definedNames>
    <definedName name="_2021_2045_Demand_Growth">Calculations!$B$14</definedName>
    <definedName name="_2021_2045_V_C_Growth">Calculations!$B$20</definedName>
    <definedName name="_2021_Peak_Period_Capacity">'Inputs &amp; Outputs'!#REF!</definedName>
    <definedName name="_2021_V_C_Ratio">Calculations!$B$15</definedName>
    <definedName name="_2030_2030_Demand_Growth">Calculations!$B$12</definedName>
    <definedName name="_2030_2045_Demand_Growth">Calculations!$B$13</definedName>
    <definedName name="_2030_2045_V_C_Growth">Calculations!$B$19</definedName>
    <definedName name="_2030_Peak_Period_Capacity">'Inputs &amp; Outputs'!#REF!</definedName>
    <definedName name="_2030_Peak_Period_Volume">'Inputs &amp; Outputs'!#REF!</definedName>
    <definedName name="_2030_V_C_Ratio">Calculations!$B$16</definedName>
    <definedName name="_2045_Peak_Period_Capacity">'Inputs &amp; Outputs'!#REF!</definedName>
    <definedName name="_2045_Peak_Period_Volume">'Inputs &amp; Outputs'!#REF!</definedName>
    <definedName name="_2045_V_C_Ratio">Calculations!$B$17</definedName>
    <definedName name="_Avg_Crash_Rate_per_100m_VMT">Calculations!$E$11:$E$14</definedName>
    <definedName name="Application_ID_Number">'Inputs &amp; Outputs'!$C$12</definedName>
    <definedName name="Appropriate_Crash_Reduction_Factor1">'Inputs &amp; Outputs'!$C$20</definedName>
    <definedName name="Appropriate_Crash_Reduction_Factor2">'Inputs &amp; Outputs'!$C$25</definedName>
    <definedName name="Appropriate_Crash_Reduction_Factor3">'Inputs &amp; Outputs'!$C$30</definedName>
    <definedName name="Base_Year">Calculations!$B$4</definedName>
    <definedName name="CRIS_Titles">Calculations!$D$11:$D$14</definedName>
    <definedName name="Freeway">[1]VMT!$B$45:$D$52</definedName>
    <definedName name="Non_Injry_Rate">Calculations!#REF!</definedName>
    <definedName name="Nonincap_Injry_Rate">Calculations!#REF!</definedName>
    <definedName name="Other">[1]VMT!$B$56:$D$63</definedName>
    <definedName name="_xlnm.Print_Area" localSheetId="6">'Assumed Values'!$B$2:$C$30</definedName>
    <definedName name="_xlnm.Print_Area" localSheetId="5">Calculations!$A$3:$W$37</definedName>
    <definedName name="_xlnm.Print_Area" localSheetId="2">'Emissions Reduction Worksheet'!$A$3:$K$33</definedName>
    <definedName name="_xlnm.Print_Area" localSheetId="3">'Inputs &amp; Outputs'!$B$2:$F$49</definedName>
    <definedName name="_xlnm.Print_Area" localSheetId="0">Instructions!$A$1:$G$12</definedName>
    <definedName name="_xlnm.Print_Area" localSheetId="1">'ITS Delay Worksheet'!$A$3:$J$33</definedName>
    <definedName name="Project_Title">'Inputs &amp; Outputs'!$C$5</definedName>
    <definedName name="Real_Discount_Rate">'Assumed Values'!$C$6</definedName>
    <definedName name="Service_Life1">'Inputs &amp; Outputs'!$C$21</definedName>
    <definedName name="Service_Life2">'Inputs &amp; Outputs'!$C$26</definedName>
    <definedName name="Service_Life3">'Inputs &amp; Outputs'!$C$31</definedName>
    <definedName name="Sponsor_ID_Number__CSJ__etc.">'Inputs &amp; Outputs'!$C$13</definedName>
    <definedName name="Value_of_Crash_Savings__2018_____000s">Calculations!$W$4:$W$36</definedName>
    <definedName name="Value_of_Statistical_Life_2018">'Value of Statistical Life'!$E$5:$E$9</definedName>
    <definedName name="Year_Open_to_Traffic?">'Inputs &amp; Outputs'!$C$16</definedName>
    <definedName name="Years_to_include_in_BCA_Analysis1">Calculations!$B$5</definedName>
    <definedName name="Years_to_include_in_BCA_Analysis2">Calculations!$B$6</definedName>
    <definedName name="Years_to_include_in_BCA_Analysis3">Calculations!$B$7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7" i="12" l="1"/>
  <c r="M37" i="12"/>
  <c r="N37" i="12"/>
  <c r="C36" i="11"/>
  <c r="C42" i="11"/>
  <c r="C15" i="22" l="1"/>
  <c r="C14" i="22"/>
  <c r="C34" i="11"/>
  <c r="C33" i="11"/>
  <c r="C16" i="22" l="1"/>
  <c r="B13" i="12" s="1"/>
  <c r="L37" i="12" s="1"/>
  <c r="B12" i="12" l="1"/>
  <c r="J4" i="12" l="1"/>
  <c r="E5" i="12"/>
  <c r="E4" i="12"/>
  <c r="B8" i="12"/>
  <c r="V37" i="12" s="1"/>
  <c r="C35" i="11"/>
  <c r="U4" i="12"/>
  <c r="S4" i="12"/>
  <c r="Q4" i="12"/>
  <c r="O4" i="12"/>
  <c r="V4" i="12" l="1"/>
  <c r="K4" i="12" l="1"/>
  <c r="C26" i="19"/>
  <c r="C25" i="19"/>
  <c r="C24" i="19"/>
  <c r="C23" i="19"/>
  <c r="C22" i="19"/>
  <c r="C21" i="19"/>
  <c r="C20" i="19"/>
  <c r="C19" i="19"/>
  <c r="C8" i="19"/>
  <c r="C7" i="19"/>
  <c r="C6" i="19"/>
  <c r="C5" i="19"/>
  <c r="I26" i="19"/>
  <c r="I25" i="19"/>
  <c r="I24" i="19"/>
  <c r="I23" i="19"/>
  <c r="I22" i="19"/>
  <c r="I21" i="19"/>
  <c r="I8" i="19"/>
  <c r="K8" i="19" s="1"/>
  <c r="I20" i="19"/>
  <c r="I19" i="19"/>
  <c r="I27" i="19" s="1"/>
  <c r="I7" i="19"/>
  <c r="K7" i="19" s="1"/>
  <c r="I6" i="19"/>
  <c r="K6" i="19" s="1"/>
  <c r="I5" i="19"/>
  <c r="K5" i="19" s="1"/>
  <c r="C31" i="11"/>
  <c r="B7" i="12" s="1"/>
  <c r="T37" i="12" s="1"/>
  <c r="C30" i="11"/>
  <c r="C29" i="11"/>
  <c r="C24" i="11"/>
  <c r="C28" i="11"/>
  <c r="C26" i="11"/>
  <c r="B6" i="12" s="1"/>
  <c r="C25" i="11"/>
  <c r="C23" i="11"/>
  <c r="R29" i="12" l="1"/>
  <c r="R37" i="12"/>
  <c r="I28" i="19"/>
  <c r="I29" i="19"/>
  <c r="K29" i="19" s="1"/>
  <c r="L29" i="19" s="1"/>
  <c r="I30" i="19"/>
  <c r="K30" i="19" s="1"/>
  <c r="L30" i="19" s="1"/>
  <c r="E5" i="19"/>
  <c r="E6" i="19"/>
  <c r="E7" i="19"/>
  <c r="E8" i="19"/>
  <c r="O8" i="19"/>
  <c r="Q8" i="19" s="1"/>
  <c r="C30" i="19"/>
  <c r="C29" i="19"/>
  <c r="C28" i="19"/>
  <c r="C27" i="19"/>
  <c r="K28" i="19"/>
  <c r="K27" i="19"/>
  <c r="L27" i="19" s="1"/>
  <c r="R4" i="12"/>
  <c r="T4" i="12"/>
  <c r="J5" i="19"/>
  <c r="J6" i="19"/>
  <c r="J7" i="19"/>
  <c r="J8" i="19"/>
  <c r="D5" i="19" l="1"/>
  <c r="O6" i="19" l="1"/>
  <c r="Q6" i="19" s="1"/>
  <c r="O7" i="19"/>
  <c r="Q7" i="19" s="1"/>
  <c r="O19" i="19"/>
  <c r="O20" i="19"/>
  <c r="O21" i="19"/>
  <c r="O22" i="19"/>
  <c r="O23" i="19"/>
  <c r="O24" i="19"/>
  <c r="O25" i="19"/>
  <c r="O26" i="19"/>
  <c r="O5" i="19"/>
  <c r="Q5" i="19" s="1"/>
  <c r="P8" i="19" l="1"/>
  <c r="P7" i="19"/>
  <c r="P6" i="19"/>
  <c r="P5" i="19"/>
  <c r="E6" i="12" l="1"/>
  <c r="D7" i="19" l="1"/>
  <c r="D8" i="19"/>
  <c r="D30" i="19"/>
  <c r="E30" i="19" s="1"/>
  <c r="D29" i="19"/>
  <c r="E29" i="19" s="1"/>
  <c r="C21" i="11"/>
  <c r="B5" i="12" s="1"/>
  <c r="P37" i="12" s="1"/>
  <c r="C20" i="11"/>
  <c r="C19" i="11"/>
  <c r="C18" i="11"/>
  <c r="D28" i="19"/>
  <c r="E28" i="19" s="1"/>
  <c r="D27" i="19"/>
  <c r="E27" i="19" s="1"/>
  <c r="D6" i="19"/>
  <c r="J28" i="19" l="1"/>
  <c r="O28" i="19"/>
  <c r="J29" i="19"/>
  <c r="O29" i="19"/>
  <c r="J27" i="19"/>
  <c r="O27" i="19"/>
  <c r="J30" i="19"/>
  <c r="O30" i="19"/>
  <c r="P30" i="19" l="1"/>
  <c r="Q30" i="19"/>
  <c r="P27" i="19"/>
  <c r="Q27" i="19"/>
  <c r="P29" i="19"/>
  <c r="Q29" i="19"/>
  <c r="P28" i="19"/>
  <c r="Q28" i="19"/>
  <c r="L15" i="12"/>
  <c r="L23" i="12"/>
  <c r="L31" i="12"/>
  <c r="L16" i="12"/>
  <c r="L24" i="12"/>
  <c r="L32" i="12"/>
  <c r="L17" i="12"/>
  <c r="L25" i="12"/>
  <c r="L18" i="12"/>
  <c r="L26" i="12"/>
  <c r="L13" i="12"/>
  <c r="L19" i="12"/>
  <c r="L27" i="12"/>
  <c r="L22" i="12"/>
  <c r="L33" i="12"/>
  <c r="L20" i="12"/>
  <c r="L28" i="12"/>
  <c r="L21" i="12"/>
  <c r="L29" i="12"/>
  <c r="L14" i="12"/>
  <c r="L30" i="12"/>
  <c r="L9" i="12"/>
  <c r="L11" i="12"/>
  <c r="L6" i="12"/>
  <c r="L12" i="12"/>
  <c r="L7" i="12"/>
  <c r="L8" i="12"/>
  <c r="L10" i="12"/>
  <c r="L34" i="12"/>
  <c r="L35" i="12"/>
  <c r="L36" i="12"/>
  <c r="L5" i="12"/>
  <c r="J5" i="12" l="1"/>
  <c r="J6" i="12" s="1"/>
  <c r="J7" i="12" s="1"/>
  <c r="J8" i="12" s="1"/>
  <c r="J9" i="12" s="1"/>
  <c r="K5" i="12"/>
  <c r="K6" i="12" s="1"/>
  <c r="K7" i="12" s="1"/>
  <c r="K8" i="12" s="1"/>
  <c r="K9" i="12" s="1"/>
  <c r="K10" i="12" s="1"/>
  <c r="K11" i="12" s="1"/>
  <c r="K12" i="12" s="1"/>
  <c r="K13" i="12" s="1"/>
  <c r="K14" i="12" s="1"/>
  <c r="K15" i="12" s="1"/>
  <c r="K16" i="12" s="1"/>
  <c r="K17" i="12" s="1"/>
  <c r="K18" i="12" s="1"/>
  <c r="K19" i="12" s="1"/>
  <c r="K20" i="12" s="1"/>
  <c r="K21" i="12" s="1"/>
  <c r="K22" i="12" s="1"/>
  <c r="K23" i="12" s="1"/>
  <c r="K24" i="12" s="1"/>
  <c r="K25" i="12" s="1"/>
  <c r="K26" i="12" s="1"/>
  <c r="K27" i="12" s="1"/>
  <c r="K28" i="12" s="1"/>
  <c r="K29" i="12" s="1"/>
  <c r="K30" i="12" s="1"/>
  <c r="K31" i="12" s="1"/>
  <c r="K32" i="12" s="1"/>
  <c r="K33" i="12" s="1"/>
  <c r="K34" i="12" s="1"/>
  <c r="K35" i="12" s="1"/>
  <c r="K36" i="12" s="1"/>
  <c r="K37" i="12" s="1"/>
  <c r="J10" i="12" l="1"/>
  <c r="J11" i="12" s="1"/>
  <c r="J12" i="12" s="1"/>
  <c r="J13" i="12" s="1"/>
  <c r="J14" i="12" s="1"/>
  <c r="J15" i="12" s="1"/>
  <c r="J16" i="12" s="1"/>
  <c r="J17" i="12" s="1"/>
  <c r="J18" i="12" s="1"/>
  <c r="J19" i="12" s="1"/>
  <c r="J20" i="12" s="1"/>
  <c r="J21" i="12" s="1"/>
  <c r="J22" i="12" s="1"/>
  <c r="J23" i="12" s="1"/>
  <c r="J24" i="12" s="1"/>
  <c r="J25" i="12" s="1"/>
  <c r="J26" i="12" s="1"/>
  <c r="J27" i="12" s="1"/>
  <c r="J28" i="12" s="1"/>
  <c r="J29" i="12" s="1"/>
  <c r="J30" i="12" s="1"/>
  <c r="J31" i="12" s="1"/>
  <c r="J32" i="12" s="1"/>
  <c r="J33" i="12" s="1"/>
  <c r="J34" i="12" s="1"/>
  <c r="J35" i="12" s="1"/>
  <c r="J36" i="12" s="1"/>
  <c r="J37" i="12" s="1"/>
  <c r="P4" i="12"/>
  <c r="W4" i="12" s="1"/>
  <c r="F8" i="19" l="1"/>
  <c r="F7" i="19"/>
  <c r="F6" i="19"/>
  <c r="F5" i="19"/>
  <c r="L5" i="19"/>
  <c r="L7" i="19"/>
  <c r="L6" i="19"/>
  <c r="L8" i="19"/>
  <c r="M4" i="12"/>
  <c r="N4" i="12" s="1"/>
  <c r="I5" i="12"/>
  <c r="V5" i="12" l="1"/>
  <c r="U5" i="12" s="1"/>
  <c r="T5" i="12"/>
  <c r="S5" i="12" s="1"/>
  <c r="R5" i="12"/>
  <c r="Q5" i="12" s="1"/>
  <c r="P5" i="12"/>
  <c r="M5" i="12"/>
  <c r="N5" i="12" s="1"/>
  <c r="O5" i="12" s="1"/>
  <c r="I6" i="12"/>
  <c r="V6" i="12" s="1"/>
  <c r="U6" i="12" l="1"/>
  <c r="W5" i="12"/>
  <c r="T6" i="12"/>
  <c r="S6" i="12" s="1"/>
  <c r="R6" i="12"/>
  <c r="Q6" i="12" s="1"/>
  <c r="P6" i="12"/>
  <c r="M6" i="12"/>
  <c r="N6" i="12" s="1"/>
  <c r="O6" i="12" s="1"/>
  <c r="I7" i="12"/>
  <c r="V7" i="12" s="1"/>
  <c r="C21" i="2"/>
  <c r="B18" i="5" s="1"/>
  <c r="E17" i="5" s="1"/>
  <c r="C22" i="2"/>
  <c r="B19" i="5"/>
  <c r="E18" i="5" s="1"/>
  <c r="G4" i="7"/>
  <c r="G5" i="7" s="1"/>
  <c r="G4" i="5"/>
  <c r="G5" i="5" s="1"/>
  <c r="G6" i="5" s="1"/>
  <c r="G7" i="5" s="1"/>
  <c r="G8" i="5" s="1"/>
  <c r="G9" i="5" s="1"/>
  <c r="G10" i="5" s="1"/>
  <c r="G11" i="5" s="1"/>
  <c r="G12" i="5" s="1"/>
  <c r="G13" i="5" s="1"/>
  <c r="G14" i="5" s="1"/>
  <c r="B18" i="7"/>
  <c r="B17" i="7"/>
  <c r="B16" i="7"/>
  <c r="E17" i="7"/>
  <c r="U7" i="12" l="1"/>
  <c r="W6" i="12"/>
  <c r="R7" i="12"/>
  <c r="Q7" i="12" s="1"/>
  <c r="T7" i="12"/>
  <c r="S7" i="12" s="1"/>
  <c r="P7" i="12"/>
  <c r="H4" i="7"/>
  <c r="I4" i="7" s="1"/>
  <c r="H10" i="5"/>
  <c r="C20" i="2"/>
  <c r="B21" i="5" s="1"/>
  <c r="C19" i="2"/>
  <c r="B20" i="5" s="1"/>
  <c r="H5" i="7"/>
  <c r="I5" i="7" s="1"/>
  <c r="G6" i="7"/>
  <c r="J14" i="5"/>
  <c r="G15" i="5"/>
  <c r="H14" i="5"/>
  <c r="M7" i="12"/>
  <c r="N7" i="12" s="1"/>
  <c r="O7" i="12" s="1"/>
  <c r="I8" i="12"/>
  <c r="V8" i="12" s="1"/>
  <c r="H6" i="5"/>
  <c r="H11" i="5"/>
  <c r="J5" i="5"/>
  <c r="J13" i="5"/>
  <c r="J11" i="5"/>
  <c r="J10" i="5"/>
  <c r="J9" i="5"/>
  <c r="J4" i="5"/>
  <c r="J12" i="5"/>
  <c r="J8" i="5"/>
  <c r="J7" i="5"/>
  <c r="J6" i="5"/>
  <c r="H12" i="5"/>
  <c r="H4" i="5"/>
  <c r="H13" i="5"/>
  <c r="H5" i="5"/>
  <c r="H7" i="5"/>
  <c r="H8" i="5"/>
  <c r="H9" i="5"/>
  <c r="W7" i="12" l="1"/>
  <c r="T8" i="12"/>
  <c r="R8" i="12"/>
  <c r="P8" i="12"/>
  <c r="C15" i="2"/>
  <c r="B19" i="7" s="1"/>
  <c r="K4" i="5"/>
  <c r="G7" i="7"/>
  <c r="H6" i="7"/>
  <c r="I6" i="7" s="1"/>
  <c r="H15" i="5"/>
  <c r="I15" i="5" s="1"/>
  <c r="J15" i="5"/>
  <c r="K15" i="5" s="1"/>
  <c r="G16" i="5"/>
  <c r="M8" i="12"/>
  <c r="N8" i="12" s="1"/>
  <c r="K10" i="5"/>
  <c r="K12" i="5"/>
  <c r="K8" i="5"/>
  <c r="K14" i="5"/>
  <c r="K7" i="5"/>
  <c r="K5" i="5"/>
  <c r="K6" i="5"/>
  <c r="K13" i="5"/>
  <c r="K11" i="5"/>
  <c r="K9" i="5"/>
  <c r="I13" i="5"/>
  <c r="I9" i="12"/>
  <c r="V9" i="12" s="1"/>
  <c r="I7" i="5"/>
  <c r="I8" i="5"/>
  <c r="I10" i="5"/>
  <c r="I9" i="5"/>
  <c r="I14" i="5"/>
  <c r="I12" i="5"/>
  <c r="I5" i="5"/>
  <c r="I6" i="5"/>
  <c r="I11" i="5"/>
  <c r="I4" i="5"/>
  <c r="R9" i="12" l="1"/>
  <c r="T9" i="12"/>
  <c r="P9" i="12"/>
  <c r="M9" i="12"/>
  <c r="N9" i="12" s="1"/>
  <c r="H16" i="5"/>
  <c r="J16" i="5"/>
  <c r="K16" i="5" s="1"/>
  <c r="G17" i="5"/>
  <c r="G8" i="7"/>
  <c r="H7" i="7"/>
  <c r="I7" i="7"/>
  <c r="J7" i="7" s="1"/>
  <c r="I10" i="12"/>
  <c r="V10" i="12" s="1"/>
  <c r="J6" i="7"/>
  <c r="J5" i="7"/>
  <c r="J4" i="7"/>
  <c r="R10" i="12" l="1"/>
  <c r="T10" i="12"/>
  <c r="P10" i="12"/>
  <c r="M10" i="12"/>
  <c r="M11" i="12" s="1"/>
  <c r="H8" i="7"/>
  <c r="I8" i="7"/>
  <c r="J8" i="7" s="1"/>
  <c r="G9" i="7"/>
  <c r="J17" i="5"/>
  <c r="K17" i="5" s="1"/>
  <c r="G18" i="5"/>
  <c r="H17" i="5"/>
  <c r="I17" i="5" s="1"/>
  <c r="I16" i="5"/>
  <c r="I11" i="12"/>
  <c r="V11" i="12" s="1"/>
  <c r="T11" i="12" l="1"/>
  <c r="R11" i="12"/>
  <c r="P11" i="12"/>
  <c r="N10" i="12"/>
  <c r="H9" i="7"/>
  <c r="I9" i="7" s="1"/>
  <c r="J9" i="7" s="1"/>
  <c r="G10" i="7"/>
  <c r="J18" i="5"/>
  <c r="K18" i="5" s="1"/>
  <c r="G19" i="5"/>
  <c r="H18" i="5"/>
  <c r="N11" i="12"/>
  <c r="M12" i="12"/>
  <c r="I12" i="12"/>
  <c r="V12" i="12" s="1"/>
  <c r="T12" i="12" l="1"/>
  <c r="R12" i="12"/>
  <c r="P12" i="12"/>
  <c r="G11" i="7"/>
  <c r="H10" i="7"/>
  <c r="I10" i="7" s="1"/>
  <c r="J10" i="7" s="1"/>
  <c r="I18" i="5"/>
  <c r="H19" i="5"/>
  <c r="I19" i="5" s="1"/>
  <c r="J19" i="5"/>
  <c r="K19" i="5" s="1"/>
  <c r="G20" i="5"/>
  <c r="M13" i="12"/>
  <c r="N12" i="12"/>
  <c r="I13" i="12"/>
  <c r="V13" i="12" s="1"/>
  <c r="T13" i="12" l="1"/>
  <c r="R13" i="12"/>
  <c r="P13" i="12"/>
  <c r="G12" i="7"/>
  <c r="H11" i="7"/>
  <c r="I11" i="7" s="1"/>
  <c r="J11" i="7" s="1"/>
  <c r="H20" i="5"/>
  <c r="I20" i="5" s="1"/>
  <c r="J20" i="5"/>
  <c r="K20" i="5" s="1"/>
  <c r="G21" i="5"/>
  <c r="M14" i="12"/>
  <c r="N13" i="12"/>
  <c r="I14" i="12"/>
  <c r="V14" i="12" s="1"/>
  <c r="T14" i="12" l="1"/>
  <c r="R14" i="12"/>
  <c r="P14" i="12"/>
  <c r="J21" i="5"/>
  <c r="K21" i="5" s="1"/>
  <c r="G22" i="5"/>
  <c r="H21" i="5"/>
  <c r="H12" i="7"/>
  <c r="I12" i="7" s="1"/>
  <c r="J12" i="7" s="1"/>
  <c r="G13" i="7"/>
  <c r="M15" i="12"/>
  <c r="N14" i="12"/>
  <c r="I15" i="12"/>
  <c r="V15" i="12" s="1"/>
  <c r="R15" i="12" l="1"/>
  <c r="T15" i="12"/>
  <c r="P15" i="12"/>
  <c r="I21" i="5"/>
  <c r="H13" i="7"/>
  <c r="I13" i="7" s="1"/>
  <c r="J13" i="7" s="1"/>
  <c r="G14" i="7"/>
  <c r="J22" i="5"/>
  <c r="K22" i="5" s="1"/>
  <c r="G23" i="5"/>
  <c r="H22" i="5"/>
  <c r="I22" i="5" s="1"/>
  <c r="M16" i="12"/>
  <c r="N15" i="12"/>
  <c r="I16" i="12"/>
  <c r="V16" i="12" s="1"/>
  <c r="T16" i="12" l="1"/>
  <c r="R16" i="12"/>
  <c r="P16" i="12"/>
  <c r="H23" i="5"/>
  <c r="I23" i="5" s="1"/>
  <c r="J23" i="5"/>
  <c r="K23" i="5" s="1"/>
  <c r="G24" i="5"/>
  <c r="G15" i="7"/>
  <c r="H14" i="7"/>
  <c r="I14" i="7" s="1"/>
  <c r="J14" i="7" s="1"/>
  <c r="M17" i="12"/>
  <c r="N16" i="12"/>
  <c r="I17" i="12"/>
  <c r="V17" i="12" s="1"/>
  <c r="T17" i="12" l="1"/>
  <c r="R17" i="12"/>
  <c r="P17" i="12"/>
  <c r="H24" i="5"/>
  <c r="I24" i="5" s="1"/>
  <c r="J24" i="5"/>
  <c r="K24" i="5" s="1"/>
  <c r="B11" i="5" s="1"/>
  <c r="B12" i="5" s="1"/>
  <c r="G25" i="5"/>
  <c r="G16" i="7"/>
  <c r="H15" i="7"/>
  <c r="I15" i="7"/>
  <c r="J15" i="7" s="1"/>
  <c r="M18" i="12"/>
  <c r="N17" i="12"/>
  <c r="I18" i="12"/>
  <c r="V18" i="12" s="1"/>
  <c r="R18" i="12" l="1"/>
  <c r="T18" i="12"/>
  <c r="P18" i="12"/>
  <c r="H16" i="7"/>
  <c r="I16" i="7"/>
  <c r="J16" i="7" s="1"/>
  <c r="G17" i="7"/>
  <c r="J25" i="5"/>
  <c r="K25" i="5" s="1"/>
  <c r="G26" i="5"/>
  <c r="H25" i="5"/>
  <c r="I25" i="5" s="1"/>
  <c r="M19" i="12"/>
  <c r="N18" i="12"/>
  <c r="I19" i="12"/>
  <c r="V19" i="12" s="1"/>
  <c r="R19" i="12" l="1"/>
  <c r="T19" i="12"/>
  <c r="C43" i="11"/>
  <c r="E13" i="19" s="1"/>
  <c r="P19" i="12"/>
  <c r="R5" i="19"/>
  <c r="R7" i="19"/>
  <c r="F14" i="19"/>
  <c r="R6" i="19"/>
  <c r="D14" i="19"/>
  <c r="C14" i="19"/>
  <c r="F13" i="19"/>
  <c r="E14" i="12" s="1"/>
  <c r="E14" i="19"/>
  <c r="D13" i="19"/>
  <c r="R8" i="19"/>
  <c r="C13" i="19"/>
  <c r="H17" i="7"/>
  <c r="I17" i="7" s="1"/>
  <c r="J17" i="7" s="1"/>
  <c r="G18" i="7"/>
  <c r="J26" i="5"/>
  <c r="K26" i="5" s="1"/>
  <c r="G27" i="5"/>
  <c r="H26" i="5"/>
  <c r="I26" i="5" s="1"/>
  <c r="M20" i="12"/>
  <c r="N19" i="12"/>
  <c r="I20" i="12"/>
  <c r="V20" i="12" s="1"/>
  <c r="E12" i="12" l="1"/>
  <c r="E13" i="12"/>
  <c r="F28" i="19"/>
  <c r="F30" i="19"/>
  <c r="F34" i="19" s="1"/>
  <c r="E44" i="12" s="1"/>
  <c r="F44" i="12" s="1"/>
  <c r="F29" i="19"/>
  <c r="E34" i="19" s="1"/>
  <c r="E43" i="12" s="1"/>
  <c r="F43" i="12" s="1"/>
  <c r="F27" i="19"/>
  <c r="C34" i="19" s="1"/>
  <c r="E41" i="12" s="1"/>
  <c r="F41" i="12" s="1"/>
  <c r="C16" i="19"/>
  <c r="E11" i="12"/>
  <c r="D16" i="19"/>
  <c r="F16" i="19"/>
  <c r="E16" i="19"/>
  <c r="L28" i="19"/>
  <c r="R28" i="19"/>
  <c r="R30" i="19"/>
  <c r="R27" i="19"/>
  <c r="R29" i="19"/>
  <c r="F4" i="12"/>
  <c r="T20" i="12"/>
  <c r="R20" i="12"/>
  <c r="P20" i="12"/>
  <c r="G19" i="7"/>
  <c r="H18" i="7"/>
  <c r="I18" i="7" s="1"/>
  <c r="J18" i="7" s="1"/>
  <c r="H27" i="5"/>
  <c r="I27" i="5" s="1"/>
  <c r="J27" i="5"/>
  <c r="K27" i="5" s="1"/>
  <c r="G28" i="5"/>
  <c r="M21" i="12"/>
  <c r="N20" i="12"/>
  <c r="I21" i="12"/>
  <c r="V21" i="12" s="1"/>
  <c r="D34" i="19" l="1"/>
  <c r="E42" i="12" s="1"/>
  <c r="F42" i="12" s="1"/>
  <c r="T21" i="12"/>
  <c r="R21" i="12"/>
  <c r="P21" i="12"/>
  <c r="H28" i="5"/>
  <c r="I28" i="5" s="1"/>
  <c r="J28" i="5"/>
  <c r="K28" i="5" s="1"/>
  <c r="G29" i="5"/>
  <c r="G20" i="7"/>
  <c r="H19" i="7"/>
  <c r="I19" i="7" s="1"/>
  <c r="J19" i="7" s="1"/>
  <c r="M22" i="12"/>
  <c r="N21" i="12"/>
  <c r="I22" i="12"/>
  <c r="V22" i="12" s="1"/>
  <c r="T22" i="12" l="1"/>
  <c r="R22" i="12"/>
  <c r="P22" i="12"/>
  <c r="H20" i="7"/>
  <c r="I20" i="7" s="1"/>
  <c r="J20" i="7" s="1"/>
  <c r="G21" i="7"/>
  <c r="J29" i="5"/>
  <c r="K29" i="5" s="1"/>
  <c r="H29" i="5"/>
  <c r="M23" i="12"/>
  <c r="N22" i="12"/>
  <c r="I23" i="12"/>
  <c r="V23" i="12" s="1"/>
  <c r="R23" i="12" l="1"/>
  <c r="T23" i="12"/>
  <c r="P23" i="12"/>
  <c r="H21" i="7"/>
  <c r="I21" i="7" s="1"/>
  <c r="J21" i="7" s="1"/>
  <c r="G22" i="7"/>
  <c r="I29" i="5"/>
  <c r="B13" i="5"/>
  <c r="M24" i="12"/>
  <c r="N23" i="12"/>
  <c r="I24" i="12"/>
  <c r="V24" i="12" s="1"/>
  <c r="R24" i="12" l="1"/>
  <c r="T24" i="12"/>
  <c r="P24" i="12"/>
  <c r="X4" i="12"/>
  <c r="G23" i="7"/>
  <c r="H22" i="7"/>
  <c r="I22" i="7" s="1"/>
  <c r="J22" i="7" s="1"/>
  <c r="M25" i="12"/>
  <c r="N24" i="12"/>
  <c r="I25" i="12"/>
  <c r="V25" i="12" s="1"/>
  <c r="T25" i="12" l="1"/>
  <c r="R25" i="12"/>
  <c r="P25" i="12"/>
  <c r="X5" i="12"/>
  <c r="G24" i="7"/>
  <c r="H23" i="7"/>
  <c r="I23" i="7"/>
  <c r="J23" i="7" s="1"/>
  <c r="M26" i="12"/>
  <c r="N25" i="12"/>
  <c r="I26" i="12"/>
  <c r="V26" i="12" s="1"/>
  <c r="T26" i="12" l="1"/>
  <c r="R26" i="12"/>
  <c r="P26" i="12"/>
  <c r="X6" i="12"/>
  <c r="H24" i="7"/>
  <c r="I24" i="7"/>
  <c r="J24" i="7" s="1"/>
  <c r="G25" i="7"/>
  <c r="M27" i="12"/>
  <c r="N26" i="12"/>
  <c r="I27" i="12"/>
  <c r="V27" i="12" s="1"/>
  <c r="R27" i="12" l="1"/>
  <c r="T27" i="12"/>
  <c r="P27" i="12"/>
  <c r="H25" i="7"/>
  <c r="I25" i="7" s="1"/>
  <c r="J25" i="7" s="1"/>
  <c r="G26" i="7"/>
  <c r="M28" i="12"/>
  <c r="N27" i="12"/>
  <c r="I28" i="12"/>
  <c r="V28" i="12" s="1"/>
  <c r="T28" i="12" l="1"/>
  <c r="R28" i="12"/>
  <c r="P28" i="12"/>
  <c r="G27" i="7"/>
  <c r="H26" i="7"/>
  <c r="I26" i="7" s="1"/>
  <c r="J26" i="7" s="1"/>
  <c r="M29" i="12"/>
  <c r="N28" i="12"/>
  <c r="I29" i="12"/>
  <c r="V29" i="12" s="1"/>
  <c r="T29" i="12" l="1"/>
  <c r="P29" i="12"/>
  <c r="G28" i="7"/>
  <c r="H27" i="7"/>
  <c r="I27" i="7"/>
  <c r="J27" i="7" s="1"/>
  <c r="N29" i="12"/>
  <c r="M30" i="12"/>
  <c r="N30" i="12" s="1"/>
  <c r="I30" i="12"/>
  <c r="V30" i="12" s="1"/>
  <c r="R30" i="12" l="1"/>
  <c r="T30" i="12"/>
  <c r="P30" i="12"/>
  <c r="H28" i="7"/>
  <c r="I28" i="7"/>
  <c r="J28" i="7" s="1"/>
  <c r="G29" i="7"/>
  <c r="M31" i="12"/>
  <c r="N31" i="12" s="1"/>
  <c r="I31" i="12"/>
  <c r="V31" i="12" s="1"/>
  <c r="I32" i="12" l="1"/>
  <c r="V32" i="12" s="1"/>
  <c r="R31" i="12"/>
  <c r="T31" i="12"/>
  <c r="P31" i="12"/>
  <c r="H29" i="7"/>
  <c r="I29" i="7" s="1"/>
  <c r="J29" i="7" s="1"/>
  <c r="B11" i="7" s="1"/>
  <c r="B12" i="7" s="1"/>
  <c r="I33" i="12"/>
  <c r="V33" i="12" s="1"/>
  <c r="M32" i="12"/>
  <c r="N32" i="12" s="1"/>
  <c r="R33" i="12" l="1"/>
  <c r="T33" i="12"/>
  <c r="P33" i="12"/>
  <c r="T32" i="12"/>
  <c r="R32" i="12"/>
  <c r="P32" i="12"/>
  <c r="I34" i="12"/>
  <c r="V34" i="12" s="1"/>
  <c r="M33" i="12"/>
  <c r="N33" i="12" s="1"/>
  <c r="T34" i="12" l="1"/>
  <c r="R34" i="12"/>
  <c r="P34" i="12"/>
  <c r="I35" i="12"/>
  <c r="V35" i="12" s="1"/>
  <c r="M34" i="12"/>
  <c r="N34" i="12" s="1"/>
  <c r="R35" i="12" l="1"/>
  <c r="T35" i="12"/>
  <c r="P35" i="12"/>
  <c r="I36" i="12"/>
  <c r="V36" i="12" s="1"/>
  <c r="M35" i="12"/>
  <c r="N35" i="12" s="1"/>
  <c r="T36" i="12" l="1"/>
  <c r="R36" i="12"/>
  <c r="P36" i="12"/>
  <c r="F5" i="12"/>
  <c r="F6" i="12" s="1"/>
  <c r="M36" i="12"/>
  <c r="N36" i="12" s="1"/>
  <c r="E53" i="12" l="1"/>
  <c r="U8" i="12" s="1"/>
  <c r="U9" i="12" s="1"/>
  <c r="U10" i="12" s="1"/>
  <c r="U11" i="12" s="1"/>
  <c r="U12" i="12" s="1"/>
  <c r="U13" i="12" s="1"/>
  <c r="U14" i="12" s="1"/>
  <c r="U15" i="12" s="1"/>
  <c r="U16" i="12" s="1"/>
  <c r="U17" i="12" s="1"/>
  <c r="U18" i="12" s="1"/>
  <c r="U19" i="12" s="1"/>
  <c r="U20" i="12" s="1"/>
  <c r="U21" i="12" s="1"/>
  <c r="U22" i="12" s="1"/>
  <c r="U23" i="12" s="1"/>
  <c r="U24" i="12" s="1"/>
  <c r="U25" i="12" s="1"/>
  <c r="U26" i="12" s="1"/>
  <c r="U27" i="12" s="1"/>
  <c r="U28" i="12" s="1"/>
  <c r="U29" i="12" s="1"/>
  <c r="U30" i="12" s="1"/>
  <c r="U31" i="12" s="1"/>
  <c r="U32" i="12" s="1"/>
  <c r="U33" i="12" s="1"/>
  <c r="U34" i="12" s="1"/>
  <c r="U35" i="12" s="1"/>
  <c r="U36" i="12" s="1"/>
  <c r="U37" i="12" s="1"/>
  <c r="F14" i="12"/>
  <c r="F12" i="12"/>
  <c r="F13" i="12"/>
  <c r="F11" i="12"/>
  <c r="E22" i="12" l="1"/>
  <c r="F22" i="12" s="1"/>
  <c r="E21" i="12"/>
  <c r="F21" i="12" s="1"/>
  <c r="E23" i="12"/>
  <c r="F23" i="12" s="1"/>
  <c r="E24" i="12"/>
  <c r="F24" i="12" s="1"/>
  <c r="E50" i="12"/>
  <c r="X7" i="12"/>
  <c r="E31" i="12" l="1"/>
  <c r="F31" i="12" s="1"/>
  <c r="E34" i="12"/>
  <c r="F34" i="12" s="1"/>
  <c r="E33" i="12"/>
  <c r="F33" i="12" s="1"/>
  <c r="E32" i="12"/>
  <c r="F32" i="12" s="1"/>
  <c r="O8" i="12"/>
  <c r="E51" i="12"/>
  <c r="O9" i="12" l="1"/>
  <c r="O10" i="12" s="1"/>
  <c r="E52" i="12"/>
  <c r="Q8" i="12"/>
  <c r="S8" i="12" l="1"/>
  <c r="S9" i="12" s="1"/>
  <c r="S10" i="12" s="1"/>
  <c r="S11" i="12" s="1"/>
  <c r="S12" i="12" s="1"/>
  <c r="S13" i="12" s="1"/>
  <c r="S14" i="12" s="1"/>
  <c r="S15" i="12" s="1"/>
  <c r="S16" i="12" s="1"/>
  <c r="S17" i="12" s="1"/>
  <c r="S18" i="12" s="1"/>
  <c r="S19" i="12" s="1"/>
  <c r="S20" i="12" s="1"/>
  <c r="S21" i="12" s="1"/>
  <c r="S22" i="12" s="1"/>
  <c r="S23" i="12" s="1"/>
  <c r="S24" i="12" s="1"/>
  <c r="S25" i="12" s="1"/>
  <c r="S26" i="12" s="1"/>
  <c r="S27" i="12" s="1"/>
  <c r="S28" i="12" s="1"/>
  <c r="S29" i="12" s="1"/>
  <c r="S30" i="12" s="1"/>
  <c r="S31" i="12" s="1"/>
  <c r="S32" i="12" s="1"/>
  <c r="S33" i="12" s="1"/>
  <c r="S34" i="12" s="1"/>
  <c r="S35" i="12" s="1"/>
  <c r="S36" i="12" s="1"/>
  <c r="S37" i="12" s="1"/>
  <c r="E54" i="12"/>
  <c r="Q9" i="12"/>
  <c r="O11" i="12"/>
  <c r="W9" i="12" l="1"/>
  <c r="X9" i="12" s="1"/>
  <c r="W8" i="12"/>
  <c r="X8" i="12" s="1"/>
  <c r="O12" i="12"/>
  <c r="Q10" i="12"/>
  <c r="W10" i="12" s="1"/>
  <c r="Q11" i="12" l="1"/>
  <c r="W11" i="12" s="1"/>
  <c r="X10" i="12"/>
  <c r="O13" i="12"/>
  <c r="O14" i="12" l="1"/>
  <c r="Q12" i="12"/>
  <c r="W12" i="12" s="1"/>
  <c r="X11" i="12"/>
  <c r="Q13" i="12" l="1"/>
  <c r="W13" i="12" s="1"/>
  <c r="X12" i="12"/>
  <c r="O15" i="12"/>
  <c r="O16" i="12" l="1"/>
  <c r="Q14" i="12"/>
  <c r="W14" i="12" s="1"/>
  <c r="X13" i="12"/>
  <c r="Q15" i="12" l="1"/>
  <c r="W15" i="12" s="1"/>
  <c r="X14" i="12"/>
  <c r="O17" i="12"/>
  <c r="O18" i="12" l="1"/>
  <c r="Q16" i="12"/>
  <c r="W16" i="12" s="1"/>
  <c r="X15" i="12"/>
  <c r="Q17" i="12" l="1"/>
  <c r="W17" i="12" s="1"/>
  <c r="X16" i="12"/>
  <c r="O19" i="12"/>
  <c r="O20" i="12" l="1"/>
  <c r="Q18" i="12"/>
  <c r="W18" i="12" s="1"/>
  <c r="X17" i="12"/>
  <c r="Q19" i="12" l="1"/>
  <c r="W19" i="12" s="1"/>
  <c r="X18" i="12"/>
  <c r="O21" i="12"/>
  <c r="O22" i="12" l="1"/>
  <c r="Q20" i="12"/>
  <c r="W20" i="12" s="1"/>
  <c r="X19" i="12"/>
  <c r="Q21" i="12" l="1"/>
  <c r="W21" i="12" s="1"/>
  <c r="X20" i="12"/>
  <c r="O23" i="12"/>
  <c r="O24" i="12" l="1"/>
  <c r="Q22" i="12"/>
  <c r="W22" i="12" s="1"/>
  <c r="X21" i="12"/>
  <c r="Q23" i="12" l="1"/>
  <c r="W23" i="12" s="1"/>
  <c r="X22" i="12"/>
  <c r="O25" i="12"/>
  <c r="O26" i="12" l="1"/>
  <c r="Q24" i="12"/>
  <c r="W24" i="12" s="1"/>
  <c r="X23" i="12"/>
  <c r="Q25" i="12" l="1"/>
  <c r="W25" i="12" s="1"/>
  <c r="X24" i="12"/>
  <c r="O27" i="12"/>
  <c r="O28" i="12" l="1"/>
  <c r="Q26" i="12"/>
  <c r="W26" i="12" s="1"/>
  <c r="X25" i="12"/>
  <c r="Q27" i="12" l="1"/>
  <c r="W27" i="12" s="1"/>
  <c r="X26" i="12"/>
  <c r="O29" i="12"/>
  <c r="O30" i="12" l="1"/>
  <c r="Q28" i="12"/>
  <c r="W28" i="12" s="1"/>
  <c r="X27" i="12"/>
  <c r="Q29" i="12" l="1"/>
  <c r="W29" i="12" s="1"/>
  <c r="X28" i="12"/>
  <c r="O31" i="12"/>
  <c r="O32" i="12" l="1"/>
  <c r="Q30" i="12"/>
  <c r="W30" i="12" s="1"/>
  <c r="X29" i="12"/>
  <c r="Q31" i="12" l="1"/>
  <c r="W31" i="12" s="1"/>
  <c r="X30" i="12"/>
  <c r="O33" i="12"/>
  <c r="O34" i="12" l="1"/>
  <c r="Q32" i="12"/>
  <c r="W32" i="12" s="1"/>
  <c r="X31" i="12"/>
  <c r="Q33" i="12" l="1"/>
  <c r="W33" i="12" s="1"/>
  <c r="X32" i="12"/>
  <c r="O35" i="12"/>
  <c r="O36" i="12" l="1"/>
  <c r="O37" i="12" s="1"/>
  <c r="Q34" i="12"/>
  <c r="W34" i="12" s="1"/>
  <c r="X33" i="12"/>
  <c r="Q35" i="12" l="1"/>
  <c r="W35" i="12" s="1"/>
  <c r="X34" i="12"/>
  <c r="Q36" i="12" l="1"/>
  <c r="Q37" i="12" s="1"/>
  <c r="W37" i="12" s="1"/>
  <c r="X37" i="12" s="1"/>
  <c r="X35" i="12"/>
  <c r="W36" i="12" l="1"/>
  <c r="X36" i="12" s="1"/>
  <c r="X38" i="12" l="1"/>
  <c r="C49" i="11" s="1"/>
</calcChain>
</file>

<file path=xl/sharedStrings.xml><?xml version="1.0" encoding="utf-8"?>
<sst xmlns="http://schemas.openxmlformats.org/spreadsheetml/2006/main" count="6391" uniqueCount="514">
  <si>
    <t>Project Information</t>
  </si>
  <si>
    <t>Daily System/Facility Data</t>
  </si>
  <si>
    <t>With Project</t>
  </si>
  <si>
    <t>Year</t>
  </si>
  <si>
    <t>Annual VHT Savings</t>
  </si>
  <si>
    <t>Value of Delay Savings (2013 $, '000s)</t>
  </si>
  <si>
    <t>Name:</t>
  </si>
  <si>
    <t>Year Open to Traffic?</t>
  </si>
  <si>
    <t>ID Number:</t>
  </si>
  <si>
    <t>Project Life (see MOSER page A.8.9)</t>
  </si>
  <si>
    <t>New HOV?</t>
  </si>
  <si>
    <t>AND</t>
  </si>
  <si>
    <t>Total Cost (2015 $, '000s)</t>
  </si>
  <si>
    <t>Annual PHT Reduction (IDAS)</t>
  </si>
  <si>
    <t>Federal Funding Req. (2015 $, '000s)</t>
  </si>
  <si>
    <t>IDAS Vehicle Occupancy</t>
  </si>
  <si>
    <t>BCA Results</t>
  </si>
  <si>
    <t>Discounted Delay Benefits (2015 $, '000s)</t>
  </si>
  <si>
    <t>Delay B/C Ratio</t>
  </si>
  <si>
    <t>Assumptions</t>
  </si>
  <si>
    <t>Base Year</t>
  </si>
  <si>
    <t>Interim Calculations</t>
  </si>
  <si>
    <t>Discount Rate</t>
  </si>
  <si>
    <t>Annual VHT Reduction (Vehicles)</t>
  </si>
  <si>
    <t>Vehicle Occupancy</t>
  </si>
  <si>
    <t>Value of Travel Time (VoTT)</t>
  </si>
  <si>
    <t>Annual Days of Travel</t>
  </si>
  <si>
    <t>Control Values</t>
  </si>
  <si>
    <t>NO</t>
  </si>
  <si>
    <t>YES</t>
  </si>
  <si>
    <t>Emissions Reduction Estimates</t>
  </si>
  <si>
    <t>VOC Reduced (tonnes/year)</t>
  </si>
  <si>
    <t>Value of VOC Savings (2013 $, '000s)</t>
  </si>
  <si>
    <t>NOx Reduced (tonnes/yr)</t>
  </si>
  <si>
    <t>Value of NOx Savings (2013 $, '000s)</t>
  </si>
  <si>
    <t>Bike/Ped or LCI?</t>
  </si>
  <si>
    <t>VMT Reduced (Daily)</t>
  </si>
  <si>
    <t>OR</t>
  </si>
  <si>
    <t>VOC Emissions Reduced (metric tons/yr)</t>
  </si>
  <si>
    <t>NOx Emissions Reduced (metric tons/yr)</t>
  </si>
  <si>
    <t>Discounted Emissions Benefits (2015 $, '000s)</t>
  </si>
  <si>
    <t>Annualized Cost Effectiveness (2015 $, '000s/tonne)</t>
  </si>
  <si>
    <t>VOC Emissions Factor (g/mi)</t>
  </si>
  <si>
    <t>Nox Emissions Factor (g/mi)</t>
  </si>
  <si>
    <t>Volatile Organic Compounds (VOCs), $ / metric ton (2015 $)</t>
  </si>
  <si>
    <t>Nitrogen oxides (NOx), $ / metric ton (2015 $)</t>
  </si>
  <si>
    <t>INPUTS</t>
  </si>
  <si>
    <t>Data entered by the sponsors</t>
  </si>
  <si>
    <t>Project Title:</t>
  </si>
  <si>
    <t>Dairy Ashford</t>
  </si>
  <si>
    <t>Calculated based on data entered by sponsor</t>
  </si>
  <si>
    <t>County</t>
  </si>
  <si>
    <t>Harris</t>
  </si>
  <si>
    <t>Benefits calculated by the template</t>
  </si>
  <si>
    <t>Facility Type</t>
  </si>
  <si>
    <t>Non-Freeway</t>
  </si>
  <si>
    <t>Street Name:</t>
  </si>
  <si>
    <t>Limits (From)</t>
  </si>
  <si>
    <t>Memorial</t>
  </si>
  <si>
    <t>*Preventable Crashes are those with defined characteristics that may be affected by the proposed improvement.</t>
  </si>
  <si>
    <t>Limits (To)</t>
  </si>
  <si>
    <t>Briar Forrest</t>
  </si>
  <si>
    <t>Length (in Miles)</t>
  </si>
  <si>
    <t>Application ID Number (Auto generated in CFP online form):</t>
  </si>
  <si>
    <t>MPOID Number (RTP ID)/CSJ Number (TxDOT ID#):</t>
  </si>
  <si>
    <t>Proposed Improvements Information</t>
  </si>
  <si>
    <r>
      <t xml:space="preserve">Year Open to Traffic? </t>
    </r>
    <r>
      <rPr>
        <b/>
        <sz val="11"/>
        <color theme="1"/>
        <rFont val="Calibri"/>
        <family val="2"/>
        <scheme val="minor"/>
      </rPr>
      <t>(Must be &gt;=2025)</t>
    </r>
  </si>
  <si>
    <t>Safety Improvement Type 1</t>
  </si>
  <si>
    <t>Resurfacing</t>
  </si>
  <si>
    <t>Work Type Code</t>
  </si>
  <si>
    <t>Preventable Crash Type</t>
  </si>
  <si>
    <t>Appropriate Crash Reduction Factor (%):</t>
  </si>
  <si>
    <t>Service Life (years):</t>
  </si>
  <si>
    <t>Safety Improvement Type 2</t>
  </si>
  <si>
    <t>Install Raised Median</t>
  </si>
  <si>
    <t>Safety Improvement Type 3</t>
  </si>
  <si>
    <t>Install Edge Marking</t>
  </si>
  <si>
    <t>Bike/Ped Improvement Type</t>
  </si>
  <si>
    <t>Install Pedestrian Crosswalk</t>
  </si>
  <si>
    <t>Daily Travel Demand</t>
  </si>
  <si>
    <t xml:space="preserve">2022 Traffic Volume </t>
  </si>
  <si>
    <t>Estimated traffic volume in year Open to Traffic</t>
  </si>
  <si>
    <t>2022 Potential Daily Walk/Bile Commuters</t>
  </si>
  <si>
    <t>Potential Daily Walk/Bike Commuters in Year Open to Traffic</t>
  </si>
  <si>
    <t>OUTPUTS</t>
  </si>
  <si>
    <t>Benefit Results</t>
  </si>
  <si>
    <t>Discounted Safety Benefits @ 7% (2021 $, '000s)</t>
  </si>
  <si>
    <t>HGAC regional crash data provided by HGAC upon request</t>
  </si>
  <si>
    <t>NON-INTERSECTION RELATED CRASHES</t>
  </si>
  <si>
    <t>INTERSECTION RELATED CRASHES</t>
  </si>
  <si>
    <t>All CRASHES</t>
  </si>
  <si>
    <t>2019 -2023 Crash Data</t>
  </si>
  <si>
    <t>Non-Intersection Related Crashes (5 Years)</t>
  </si>
  <si>
    <t>Average Annual  Crashes</t>
  </si>
  <si>
    <t xml:space="preserve">Crash Rate per 100 million VMT </t>
  </si>
  <si>
    <t xml:space="preserve">Average  Annual  Crash Forecast without Improvement in Year Open to Traffic </t>
  </si>
  <si>
    <t>Intersection Crashes (5 Years)</t>
  </si>
  <si>
    <t>All Crashes (5 Years)</t>
  </si>
  <si>
    <t xml:space="preserve">Average  Annual  Crash Forecast without improvement in Year Open to Traffic </t>
  </si>
  <si>
    <t>Non-Intersection crashes</t>
  </si>
  <si>
    <t xml:space="preserve">Intersection crashes </t>
  </si>
  <si>
    <t>Motorist Fatalities</t>
  </si>
  <si>
    <t>NON INTERSECTION</t>
  </si>
  <si>
    <t>INTERSECTION</t>
  </si>
  <si>
    <t>Motorist Serious Injuries</t>
  </si>
  <si>
    <t>DRIVEWAY ACCESS</t>
  </si>
  <si>
    <t>INTERSECTION RELATED</t>
  </si>
  <si>
    <t>Motorist Non-Serious Injuries</t>
  </si>
  <si>
    <t>Motorist Possible Injuries</t>
  </si>
  <si>
    <t>Estimated Crashes Without Improvement in Year Open to Traffic</t>
  </si>
  <si>
    <t>Total Fatalities</t>
  </si>
  <si>
    <t>Total Serious Injuries</t>
  </si>
  <si>
    <t>Total Non-Serious Injuries</t>
  </si>
  <si>
    <t>Total Possible Injuries</t>
  </si>
  <si>
    <t>Non-Intersection related (Roadway Related)</t>
  </si>
  <si>
    <t>Intersection Related</t>
  </si>
  <si>
    <t>Blank</t>
  </si>
  <si>
    <t>Total</t>
  </si>
  <si>
    <t>Ped/Bike rate based on potential 1 million ped/bike commuters*</t>
  </si>
  <si>
    <t>Crash Rate per 1 million VMT (Ped/Bike rate based on potential ped/bike commuters*)</t>
  </si>
  <si>
    <t>Pedestrian Fatalities</t>
  </si>
  <si>
    <t>Na</t>
  </si>
  <si>
    <t>Pedestrian Serious Injuries</t>
  </si>
  <si>
    <t>Pedestrian Non-Serious Injuries</t>
  </si>
  <si>
    <t>Pedestrian Possible Injuries</t>
  </si>
  <si>
    <t>Cyclist Fatalities</t>
  </si>
  <si>
    <t>Cyclist Serious Injuries</t>
  </si>
  <si>
    <t>Cyclist Non-Serious Injuries</t>
  </si>
  <si>
    <t>Cyclist possible Injuries</t>
  </si>
  <si>
    <t>Total Bike/Ped Fatalities</t>
  </si>
  <si>
    <t>Total Bike/Ped Serious Injuries</t>
  </si>
  <si>
    <t>Total Injury</t>
  </si>
  <si>
    <t>Total Bike/Ped Non-Serious Injuries</t>
  </si>
  <si>
    <t>Total Bike/Ped Possible Injuries</t>
  </si>
  <si>
    <t>Pedestrian, Cyclist</t>
  </si>
  <si>
    <t>Discounted Savings for service life</t>
  </si>
  <si>
    <t>Volume</t>
  </si>
  <si>
    <t>Potential Daily Walk/Bike Commuters</t>
  </si>
  <si>
    <t>Demand Growth</t>
  </si>
  <si>
    <t>Benefit Cap</t>
  </si>
  <si>
    <t>Potential Value of Crash Savings1</t>
  </si>
  <si>
    <t>Use in Analysis1</t>
  </si>
  <si>
    <t>Potential Value of Crash Savings2</t>
  </si>
  <si>
    <t>Use in Analysis2</t>
  </si>
  <si>
    <t>Potential Value of Crash Savings3</t>
  </si>
  <si>
    <t>Use in Analysis3</t>
  </si>
  <si>
    <t>Potential Value of B/P Crash Savings</t>
  </si>
  <si>
    <t>Use in B/P Analysis</t>
  </si>
  <si>
    <t>Value of Crash Savings ($000')</t>
  </si>
  <si>
    <t>Savings Discounted @ 3.1% ($ 000')</t>
  </si>
  <si>
    <t>Travel Demand</t>
  </si>
  <si>
    <t>Year Open to Traffic</t>
  </si>
  <si>
    <t>Facility V/C Ratio</t>
  </si>
  <si>
    <t>Estimated Traffic Volume</t>
  </si>
  <si>
    <t>n/a</t>
  </si>
  <si>
    <t>Years to include in BCA Analysis 1</t>
  </si>
  <si>
    <t xml:space="preserve">Estimated Daily VMT </t>
  </si>
  <si>
    <t>Years to include in BCA Analysis 2</t>
  </si>
  <si>
    <t xml:space="preserve">Annual VMT </t>
  </si>
  <si>
    <t>Years to include in BCA Analysis 3</t>
  </si>
  <si>
    <t xml:space="preserve">Years to include in B/P Analysis </t>
  </si>
  <si>
    <t>Estimated Preventable Crashes Without Improvements Types 1, 2, and 3  in Year Open to Traffic</t>
  </si>
  <si>
    <t>Estimated Preventable Crashes reduced  in Year Open to Traffic with Improvement Type 1</t>
  </si>
  <si>
    <t>Number of Days Considered in a Year</t>
  </si>
  <si>
    <t>Growth Rates</t>
  </si>
  <si>
    <t>2021-2030 Demand Growth</t>
  </si>
  <si>
    <t>2030-2045 Demand Growth</t>
  </si>
  <si>
    <t>Estimated Preventable Crashes Without Improvements Types 2, and 3  in Year Open to Traffic</t>
  </si>
  <si>
    <t>Estimated Preventable Crashes reduced  in Year Open to Traffic with Improvement Type 2</t>
  </si>
  <si>
    <t>KABCO Level</t>
  </si>
  <si>
    <t>Monetized value ($2022)</t>
  </si>
  <si>
    <t>K - Killed (Fatal)</t>
  </si>
  <si>
    <t xml:space="preserve">A - Incapacitating (Serious) </t>
  </si>
  <si>
    <r>
      <t>B - Non</t>
    </r>
    <r>
      <rPr>
        <sz val="11"/>
        <color rgb="FFFF0000"/>
        <rFont val="Calibri"/>
        <family val="2"/>
        <scheme val="minor"/>
      </rPr>
      <t>-</t>
    </r>
    <r>
      <rPr>
        <sz val="11"/>
        <color theme="1"/>
        <rFont val="Calibri"/>
        <family val="2"/>
        <scheme val="minor"/>
      </rPr>
      <t>Incapacitating (Non-Serious)</t>
    </r>
  </si>
  <si>
    <t>C -  Possible Injury</t>
  </si>
  <si>
    <t>0 - No Injury</t>
  </si>
  <si>
    <t>Estimated Preventable Crashes Without Improvements Type 3  in Year Open to Traffic</t>
  </si>
  <si>
    <t>Estimated Preventable Crashes reduced  in Year Open to Traffic with Improvement Type 3</t>
  </si>
  <si>
    <t>Estimated Preventable Bike/Ped Crashes Without Bike/Ped Improvements in Year Open to Traffic</t>
  </si>
  <si>
    <t>Estimated Preventable Bike/Ped Crashes reduced  in Year Open to Traffic with Improvement Type 3</t>
  </si>
  <si>
    <t>Crash Savings in Year Open to Traffic</t>
  </si>
  <si>
    <t>Potential Crash Savings in Year Open to Traffic  with Improvement Type1</t>
  </si>
  <si>
    <t>Potential Crash Savings in Year Open to Traffic  with Improvement Type2</t>
  </si>
  <si>
    <t>Potential Crash Savings in Year Open to Traffic  with Improvement Type3</t>
  </si>
  <si>
    <t>Potential Crash Savings in Year Open to Traffic  with Bike/Ped Improvements</t>
  </si>
  <si>
    <t>Potential Total Crash Savings in Year Open to Traffic  with Improvements</t>
  </si>
  <si>
    <t>2021 Call For Projects - Benefit-Cost Analysis Assumptions*</t>
  </si>
  <si>
    <t>Common Values:</t>
  </si>
  <si>
    <t>County Name</t>
  </si>
  <si>
    <t>Highway Type</t>
  </si>
  <si>
    <t>Base Year for Analysis</t>
  </si>
  <si>
    <t>Brazoria</t>
  </si>
  <si>
    <t>Freeway</t>
  </si>
  <si>
    <t>Real Discount Rate</t>
  </si>
  <si>
    <t>Chambers</t>
  </si>
  <si>
    <t>Fort Bend</t>
  </si>
  <si>
    <t>Galveston</t>
  </si>
  <si>
    <t>Safety Analysis Values:</t>
  </si>
  <si>
    <t>Liberty</t>
  </si>
  <si>
    <t>Value of Statistical Life (VSL), 2022 $</t>
  </si>
  <si>
    <t>Montgomery</t>
  </si>
  <si>
    <t>Values for non-fatal injuries provided in "Value of Statistical Life" tab.</t>
  </si>
  <si>
    <t>Waller</t>
  </si>
  <si>
    <t>Delay Analysis Values:</t>
  </si>
  <si>
    <t>Value of Travel Time (VoTT), 2018 $</t>
  </si>
  <si>
    <t>Real wage growth rate</t>
  </si>
  <si>
    <t>Emissions Reduction Values:</t>
  </si>
  <si>
    <t>Volatile Organic Compounds (VOCs), $ / metric ton (2018 $)</t>
  </si>
  <si>
    <t>Nitrogen oxides (NOx), $ / metric ton (2018 $)</t>
  </si>
  <si>
    <r>
      <t xml:space="preserve">VOC emissions factor, </t>
    </r>
    <r>
      <rPr>
        <b/>
        <u/>
        <sz val="11"/>
        <color theme="1"/>
        <rFont val="Calibri"/>
        <family val="2"/>
        <scheme val="minor"/>
      </rPr>
      <t>Ped/Bike Projects Only</t>
    </r>
    <r>
      <rPr>
        <sz val="11"/>
        <color theme="1"/>
        <rFont val="Calibri"/>
        <family val="2"/>
        <scheme val="minor"/>
      </rPr>
      <t xml:space="preserve"> (g/VMT)</t>
    </r>
  </si>
  <si>
    <r>
      <t xml:space="preserve">NOx emissions factor, </t>
    </r>
    <r>
      <rPr>
        <b/>
        <u/>
        <sz val="11"/>
        <color theme="1"/>
        <rFont val="Calibri"/>
        <family val="2"/>
        <scheme val="minor"/>
      </rPr>
      <t>Ped/Bike Projects Only</t>
    </r>
    <r>
      <rPr>
        <sz val="11"/>
        <color theme="1"/>
        <rFont val="Calibri"/>
        <family val="2"/>
        <scheme val="minor"/>
      </rPr>
      <t xml:space="preserve"> (g/VMT)</t>
    </r>
  </si>
  <si>
    <t>Applicable Project Life</t>
  </si>
  <si>
    <t>See Texas Guide to Accepted Mobile Source Emission Reduction Strategies (MOSER), page A.8.9</t>
  </si>
  <si>
    <t>Value of Injuries, US DOT BCA Guidance for Discretionary Grant Programs (2023)</t>
  </si>
  <si>
    <t>No Injury</t>
  </si>
  <si>
    <t>C</t>
  </si>
  <si>
    <t>Possible Injury</t>
  </si>
  <si>
    <t>B</t>
  </si>
  <si>
    <t xml:space="preserve">Non-incapacitating (Non-Serious) </t>
  </si>
  <si>
    <t>A</t>
  </si>
  <si>
    <t>Incapacitating (Serious)</t>
  </si>
  <si>
    <t>K</t>
  </si>
  <si>
    <t>Killed (Fatality)</t>
  </si>
  <si>
    <t>https://www.transportation.gov/sites/dot.gov/files/2023-01/Benefit%20Cost%20Analysis%20Guidance%202023%20Update.pdf</t>
  </si>
  <si>
    <t>Source: https://ftp.txdot.gov/pub/txdot-info/trf/hsip/hsip-guidance-june-2020.pdf</t>
  </si>
  <si>
    <t>Work Type (TxDOT HSIP)</t>
  </si>
  <si>
    <t>Work Code</t>
  </si>
  <si>
    <t>Crash Reduction Factor</t>
  </si>
  <si>
    <t>Service life</t>
  </si>
  <si>
    <t>Preventable Crash types</t>
  </si>
  <si>
    <t>Preventable Crash types (HSIP guidelines)</t>
  </si>
  <si>
    <t>Install Warning/Guide Signs</t>
  </si>
  <si>
    <t>Vehicle Movements/Manner of Collision, Roadway
Related</t>
  </si>
  <si>
    <t>Install Intersection Flashing Beacon</t>
  </si>
  <si>
    <t xml:space="preserve">Intersection Related </t>
  </si>
  <si>
    <t>Install Traffic Signal</t>
  </si>
  <si>
    <t>Intersection Related, Vehicle Movements/Manner of
Collision</t>
  </si>
  <si>
    <t>Improve Traffic Signals</t>
  </si>
  <si>
    <t>Install Pedestrian Signal</t>
  </si>
  <si>
    <t>Interconnect Signals</t>
  </si>
  <si>
    <t>All</t>
  </si>
  <si>
    <t>Install Delineators</t>
  </si>
  <si>
    <t>Roadway Related, Dark light condition</t>
  </si>
  <si>
    <t>Install School Zones</t>
  </si>
  <si>
    <t>Replace Flashing Beacon with a Traffic Signal</t>
  </si>
  <si>
    <t>Intersection Related, Vehicle Movements/Manner of
Collision, Pedestrian, Cyclist</t>
  </si>
  <si>
    <t>Install Overhead Signs</t>
  </si>
  <si>
    <t>Vehicle Movements/Manner of Collision</t>
  </si>
  <si>
    <t>Install Advance Warning Signals (Intersection — Existing Signal, Flashing Beacon or STOP Signs)</t>
  </si>
  <si>
    <t>Install Advance Warning Signals (Curve)</t>
  </si>
  <si>
    <t>Roadway Related, Vehicle Movements/Manner of Collision</t>
  </si>
  <si>
    <t>Install Advance Warning Signals and Signs (Intersection — Existing Signal, Flashing Beacon or STOP Signs)</t>
  </si>
  <si>
    <t>Install Advance Warning Signals and Signs (Curve)</t>
  </si>
  <si>
    <t>Roadway Related,  Vehicle Movements/Manner of Collision</t>
  </si>
  <si>
    <t>Install Advance Warning Signs (Intersection — Existing Warning Signals</t>
  </si>
  <si>
    <t>Install Advance Warning Signs (Curve — Existing Warning Signals)</t>
  </si>
  <si>
    <t>Improve Pedestrian Signals</t>
  </si>
  <si>
    <t>Install Advance Warning Signals and Signs</t>
  </si>
  <si>
    <t>Improve School Zone</t>
  </si>
  <si>
    <t xml:space="preserve">Install LED Flashing Chevrons (Curve) </t>
  </si>
  <si>
    <t>Install Chevrons</t>
  </si>
  <si>
    <t>Install Flashing Yellow Arrow</t>
  </si>
  <si>
    <t xml:space="preserve">Intersection Related, Vehicle Movements/Manner of
Collision, </t>
  </si>
  <si>
    <t xml:space="preserve">Install Surface Mounted Delineators on Centerline </t>
  </si>
  <si>
    <t>Install Median Barrier</t>
  </si>
  <si>
    <t>Part of Roadway No. 1 Involved, (Vehicle Movements/Manner
of Collision</t>
  </si>
  <si>
    <t>Flatten Side Slope</t>
  </si>
  <si>
    <t>Roadway Related</t>
  </si>
  <si>
    <t>Safety Treat Fixed Objects</t>
  </si>
  <si>
    <t>Install Impact Attenuation System</t>
  </si>
  <si>
    <t>Object Struck</t>
  </si>
  <si>
    <t>Widen Bridge</t>
  </si>
  <si>
    <t>Surface Condition</t>
  </si>
  <si>
    <t>Safety Lighting</t>
  </si>
  <si>
    <t>Light Condition - Dark</t>
  </si>
  <si>
    <t>Safety Lighting at Intersection</t>
  </si>
  <si>
    <t>Light Condition - Dark, Intersection Related</t>
  </si>
  <si>
    <t>High Friction Surface Treatment (Curve)</t>
  </si>
  <si>
    <t xml:space="preserve">Roadway Related or Surface Condition </t>
  </si>
  <si>
    <t>High Friction Surface Treatment (Intersection)</t>
  </si>
  <si>
    <t>Install Pavement Markings</t>
  </si>
  <si>
    <t>Roadway Related/Off road</t>
  </si>
  <si>
    <t>Install Centerline Striping</t>
  </si>
  <si>
    <t>Install Sidewalks</t>
  </si>
  <si>
    <t>Widen Lane(s)</t>
  </si>
  <si>
    <t xml:space="preserve">Roadway Related, Vehicle Movements/Manner of Collision </t>
  </si>
  <si>
    <t>Widen Paved Shoulder (to 5 ft. or less)</t>
  </si>
  <si>
    <t>Construct Paved Shoulders (1 – 4 ft.)</t>
  </si>
  <si>
    <t>Improve Vertical Alignment</t>
  </si>
  <si>
    <t>Improve Horizontal Alignment</t>
  </si>
  <si>
    <t>Increase Superelevation</t>
  </si>
  <si>
    <t>Construct Turn Arounds</t>
  </si>
  <si>
    <t>Intersection Related, Vehicle Movements/Manner of Collision</t>
  </si>
  <si>
    <t>Grade Separation</t>
  </si>
  <si>
    <t>Construct Interchange</t>
  </si>
  <si>
    <t>Close Crossover</t>
  </si>
  <si>
    <t>Part of Roadway Involved, Vehicle Movements/Manner of Collision</t>
  </si>
  <si>
    <t>Add Through Lane</t>
  </si>
  <si>
    <t>Install Continuous Turn Lane</t>
  </si>
  <si>
    <t>Vehicle Movements/Manner of Collision (Roadway related)</t>
  </si>
  <si>
    <t>Add Left Turn Lane</t>
  </si>
  <si>
    <t>Vehicle Movements/Manner of Collision, Intersection Related</t>
  </si>
  <si>
    <t>Lengthen Left Turn Lane</t>
  </si>
  <si>
    <t>Add Right Turn Lane</t>
  </si>
  <si>
    <t>Lengthen Right Turn Lane</t>
  </si>
  <si>
    <t>Construct Pedestrian Over/Under Pass</t>
  </si>
  <si>
    <t>Convert to One-Way Frontage Roads</t>
  </si>
  <si>
    <t>Part of Roadway Involved</t>
  </si>
  <si>
    <t>Milled Edge line Rumble Strips</t>
  </si>
  <si>
    <t>Profile Edge line Markings</t>
  </si>
  <si>
    <t>Roadway Related, Vehicle Movements/Manner of Collision, Surface condition - wet, slush, ice, snow</t>
  </si>
  <si>
    <t xml:space="preserve">Raised Edge line Rumble Strips </t>
  </si>
  <si>
    <t>Widen Paved Shoulders (to &gt; 5 ft.)</t>
  </si>
  <si>
    <r>
      <t>Construct Paved Shoulders (</t>
    </r>
    <r>
      <rPr>
        <u/>
        <sz val="11"/>
        <color theme="1"/>
        <rFont val="Calibri"/>
        <family val="2"/>
        <scheme val="minor"/>
      </rPr>
      <t>&gt;</t>
    </r>
    <r>
      <rPr>
        <sz val="11"/>
        <color theme="1"/>
        <rFont val="Calibri"/>
        <family val="2"/>
        <scheme val="minor"/>
      </rPr>
      <t xml:space="preserve"> 5ft)</t>
    </r>
  </si>
  <si>
    <t>Convert 2-Lane Facility to 4-Lane Divided</t>
  </si>
  <si>
    <t>Install Passing Lanes on 2-Lane Road</t>
  </si>
  <si>
    <t>Provide Additional Paved Surface Width</t>
  </si>
  <si>
    <t>Milled Centerline Rumble Strips</t>
  </si>
  <si>
    <t>Profile Centerline Markings</t>
  </si>
  <si>
    <t>Raised Centerline Rumble Strips</t>
  </si>
  <si>
    <t>Transverse Rumble Strips</t>
  </si>
  <si>
    <t>Construct a Roundabout</t>
  </si>
  <si>
    <t>OBJECTID</t>
  </si>
  <si>
    <t>Crash_ID</t>
  </si>
  <si>
    <t>HBM ID</t>
  </si>
  <si>
    <t>CRASH DATE</t>
  </si>
  <si>
    <t>HOUR</t>
  </si>
  <si>
    <t>DAY OF WEEK</t>
  </si>
  <si>
    <t>ROAD SYSTEM</t>
  </si>
  <si>
    <t>STREET NAME</t>
  </si>
  <si>
    <t>Direction</t>
  </si>
  <si>
    <t>LATITUDE</t>
  </si>
  <si>
    <t>LONGITUDE</t>
  </si>
  <si>
    <t>WEATHER</t>
  </si>
  <si>
    <t>LIGHTING</t>
  </si>
  <si>
    <t>TRAFFIC CONTROL</t>
  </si>
  <si>
    <t>FIRST HARMFUL EVENT</t>
  </si>
  <si>
    <t>CRASH SEVERITY</t>
  </si>
  <si>
    <t>CRASH CONTRIBUTING FACTOR</t>
  </si>
  <si>
    <t>FATALITY</t>
  </si>
  <si>
    <t>SERIOUS INJURY</t>
  </si>
  <si>
    <t>NON-SERIOUS INJURY</t>
  </si>
  <si>
    <t>POSSIBLE INJURY</t>
  </si>
  <si>
    <t>TOTAL INJURY</t>
  </si>
  <si>
    <t>NO INJURY</t>
  </si>
  <si>
    <t>DIRECTION</t>
  </si>
  <si>
    <t>MOTORIST FATALITY</t>
  </si>
  <si>
    <t>MOTORIST SERIOUS INJURY</t>
  </si>
  <si>
    <t>MOTORIST NON-SERIOUS INJURY</t>
  </si>
  <si>
    <t>MOTORIST POSSIBLE INJURY</t>
  </si>
  <si>
    <t xml:space="preserve">MOTORIST NOT INJURED </t>
  </si>
  <si>
    <t>MOTORIST TOTAL INJURY</t>
  </si>
  <si>
    <t>MOTORIST UNKNOWN</t>
  </si>
  <si>
    <t>PEDESTRIAN FATALITY</t>
  </si>
  <si>
    <t>PEDESTRIAN SERIOUS INJURY</t>
  </si>
  <si>
    <t>PEDESTRIAN NON-SERIOUS INJURY</t>
  </si>
  <si>
    <t>PEDESTRAIN POSSIBLE INJURY</t>
  </si>
  <si>
    <t>PEDESTRIAN NOT INJURED</t>
  </si>
  <si>
    <t>PEDESTRIAN TOTAL INJURY</t>
  </si>
  <si>
    <t>PEDESTRIAN UNKNOWN</t>
  </si>
  <si>
    <t>CYCLIST FATALITY</t>
  </si>
  <si>
    <t>CYCLIST SERIOUS INJURY</t>
  </si>
  <si>
    <t>CYCLIST NON-SERIOUS INJURY</t>
  </si>
  <si>
    <t>CYCLIST POSSIBLE INJURY</t>
  </si>
  <si>
    <t>CYCLIST NOT INJURED</t>
  </si>
  <si>
    <t>CYCLIST TOTAL INJURY</t>
  </si>
  <si>
    <t>CYCLIST UNKNOWN</t>
  </si>
  <si>
    <t>COUNTY</t>
  </si>
  <si>
    <t>CO. COMMISSIONER PRECINCT</t>
  </si>
  <si>
    <t>PLACE</t>
  </si>
  <si>
    <t>CITY COUNCIL DISTRICT</t>
  </si>
  <si>
    <t>ZIP CODE</t>
  </si>
  <si>
    <t>TRACT</t>
  </si>
  <si>
    <t>In &amp; Unincorporated Area</t>
  </si>
  <si>
    <t>geo</t>
  </si>
  <si>
    <t>ID</t>
  </si>
  <si>
    <t>H3M_ID</t>
  </si>
  <si>
    <t>CMV</t>
  </si>
  <si>
    <t>TRANSIT</t>
  </si>
  <si>
    <t>SCHOOLBUS</t>
  </si>
  <si>
    <t>########</t>
  </si>
  <si>
    <t>TUE</t>
  </si>
  <si>
    <t>LOCAL ROAD/STREET (STREET, ROAD, AVE., BLVD., PL.,</t>
  </si>
  <si>
    <t>S DAIRY ASHFORD RD</t>
  </si>
  <si>
    <t>WEST</t>
  </si>
  <si>
    <t>CLEAR</t>
  </si>
  <si>
    <t>DAYLIGHT</t>
  </si>
  <si>
    <t>SIGNAL LIGHT WITH RED LIGHT RUNNING CAMERA</t>
  </si>
  <si>
    <t>MOTOR VEHICLE IN TRANSPORT</t>
  </si>
  <si>
    <t>NOT INJURED</t>
  </si>
  <si>
    <t>CHANGED LANE WHEN UNSAFE</t>
  </si>
  <si>
    <t>Harris - 3</t>
  </si>
  <si>
    <t>Houston</t>
  </si>
  <si>
    <t>Houston - District G</t>
  </si>
  <si>
    <t>Incorporated</t>
  </si>
  <si>
    <t>y</t>
  </si>
  <si>
    <t>No</t>
  </si>
  <si>
    <t>FRI</t>
  </si>
  <si>
    <t>NORTH</t>
  </si>
  <si>
    <t>RAIN</t>
  </si>
  <si>
    <t>DARK, LIGHTED</t>
  </si>
  <si>
    <t>SIGNAL LIGHT</t>
  </si>
  <si>
    <t>NON-INCAPACITATING INJURY</t>
  </si>
  <si>
    <t>FAILED TO CONTROL SPEED</t>
  </si>
  <si>
    <t>DAIRY ASHFORD RD</t>
  </si>
  <si>
    <t>CLOUDY</t>
  </si>
  <si>
    <t>STOP SIGN</t>
  </si>
  <si>
    <t>FAILED TO YIELD RIGHT OF WAY - STOP SIGN</t>
  </si>
  <si>
    <t>MEMORIAL DR</t>
  </si>
  <si>
    <t>UNKNOW</t>
  </si>
  <si>
    <t>DISREGARD STOP AND GO SIGNAL</t>
  </si>
  <si>
    <t>MON</t>
  </si>
  <si>
    <t>CENTER STRIPE/DIVIDER</t>
  </si>
  <si>
    <t>FAILED TO DRIVE IN SINGLE LANE</t>
  </si>
  <si>
    <t>WED</t>
  </si>
  <si>
    <t>SOUTH</t>
  </si>
  <si>
    <t>OTHER (EXPLAIN IN NARRATIVE)</t>
  </si>
  <si>
    <t>ILL (EXPLAIN IN NARRATIVE)</t>
  </si>
  <si>
    <t>NONE</t>
  </si>
  <si>
    <t>BRIAR FOREST DR</t>
  </si>
  <si>
    <t>INCAPACITATING INJURY</t>
  </si>
  <si>
    <t>THU</t>
  </si>
  <si>
    <t>EAST</t>
  </si>
  <si>
    <t>FAILED TO YIELD RIGHT OF WAY - TURN ON RED</t>
  </si>
  <si>
    <t>FAILED TO YIELD RIGHT OF WAY - OPEN INTERSECTION</t>
  </si>
  <si>
    <t>MARKED LANES</t>
  </si>
  <si>
    <t>SAT</t>
  </si>
  <si>
    <t>TURNED IMPROPERLY - WRONG LANE</t>
  </si>
  <si>
    <t>FAILED TO YIELD RIGHT OF WAY - PRIVATE DRIVE</t>
  </si>
  <si>
    <t>SUN</t>
  </si>
  <si>
    <t>PRIVATE ROAD</t>
  </si>
  <si>
    <t>PARKED CAR</t>
  </si>
  <si>
    <t>DISREGARD STOP SIGN OR LIGHT</t>
  </si>
  <si>
    <t>DRIVER INATTENTION</t>
  </si>
  <si>
    <t>BACKED WITHOUT SAFETY</t>
  </si>
  <si>
    <t>DARK, UNKNOWN LIGHTING</t>
  </si>
  <si>
    <t>FOLLOWED TOO CLOSELY</t>
  </si>
  <si>
    <t>Transit Involved</t>
  </si>
  <si>
    <t>FLEEING OR EVADING POLICE</t>
  </si>
  <si>
    <t>DUSK</t>
  </si>
  <si>
    <t>FAILED TO PASS TO LEFT SAFELY</t>
  </si>
  <si>
    <t>FIXED OBJECT</t>
  </si>
  <si>
    <t>SOUTHEAST</t>
  </si>
  <si>
    <t>DAIRY ASHFORD ST</t>
  </si>
  <si>
    <t>FAILED TO YIELD RIGHT OF WAY - TURNING LEFT</t>
  </si>
  <si>
    <t>FLAGMAN</t>
  </si>
  <si>
    <t>UNKNOWN</t>
  </si>
  <si>
    <t>FAILED TO PASS TO RIGHT SAFELY</t>
  </si>
  <si>
    <t>FAULTY EVASIVE ACTION</t>
  </si>
  <si>
    <t>DISTRACTION IN VEHICLE</t>
  </si>
  <si>
    <t>DARK, NOT LIGHTED</t>
  </si>
  <si>
    <t>BRAMBLEWOOD DR</t>
  </si>
  <si>
    <t>BRIAR PATCH DR</t>
  </si>
  <si>
    <t>TURNED IMPROPERLY - WIDE RIGHT</t>
  </si>
  <si>
    <t>DAWN</t>
  </si>
  <si>
    <t>CELL/MOBILE DEVICE USE - OTHER</t>
  </si>
  <si>
    <t>INOPERATIVE (EXPLAIN IN NARRATIVE)</t>
  </si>
  <si>
    <t>CROSSWALK</t>
  </si>
  <si>
    <t>PEDALCYCLIST</t>
  </si>
  <si>
    <t>NOT APPLICABLE</t>
  </si>
  <si>
    <t>CMV Involved</t>
  </si>
  <si>
    <t>School Bus Caused</t>
  </si>
  <si>
    <t>ASHFORD PKWY</t>
  </si>
  <si>
    <t>YIELD SIGN</t>
  </si>
  <si>
    <t>OVERTAKE AND PASS INSUFFICIENT CLEARANCE</t>
  </si>
  <si>
    <t>School Bus Involved</t>
  </si>
  <si>
    <t>TURNED WHEN UNSAFE</t>
  </si>
  <si>
    <t>WARNING SIGN</t>
  </si>
  <si>
    <t>S DAIRY ASHFORD ST</t>
  </si>
  <si>
    <t>FAILED TO SIGNAL OR GAVE WRONG SIGNAL</t>
  </si>
  <si>
    <t>DISABLED IN TRAFFIC LANE</t>
  </si>
  <si>
    <t>NORTHEAST</t>
  </si>
  <si>
    <t>UNDER INFLUENCE - ALCOHOL</t>
  </si>
  <si>
    <t>PEDESTRIAN</t>
  </si>
  <si>
    <t>FAILED TO YIELD RIGHT OF WAY - TO PEDESTRIAN</t>
  </si>
  <si>
    <t>COUNTY ROAD</t>
  </si>
  <si>
    <t>CELL/MOBILE DEVICE USE - TEXTING</t>
  </si>
  <si>
    <t>UNSAFE SPEED</t>
  </si>
  <si>
    <t>FAILED TO YIELD RIGHT OF WAY - EMERGENCY VEHICLE</t>
  </si>
  <si>
    <t>GOAR RD</t>
  </si>
  <si>
    <t>CAROLCREST DR</t>
  </si>
  <si>
    <t>OVERTURNED</t>
  </si>
  <si>
    <t>CMV Caused</t>
  </si>
  <si>
    <t>RECREATIONAL ROAD</t>
  </si>
  <si>
    <t>HAD BEEN DRINKING</t>
  </si>
  <si>
    <t>P_auto</t>
  </si>
  <si>
    <t>P_Bicycle</t>
  </si>
  <si>
    <t>P_Walk</t>
  </si>
  <si>
    <t>Walk_VMT_Reduction</t>
  </si>
  <si>
    <t>Bike_VMT_Reduction</t>
  </si>
  <si>
    <t>Total_VMT_Reduction</t>
  </si>
  <si>
    <t>Shape_Length</t>
  </si>
  <si>
    <t>Shape_Area</t>
  </si>
  <si>
    <t>Total_auto</t>
  </si>
  <si>
    <t>Total_Bicycle</t>
  </si>
  <si>
    <t>Total_Walk</t>
  </si>
  <si>
    <t>Total_4mile</t>
  </si>
  <si>
    <t>Total_3mile</t>
  </si>
  <si>
    <t>Total_2mile</t>
  </si>
  <si>
    <t>Total_1mile</t>
  </si>
  <si>
    <t>Total_05mile</t>
  </si>
  <si>
    <t>Walk_Potential_Person</t>
  </si>
  <si>
    <t>bike_Potential_Person</t>
  </si>
  <si>
    <t>Walk_Mode_Shift_Person</t>
  </si>
  <si>
    <t>Bike_Mode_Shift_Person</t>
  </si>
  <si>
    <t>Walk_Potential_Trip</t>
  </si>
  <si>
    <t>bike_Potential_Trip</t>
  </si>
  <si>
    <t>Walk_Mode_Shift_Trip</t>
  </si>
  <si>
    <t>Bike_Mode_Shift_Trip</t>
  </si>
  <si>
    <t>Growth Rate</t>
  </si>
  <si>
    <t>2023-2030</t>
  </si>
  <si>
    <t>2030-2045</t>
  </si>
  <si>
    <t>2021 AADT</t>
  </si>
  <si>
    <t>AADT in Year Open to Traffic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</si>
</sst>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8" formatCode="&quot;$&quot;#,##0.00_);[Red]\(&quot;$&quot;#,##0.00\)"/>
    <numFmt numFmtId="44" formatCode="_(&quot;$&quot;* #,##0.00_);_(&quot;$&quot;* \(#,##0.00\);_(&quot;$&quot;* &quot;-&quot;??_);_(@_)"/>
    <numFmt numFmtId="164" formatCode="&quot;$&quot;#,##0.00"/>
    <numFmt numFmtId="165" formatCode="&quot;$&quot;#,##0"/>
    <numFmt numFmtId="166" formatCode="0.000"/>
    <numFmt numFmtId="167" formatCode="0.000000"/>
    <numFmt numFmtId="168" formatCode="#,##0.000000"/>
    <numFmt numFmtId="169" formatCode="0.0%"/>
    <numFmt numFmtId="170" formatCode="0.000%"/>
    <numFmt numFmtId="171" formatCode="0.00000"/>
    <numFmt numFmtId="172" formatCode="0.0"/>
    <numFmt numFmtId="173" formatCode="0.0000"/>
    <numFmt numFmtId="174" formatCode="#,##0.0000"/>
    <numFmt numFmtId="175" formatCode="#,##0.000"/>
    <numFmt numFmtId="176" formatCode="#,##0.00000"/>
  </numFmts>
  <fonts count="24">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i/>
      <sz val="11"/>
      <color theme="1"/>
      <name val="Calibri"/>
      <family val="2"/>
      <scheme val="minor"/>
    </font>
    <font>
      <u/>
      <sz val="11"/>
      <color theme="1"/>
      <name val="Calibri"/>
      <family val="2"/>
      <scheme val="minor"/>
    </font>
    <font>
      <b/>
      <u/>
      <sz val="11"/>
      <color theme="1"/>
      <name val="Calibri"/>
      <family val="2"/>
      <scheme val="minor"/>
    </font>
    <font>
      <i/>
      <sz val="11"/>
      <color theme="1"/>
      <name val="Calibri"/>
      <family val="2"/>
      <scheme val="minor"/>
    </font>
    <font>
      <i/>
      <sz val="11"/>
      <color theme="0"/>
      <name val="Calibri"/>
      <family val="2"/>
      <scheme val="minor"/>
    </font>
    <font>
      <u/>
      <sz val="11"/>
      <color theme="10"/>
      <name val="Calibri"/>
      <family val="2"/>
    </font>
    <font>
      <b/>
      <u/>
      <sz val="11"/>
      <color theme="0"/>
      <name val="Calibri"/>
      <family val="2"/>
      <scheme val="minor"/>
    </font>
    <font>
      <b/>
      <sz val="14"/>
      <color theme="1"/>
      <name val="Calibri"/>
      <family val="2"/>
      <scheme val="minor"/>
    </font>
    <font>
      <sz val="11"/>
      <name val="Calibri"/>
      <family val="2"/>
      <scheme val="minor"/>
    </font>
    <font>
      <sz val="11"/>
      <color theme="0"/>
      <name val="Calibri"/>
      <family val="2"/>
      <scheme val="minor"/>
    </font>
    <font>
      <sz val="12"/>
      <color theme="1"/>
      <name val="Times New Roman"/>
      <family val="1"/>
    </font>
    <font>
      <sz val="10"/>
      <color rgb="FF000000"/>
      <name val="Arial"/>
      <family val="2"/>
    </font>
    <font>
      <b/>
      <sz val="11"/>
      <name val="Calibri"/>
      <family val="2"/>
      <scheme val="minor"/>
    </font>
    <font>
      <sz val="11"/>
      <color rgb="FF0070C0"/>
      <name val="Calibri"/>
      <family val="2"/>
      <scheme val="minor"/>
    </font>
    <font>
      <sz val="11"/>
      <color rgb="FFFF0000"/>
      <name val="Calibri"/>
      <family val="2"/>
      <scheme val="minor"/>
    </font>
    <font>
      <sz val="12"/>
      <name val="Times New Roman"/>
      <family val="1"/>
    </font>
    <font>
      <b/>
      <sz val="20"/>
      <color rgb="FFFF0000"/>
      <name val="Calibri"/>
      <family val="2"/>
      <scheme val="minor"/>
    </font>
    <font>
      <b/>
      <sz val="11"/>
      <color rgb="FFFF0000"/>
      <name val="Calibri"/>
      <family val="2"/>
      <scheme val="minor"/>
    </font>
    <font>
      <sz val="11"/>
      <color rgb="FF000000"/>
      <name val="Calibri"/>
      <family val="2"/>
      <scheme val="minor"/>
    </font>
    <font>
      <sz val="11"/>
      <color rgb="FF000000"/>
      <name val="Calibri"/>
      <family val="2"/>
    </font>
  </fonts>
  <fills count="17">
    <fill>
      <patternFill patternType="none"/>
    </fill>
    <fill>
      <patternFill patternType="gray125"/>
    </fill>
    <fill>
      <patternFill patternType="solid">
        <fgColor theme="4" tint="0.79998168889431442"/>
        <bgColor indexed="64"/>
      </patternFill>
    </fill>
    <fill>
      <patternFill patternType="solid">
        <fgColor theme="4"/>
        <bgColor indexed="64"/>
      </patternFill>
    </fill>
    <fill>
      <patternFill patternType="solid">
        <fgColor theme="5" tint="0.79998168889431442"/>
        <bgColor indexed="64"/>
      </patternFill>
    </fill>
    <fill>
      <patternFill patternType="solid">
        <fgColor theme="5"/>
        <bgColor indexed="64"/>
      </patternFill>
    </fill>
    <fill>
      <patternFill patternType="solid">
        <fgColor theme="0" tint="-4.9989318521683403E-2"/>
        <bgColor theme="8" tint="0.79998168889431442"/>
      </patternFill>
    </fill>
    <fill>
      <patternFill patternType="solid">
        <fgColor theme="0" tint="-0.14999847407452621"/>
        <bgColor theme="8" tint="0.79998168889431442"/>
      </patternFill>
    </fill>
    <fill>
      <patternFill patternType="solid">
        <fgColor theme="0" tint="-0.14999847407452621"/>
        <bgColor theme="8" tint="0.59999389629810485"/>
      </patternFill>
    </fill>
    <fill>
      <patternFill patternType="solid">
        <fgColor theme="1" tint="0.3499862666707357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59999389629810485"/>
        <bgColor theme="8" tint="0.79998168889431442"/>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249977111117893"/>
        <bgColor indexed="64"/>
      </patternFill>
    </fill>
    <fill>
      <patternFill patternType="solid">
        <fgColor theme="0" tint="-0.49998474074526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alignment vertical="top"/>
      <protection locked="0"/>
    </xf>
    <xf numFmtId="0" fontId="15" fillId="0" borderId="0"/>
  </cellStyleXfs>
  <cellXfs count="232">
    <xf numFmtId="0" fontId="0" fillId="0" borderId="0" xfId="0"/>
    <xf numFmtId="0" fontId="3" fillId="0" borderId="0" xfId="0" applyFont="1"/>
    <xf numFmtId="0" fontId="4" fillId="0" borderId="0" xfId="0" applyFont="1"/>
    <xf numFmtId="0" fontId="0" fillId="2" borderId="1" xfId="0" applyFill="1" applyBorder="1"/>
    <xf numFmtId="0" fontId="0" fillId="2" borderId="1" xfId="0" applyFill="1" applyBorder="1" applyProtection="1">
      <protection locked="0"/>
    </xf>
    <xf numFmtId="0" fontId="2" fillId="3" borderId="1" xfId="0" applyFont="1" applyFill="1" applyBorder="1"/>
    <xf numFmtId="0" fontId="8" fillId="3" borderId="1" xfId="0" applyFont="1" applyFill="1" applyBorder="1" applyAlignment="1">
      <alignment horizontal="center"/>
    </xf>
    <xf numFmtId="3" fontId="0" fillId="2" borderId="1" xfId="0" applyNumberFormat="1" applyFill="1" applyBorder="1" applyProtection="1">
      <protection locked="0"/>
    </xf>
    <xf numFmtId="0" fontId="0" fillId="4" borderId="1" xfId="0" applyFill="1" applyBorder="1"/>
    <xf numFmtId="0" fontId="2" fillId="5" borderId="1" xfId="0" applyFont="1" applyFill="1" applyBorder="1"/>
    <xf numFmtId="0" fontId="0" fillId="6" borderId="1" xfId="0" applyFill="1" applyBorder="1" applyAlignment="1">
      <alignment horizontal="center"/>
    </xf>
    <xf numFmtId="0" fontId="0" fillId="8" borderId="1" xfId="0" applyFill="1" applyBorder="1" applyAlignment="1">
      <alignment horizontal="center"/>
    </xf>
    <xf numFmtId="0" fontId="2" fillId="9" borderId="1" xfId="0" applyFont="1" applyFill="1" applyBorder="1" applyAlignment="1">
      <alignment horizontal="center"/>
    </xf>
    <xf numFmtId="0" fontId="2" fillId="9" borderId="1" xfId="0" applyFont="1" applyFill="1" applyBorder="1" applyAlignment="1">
      <alignment horizontal="left"/>
    </xf>
    <xf numFmtId="0" fontId="0" fillId="11" borderId="1" xfId="0" applyFill="1" applyBorder="1"/>
    <xf numFmtId="9" fontId="0" fillId="11" borderId="1" xfId="0" applyNumberFormat="1" applyFill="1" applyBorder="1"/>
    <xf numFmtId="164" fontId="0" fillId="11" borderId="1" xfId="0" applyNumberFormat="1" applyFill="1" applyBorder="1"/>
    <xf numFmtId="0" fontId="0" fillId="11" borderId="2" xfId="0" applyFill="1" applyBorder="1"/>
    <xf numFmtId="3" fontId="0" fillId="11" borderId="3" xfId="0" applyNumberFormat="1" applyFill="1" applyBorder="1"/>
    <xf numFmtId="3" fontId="0" fillId="12" borderId="1" xfId="0" applyNumberFormat="1" applyFill="1" applyBorder="1" applyAlignment="1" applyProtection="1">
      <alignment horizontal="center"/>
      <protection locked="0"/>
    </xf>
    <xf numFmtId="165" fontId="0" fillId="2" borderId="1" xfId="0" applyNumberFormat="1" applyFill="1" applyBorder="1" applyProtection="1">
      <protection locked="0"/>
    </xf>
    <xf numFmtId="0" fontId="8" fillId="9" borderId="1" xfId="0" applyFont="1" applyFill="1" applyBorder="1" applyAlignment="1">
      <alignment horizontal="center"/>
    </xf>
    <xf numFmtId="0" fontId="0" fillId="0" borderId="0" xfId="0" applyAlignment="1">
      <alignment vertical="top"/>
    </xf>
    <xf numFmtId="9" fontId="0" fillId="0" borderId="0" xfId="0" applyNumberFormat="1"/>
    <xf numFmtId="0" fontId="0" fillId="0" borderId="1" xfId="0" applyBorder="1" applyAlignment="1">
      <alignment vertical="top"/>
    </xf>
    <xf numFmtId="167" fontId="0" fillId="0" borderId="1" xfId="0" applyNumberFormat="1" applyBorder="1" applyAlignment="1">
      <alignment vertical="top"/>
    </xf>
    <xf numFmtId="164" fontId="0" fillId="0" borderId="1" xfId="0" applyNumberFormat="1" applyBorder="1" applyAlignment="1">
      <alignment vertical="top"/>
    </xf>
    <xf numFmtId="168" fontId="0" fillId="11" borderId="3" xfId="0" applyNumberFormat="1" applyFill="1" applyBorder="1"/>
    <xf numFmtId="164" fontId="0" fillId="6" borderId="1" xfId="1" applyNumberFormat="1" applyFont="1" applyFill="1" applyBorder="1" applyAlignment="1">
      <alignment horizontal="center"/>
    </xf>
    <xf numFmtId="165" fontId="0" fillId="11" borderId="1" xfId="0" applyNumberFormat="1" applyFill="1" applyBorder="1"/>
    <xf numFmtId="164" fontId="0" fillId="6" borderId="1" xfId="1" applyNumberFormat="1" applyFont="1" applyFill="1" applyBorder="1" applyAlignment="1" applyProtection="1">
      <alignment horizontal="center"/>
    </xf>
    <xf numFmtId="167" fontId="0" fillId="12" borderId="1" xfId="0" applyNumberFormat="1" applyFill="1" applyBorder="1" applyAlignment="1" applyProtection="1">
      <alignment horizontal="center"/>
      <protection locked="0"/>
    </xf>
    <xf numFmtId="164" fontId="0" fillId="7" borderId="1" xfId="1" applyNumberFormat="1" applyFont="1" applyFill="1" applyBorder="1" applyAlignment="1" applyProtection="1">
      <alignment horizontal="center"/>
    </xf>
    <xf numFmtId="164" fontId="0" fillId="4" borderId="1" xfId="0" applyNumberFormat="1" applyFill="1" applyBorder="1"/>
    <xf numFmtId="2" fontId="0" fillId="4" borderId="1" xfId="0" applyNumberFormat="1" applyFill="1" applyBorder="1"/>
    <xf numFmtId="164" fontId="0" fillId="8" borderId="1" xfId="1" applyNumberFormat="1" applyFont="1" applyFill="1" applyBorder="1" applyAlignment="1">
      <alignment horizontal="center"/>
    </xf>
    <xf numFmtId="165" fontId="0" fillId="4" borderId="1" xfId="0" applyNumberFormat="1" applyFill="1" applyBorder="1"/>
    <xf numFmtId="167" fontId="0" fillId="11" borderId="1" xfId="0" applyNumberFormat="1" applyFill="1" applyBorder="1" applyProtection="1">
      <protection locked="0"/>
    </xf>
    <xf numFmtId="4" fontId="0" fillId="2" borderId="1" xfId="0" applyNumberFormat="1" applyFill="1" applyBorder="1" applyProtection="1">
      <protection locked="0"/>
    </xf>
    <xf numFmtId="9" fontId="0" fillId="0" borderId="1" xfId="0" applyNumberFormat="1" applyBorder="1" applyAlignment="1">
      <alignment horizontal="right" vertical="top"/>
    </xf>
    <xf numFmtId="0" fontId="0" fillId="0" borderId="1" xfId="0" applyBorder="1"/>
    <xf numFmtId="169" fontId="0" fillId="0" borderId="1" xfId="2" applyNumberFormat="1" applyFont="1" applyFill="1" applyBorder="1"/>
    <xf numFmtId="0" fontId="9" fillId="0" borderId="1" xfId="3" applyBorder="1" applyAlignment="1" applyProtection="1">
      <alignment horizontal="right" vertical="top" wrapText="1"/>
    </xf>
    <xf numFmtId="6" fontId="0" fillId="0" borderId="1" xfId="0" applyNumberFormat="1" applyBorder="1" applyAlignment="1">
      <alignment vertical="top"/>
    </xf>
    <xf numFmtId="8" fontId="0" fillId="0" borderId="0" xfId="0" applyNumberFormat="1"/>
    <xf numFmtId="6" fontId="0" fillId="0" borderId="0" xfId="0" applyNumberFormat="1"/>
    <xf numFmtId="0" fontId="0" fillId="0" borderId="1" xfId="0" applyBorder="1" applyAlignment="1">
      <alignment vertical="center"/>
    </xf>
    <xf numFmtId="0" fontId="0" fillId="0" borderId="1" xfId="0" applyBorder="1" applyAlignment="1">
      <alignment vertical="center" wrapText="1"/>
    </xf>
    <xf numFmtId="9" fontId="7" fillId="0" borderId="0" xfId="0" applyNumberFormat="1" applyFont="1" applyAlignment="1">
      <alignment horizontal="right" vertical="top"/>
    </xf>
    <xf numFmtId="10" fontId="7" fillId="0" borderId="0" xfId="0" applyNumberFormat="1" applyFont="1" applyAlignment="1">
      <alignment horizontal="right" vertical="top"/>
    </xf>
    <xf numFmtId="10" fontId="0" fillId="0" borderId="0" xfId="0" applyNumberFormat="1"/>
    <xf numFmtId="172" fontId="0" fillId="0" borderId="0" xfId="0" applyNumberFormat="1"/>
    <xf numFmtId="0" fontId="0" fillId="0" borderId="1" xfId="0" applyBorder="1" applyAlignment="1">
      <alignment horizontal="center" vertical="center"/>
    </xf>
    <xf numFmtId="0" fontId="0" fillId="0" borderId="1" xfId="0" applyBorder="1" applyAlignment="1">
      <alignment wrapText="1"/>
    </xf>
    <xf numFmtId="170" fontId="0" fillId="0" borderId="0" xfId="2" applyNumberFormat="1" applyFont="1" applyBorder="1"/>
    <xf numFmtId="170" fontId="0" fillId="0" borderId="0" xfId="0" applyNumberFormat="1"/>
    <xf numFmtId="170" fontId="4" fillId="0" borderId="0" xfId="0" applyNumberFormat="1" applyFont="1"/>
    <xf numFmtId="0" fontId="3" fillId="0" borderId="1" xfId="0" applyFont="1" applyBorder="1" applyAlignment="1">
      <alignment vertical="center"/>
    </xf>
    <xf numFmtId="6" fontId="0" fillId="0" borderId="1" xfId="0" applyNumberFormat="1" applyBorder="1" applyAlignment="1">
      <alignment vertical="center"/>
    </xf>
    <xf numFmtId="3" fontId="0" fillId="0" borderId="0" xfId="0" applyNumberFormat="1"/>
    <xf numFmtId="0" fontId="3" fillId="10" borderId="1" xfId="0" applyFont="1" applyFill="1" applyBorder="1"/>
    <xf numFmtId="10" fontId="0" fillId="0" borderId="1" xfId="0" applyNumberFormat="1" applyBorder="1" applyAlignment="1">
      <alignment horizontal="center"/>
    </xf>
    <xf numFmtId="10" fontId="0" fillId="0" borderId="1" xfId="0" applyNumberFormat="1" applyBorder="1"/>
    <xf numFmtId="0" fontId="0" fillId="0" borderId="0" xfId="0" applyAlignment="1" applyProtection="1">
      <alignment horizontal="center" vertical="center"/>
      <protection locked="0"/>
    </xf>
    <xf numFmtId="166" fontId="0" fillId="0" borderId="0" xfId="0" applyNumberFormat="1" applyAlignment="1" applyProtection="1">
      <alignment horizontal="center" vertical="center"/>
      <protection locked="0"/>
    </xf>
    <xf numFmtId="0" fontId="0" fillId="14" borderId="1" xfId="0" applyFill="1" applyBorder="1" applyAlignment="1">
      <alignment horizontal="center" vertical="center"/>
    </xf>
    <xf numFmtId="165" fontId="0" fillId="4" borderId="1" xfId="0" applyNumberFormat="1" applyFill="1" applyBorder="1" applyAlignment="1">
      <alignment vertical="center"/>
    </xf>
    <xf numFmtId="2" fontId="0" fillId="13" borderId="1" xfId="0" applyNumberFormat="1" applyFill="1" applyBorder="1" applyAlignment="1">
      <alignment horizontal="center" vertical="center"/>
    </xf>
    <xf numFmtId="166" fontId="0" fillId="13" borderId="1" xfId="0" applyNumberFormat="1" applyFill="1" applyBorder="1" applyAlignment="1">
      <alignment horizontal="center" vertical="center"/>
    </xf>
    <xf numFmtId="166" fontId="0" fillId="13" borderId="1" xfId="0" applyNumberFormat="1" applyFill="1" applyBorder="1" applyAlignment="1">
      <alignment vertical="center"/>
    </xf>
    <xf numFmtId="166" fontId="0" fillId="0" borderId="1" xfId="0" applyNumberFormat="1" applyBorder="1" applyAlignment="1">
      <alignment vertical="center"/>
    </xf>
    <xf numFmtId="0" fontId="0" fillId="0" borderId="0" xfId="0" applyAlignment="1">
      <alignment vertical="center"/>
    </xf>
    <xf numFmtId="0" fontId="12" fillId="0" borderId="1" xfId="0" applyFont="1" applyBorder="1" applyAlignment="1">
      <alignment vertical="center" wrapText="1"/>
    </xf>
    <xf numFmtId="0" fontId="12" fillId="0" borderId="0" xfId="0" applyFont="1"/>
    <xf numFmtId="0" fontId="0" fillId="0" borderId="0" xfId="0" applyProtection="1">
      <protection locked="0"/>
    </xf>
    <xf numFmtId="0" fontId="16" fillId="0" borderId="1" xfId="0" applyFont="1" applyBorder="1" applyAlignment="1" applyProtection="1">
      <alignment vertical="center" wrapText="1"/>
      <protection locked="0"/>
    </xf>
    <xf numFmtId="166" fontId="0" fillId="0" borderId="1" xfId="0" applyNumberFormat="1" applyBorder="1" applyAlignment="1" applyProtection="1">
      <alignment vertical="center" wrapText="1"/>
      <protection locked="0"/>
    </xf>
    <xf numFmtId="0" fontId="12" fillId="0" borderId="0" xfId="0" applyFont="1" applyProtection="1">
      <protection locked="0"/>
    </xf>
    <xf numFmtId="166" fontId="0" fillId="0" borderId="1" xfId="0" applyNumberFormat="1" applyBorder="1" applyProtection="1">
      <protection locked="0"/>
    </xf>
    <xf numFmtId="10" fontId="0" fillId="0" borderId="0" xfId="2" applyNumberFormat="1" applyFont="1" applyProtection="1">
      <protection locked="0"/>
    </xf>
    <xf numFmtId="2" fontId="0" fillId="0" borderId="0" xfId="0" applyNumberFormat="1" applyProtection="1">
      <protection locked="0"/>
    </xf>
    <xf numFmtId="165" fontId="12" fillId="0" borderId="1" xfId="0" applyNumberFormat="1" applyFont="1" applyBorder="1" applyAlignment="1" applyProtection="1">
      <alignment vertical="center" wrapText="1"/>
      <protection locked="0"/>
    </xf>
    <xf numFmtId="165" fontId="0" fillId="0" borderId="0" xfId="0" applyNumberFormat="1" applyProtection="1">
      <protection locked="0"/>
    </xf>
    <xf numFmtId="165" fontId="0" fillId="0" borderId="1" xfId="0" applyNumberFormat="1" applyBorder="1" applyProtection="1">
      <protection locked="0"/>
    </xf>
    <xf numFmtId="0" fontId="0" fillId="13" borderId="1" xfId="0" applyFill="1" applyBorder="1" applyAlignment="1">
      <alignment vertical="center"/>
    </xf>
    <xf numFmtId="2" fontId="0" fillId="0" borderId="0" xfId="0" applyNumberFormat="1" applyAlignment="1" applyProtection="1">
      <alignment vertical="center"/>
      <protection locked="0"/>
    </xf>
    <xf numFmtId="2" fontId="17" fillId="0" borderId="0" xfId="0" applyNumberFormat="1" applyFont="1" applyAlignment="1" applyProtection="1">
      <alignment vertical="center"/>
      <protection locked="0"/>
    </xf>
    <xf numFmtId="0" fontId="13" fillId="0" borderId="0" xfId="0" applyFont="1" applyProtection="1">
      <protection locked="0"/>
    </xf>
    <xf numFmtId="166" fontId="0" fillId="0" borderId="0" xfId="0" applyNumberFormat="1" applyProtection="1">
      <protection locked="0"/>
    </xf>
    <xf numFmtId="0" fontId="0" fillId="14" borderId="1" xfId="0" applyFill="1" applyBorder="1" applyAlignment="1">
      <alignment horizontal="left" vertical="center"/>
    </xf>
    <xf numFmtId="0" fontId="13" fillId="0" borderId="0" xfId="0" applyFont="1"/>
    <xf numFmtId="0" fontId="2" fillId="3" borderId="1" xfId="0" applyFont="1" applyFill="1" applyBorder="1" applyAlignment="1">
      <alignment vertical="center" wrapText="1"/>
    </xf>
    <xf numFmtId="0" fontId="2" fillId="3" borderId="1" xfId="0" applyFont="1" applyFill="1" applyBorder="1" applyAlignment="1">
      <alignment horizontal="left" vertical="center" wrapText="1"/>
    </xf>
    <xf numFmtId="176" fontId="12" fillId="0" borderId="0" xfId="0" applyNumberFormat="1" applyFont="1"/>
    <xf numFmtId="0" fontId="12" fillId="0" borderId="0" xfId="0" applyFont="1" applyAlignment="1">
      <alignment vertical="center"/>
    </xf>
    <xf numFmtId="1" fontId="12" fillId="0" borderId="0" xfId="0" applyNumberFormat="1" applyFont="1"/>
    <xf numFmtId="174" fontId="12" fillId="0" borderId="0" xfId="0" applyNumberFormat="1" applyFont="1"/>
    <xf numFmtId="3" fontId="12" fillId="0" borderId="0" xfId="0" applyNumberFormat="1" applyFont="1"/>
    <xf numFmtId="2" fontId="12" fillId="0" borderId="0" xfId="0" applyNumberFormat="1" applyFont="1" applyAlignment="1">
      <alignment vertical="center"/>
    </xf>
    <xf numFmtId="166" fontId="12" fillId="0" borderId="0" xfId="0" applyNumberFormat="1" applyFont="1"/>
    <xf numFmtId="0" fontId="2" fillId="0" borderId="1" xfId="0" applyFont="1" applyBorder="1" applyAlignment="1">
      <alignment vertical="center" wrapText="1"/>
    </xf>
    <xf numFmtId="175" fontId="0" fillId="0" borderId="0" xfId="0" applyNumberFormat="1"/>
    <xf numFmtId="166" fontId="0" fillId="0" borderId="0" xfId="0" applyNumberFormat="1"/>
    <xf numFmtId="0" fontId="3" fillId="10" borderId="1" xfId="0" applyFont="1" applyFill="1" applyBorder="1" applyAlignment="1">
      <alignment vertical="center"/>
    </xf>
    <xf numFmtId="0" fontId="16" fillId="10" borderId="1" xfId="0" applyFont="1" applyFill="1" applyBorder="1" applyAlignment="1">
      <alignment vertical="center"/>
    </xf>
    <xf numFmtId="0" fontId="3" fillId="10" borderId="1" xfId="0" applyFont="1" applyFill="1" applyBorder="1" applyAlignment="1">
      <alignment vertical="center" wrapText="1"/>
    </xf>
    <xf numFmtId="9" fontId="0" fillId="0" borderId="1" xfId="0" applyNumberFormat="1" applyBorder="1" applyAlignment="1">
      <alignment horizontal="center" vertical="center"/>
    </xf>
    <xf numFmtId="9" fontId="0" fillId="0" borderId="1" xfId="0" applyNumberFormat="1" applyBorder="1" applyAlignment="1">
      <alignment horizontal="center" vertical="center" wrapText="1"/>
    </xf>
    <xf numFmtId="0" fontId="12" fillId="0" borderId="1" xfId="0" applyFont="1" applyBorder="1" applyAlignment="1">
      <alignment vertical="center"/>
    </xf>
    <xf numFmtId="0" fontId="3" fillId="10" borderId="1" xfId="0" applyFont="1" applyFill="1" applyBorder="1" applyAlignment="1">
      <alignment horizontal="center" vertical="center"/>
    </xf>
    <xf numFmtId="10" fontId="0" fillId="0" borderId="0" xfId="0" applyNumberFormat="1" applyAlignment="1">
      <alignment horizontal="center"/>
    </xf>
    <xf numFmtId="2" fontId="11" fillId="0" borderId="4" xfId="0" applyNumberFormat="1" applyFont="1" applyBorder="1" applyAlignment="1" applyProtection="1">
      <alignment vertical="center"/>
      <protection locked="0"/>
    </xf>
    <xf numFmtId="2" fontId="0" fillId="0" borderId="4" xfId="0" applyNumberFormat="1" applyBorder="1" applyAlignment="1" applyProtection="1">
      <alignment vertical="center"/>
      <protection locked="0"/>
    </xf>
    <xf numFmtId="2" fontId="0" fillId="2" borderId="1" xfId="0" applyNumberFormat="1" applyFill="1" applyBorder="1" applyAlignment="1" applyProtection="1">
      <alignment vertical="center"/>
      <protection locked="0"/>
    </xf>
    <xf numFmtId="2" fontId="0" fillId="2" borderId="1" xfId="0" applyNumberFormat="1" applyFill="1" applyBorder="1" applyAlignment="1" applyProtection="1">
      <alignment horizontal="right" wrapText="1"/>
      <protection locked="0"/>
    </xf>
    <xf numFmtId="2" fontId="0" fillId="0" borderId="0" xfId="0" applyNumberFormat="1" applyAlignment="1" applyProtection="1">
      <alignment vertical="center" wrapText="1"/>
      <protection locked="0"/>
    </xf>
    <xf numFmtId="2" fontId="0" fillId="13" borderId="1" xfId="0" applyNumberFormat="1" applyFill="1" applyBorder="1" applyAlignment="1" applyProtection="1">
      <alignment vertical="center"/>
      <protection locked="0"/>
    </xf>
    <xf numFmtId="2" fontId="0" fillId="2" borderId="1" xfId="0" applyNumberFormat="1" applyFill="1" applyBorder="1" applyAlignment="1" applyProtection="1">
      <alignment horizontal="right"/>
      <protection locked="0"/>
    </xf>
    <xf numFmtId="2" fontId="0" fillId="4" borderId="1" xfId="0" applyNumberFormat="1" applyFill="1" applyBorder="1" applyAlignment="1" applyProtection="1">
      <alignment vertical="center"/>
      <protection locked="0"/>
    </xf>
    <xf numFmtId="2" fontId="7" fillId="0" borderId="0" xfId="0" applyNumberFormat="1" applyFont="1" applyAlignment="1" applyProtection="1">
      <alignment vertical="center"/>
      <protection locked="0"/>
    </xf>
    <xf numFmtId="2" fontId="0" fillId="0" borderId="0" xfId="0" applyNumberFormat="1" applyAlignment="1" applyProtection="1">
      <alignment horizontal="left" vertical="center"/>
      <protection locked="0"/>
    </xf>
    <xf numFmtId="2" fontId="0" fillId="2" borderId="1" xfId="0" applyNumberFormat="1" applyFill="1" applyBorder="1" applyAlignment="1" applyProtection="1">
      <alignment vertical="center" wrapText="1"/>
      <protection locked="0"/>
    </xf>
    <xf numFmtId="2" fontId="2" fillId="0" borderId="0" xfId="0" applyNumberFormat="1" applyFont="1" applyAlignment="1" applyProtection="1">
      <alignment vertical="center"/>
      <protection locked="0"/>
    </xf>
    <xf numFmtId="2" fontId="3" fillId="2" borderId="1" xfId="0" applyNumberFormat="1" applyFont="1" applyFill="1" applyBorder="1" applyAlignment="1" applyProtection="1">
      <alignment vertical="center"/>
      <protection locked="0"/>
    </xf>
    <xf numFmtId="2" fontId="0" fillId="2" borderId="1" xfId="0" applyNumberFormat="1" applyFill="1" applyBorder="1" applyAlignment="1" applyProtection="1">
      <alignment horizontal="right" vertical="center" wrapText="1"/>
      <protection locked="0"/>
    </xf>
    <xf numFmtId="2" fontId="12" fillId="13" borderId="1" xfId="0" applyNumberFormat="1" applyFont="1" applyFill="1" applyBorder="1" applyAlignment="1" applyProtection="1">
      <alignment vertical="center"/>
      <protection locked="0"/>
    </xf>
    <xf numFmtId="2" fontId="18" fillId="0" borderId="0" xfId="0" applyNumberFormat="1" applyFont="1" applyAlignment="1" applyProtection="1">
      <alignment vertical="center"/>
      <protection locked="0"/>
    </xf>
    <xf numFmtId="2" fontId="20" fillId="0" borderId="0" xfId="0" applyNumberFormat="1" applyFont="1" applyAlignment="1" applyProtection="1">
      <alignment vertical="center"/>
      <protection locked="0"/>
    </xf>
    <xf numFmtId="2" fontId="8" fillId="0" borderId="0" xfId="0" applyNumberFormat="1" applyFont="1" applyAlignment="1" applyProtection="1">
      <alignment horizontal="center" vertical="center"/>
      <protection locked="0"/>
    </xf>
    <xf numFmtId="2" fontId="0" fillId="13" borderId="1" xfId="0" applyNumberFormat="1" applyFill="1" applyBorder="1" applyAlignment="1" applyProtection="1">
      <alignment vertical="center" wrapText="1"/>
      <protection locked="0"/>
    </xf>
    <xf numFmtId="2" fontId="0" fillId="0" borderId="5" xfId="0" applyNumberFormat="1" applyBorder="1" applyAlignment="1" applyProtection="1">
      <alignment vertical="center"/>
      <protection locked="0"/>
    </xf>
    <xf numFmtId="1" fontId="0" fillId="2" borderId="1" xfId="0" applyNumberFormat="1" applyFill="1" applyBorder="1" applyAlignment="1" applyProtection="1">
      <alignment vertical="center"/>
      <protection locked="0"/>
    </xf>
    <xf numFmtId="1" fontId="0" fillId="13" borderId="1" xfId="0" applyNumberFormat="1" applyFill="1" applyBorder="1" applyAlignment="1">
      <alignment horizontal="right" vertical="center"/>
    </xf>
    <xf numFmtId="2" fontId="12" fillId="13" borderId="1" xfId="0" applyNumberFormat="1" applyFont="1" applyFill="1" applyBorder="1" applyAlignment="1">
      <alignment horizontal="right" vertical="center" wrapText="1"/>
    </xf>
    <xf numFmtId="1" fontId="0" fillId="13" borderId="1" xfId="0" applyNumberFormat="1" applyFill="1" applyBorder="1" applyAlignment="1">
      <alignment vertical="center"/>
    </xf>
    <xf numFmtId="1" fontId="0" fillId="2" borderId="1" xfId="0" applyNumberFormat="1" applyFill="1" applyBorder="1" applyAlignment="1" applyProtection="1">
      <alignment horizontal="right" vertical="center"/>
      <protection locked="0"/>
    </xf>
    <xf numFmtId="9" fontId="0" fillId="13" borderId="1" xfId="0" applyNumberFormat="1" applyFill="1" applyBorder="1" applyAlignment="1">
      <alignment horizontal="right" vertical="center"/>
    </xf>
    <xf numFmtId="10" fontId="2" fillId="9" borderId="1" xfId="2" applyNumberFormat="1" applyFont="1" applyFill="1" applyBorder="1" applyAlignment="1" applyProtection="1">
      <alignment vertical="center"/>
    </xf>
    <xf numFmtId="0" fontId="2" fillId="9" borderId="7" xfId="0" applyFont="1" applyFill="1" applyBorder="1" applyAlignment="1">
      <alignment vertical="center" wrapText="1"/>
    </xf>
    <xf numFmtId="0" fontId="2" fillId="9" borderId="4" xfId="0" applyFont="1" applyFill="1" applyBorder="1" applyAlignment="1">
      <alignment vertical="center" wrapText="1"/>
    </xf>
    <xf numFmtId="0" fontId="0" fillId="0" borderId="0" xfId="0" applyAlignment="1">
      <alignment vertical="center" wrapText="1"/>
    </xf>
    <xf numFmtId="0" fontId="2" fillId="9" borderId="1" xfId="0" applyFont="1" applyFill="1" applyBorder="1" applyAlignment="1">
      <alignment vertical="center" wrapText="1"/>
    </xf>
    <xf numFmtId="2" fontId="2" fillId="9" borderId="1" xfId="0" applyNumberFormat="1" applyFont="1" applyFill="1" applyBorder="1" applyAlignment="1">
      <alignment horizontal="center" vertical="center"/>
    </xf>
    <xf numFmtId="0" fontId="0" fillId="11" borderId="1" xfId="0" applyFill="1" applyBorder="1" applyAlignment="1">
      <alignment vertical="center" wrapText="1"/>
    </xf>
    <xf numFmtId="3" fontId="7" fillId="0" borderId="1" xfId="0" applyNumberFormat="1" applyFont="1" applyBorder="1" applyAlignment="1">
      <alignment vertical="center" wrapText="1"/>
    </xf>
    <xf numFmtId="0" fontId="14" fillId="0" borderId="0" xfId="0" applyFont="1" applyAlignment="1">
      <alignment vertical="center"/>
    </xf>
    <xf numFmtId="0" fontId="0" fillId="7" borderId="1" xfId="0" applyFill="1" applyBorder="1" applyAlignment="1">
      <alignment horizontal="center" vertical="center"/>
    </xf>
    <xf numFmtId="3" fontId="0" fillId="7" borderId="1" xfId="0" applyNumberFormat="1" applyFill="1" applyBorder="1" applyAlignment="1">
      <alignment horizontal="center" vertical="center"/>
    </xf>
    <xf numFmtId="10" fontId="0" fillId="7" borderId="1" xfId="2" applyNumberFormat="1" applyFont="1" applyFill="1" applyBorder="1" applyAlignment="1" applyProtection="1">
      <alignment horizontal="center" vertical="center"/>
    </xf>
    <xf numFmtId="2" fontId="0" fillId="7" borderId="1" xfId="0" applyNumberFormat="1" applyFill="1" applyBorder="1" applyAlignment="1">
      <alignment horizontal="center" vertical="center"/>
    </xf>
    <xf numFmtId="165" fontId="0" fillId="7" borderId="1" xfId="1" applyNumberFormat="1" applyFont="1" applyFill="1" applyBorder="1" applyAlignment="1" applyProtection="1">
      <alignment horizontal="center" vertical="center"/>
    </xf>
    <xf numFmtId="165" fontId="0" fillId="13" borderId="1" xfId="0" applyNumberFormat="1" applyFill="1" applyBorder="1" applyAlignment="1">
      <alignment horizontal="center" vertical="center"/>
    </xf>
    <xf numFmtId="0" fontId="0" fillId="8" borderId="1" xfId="0" applyFill="1" applyBorder="1" applyAlignment="1">
      <alignment horizontal="center" vertical="center"/>
    </xf>
    <xf numFmtId="3" fontId="0" fillId="8" borderId="1" xfId="0" applyNumberFormat="1" applyFill="1" applyBorder="1" applyAlignment="1">
      <alignment horizontal="center" vertical="center"/>
    </xf>
    <xf numFmtId="10" fontId="0" fillId="8" borderId="1" xfId="2" applyNumberFormat="1" applyFont="1" applyFill="1" applyBorder="1" applyAlignment="1" applyProtection="1">
      <alignment horizontal="center" vertical="center"/>
    </xf>
    <xf numFmtId="2" fontId="0" fillId="8" borderId="1" xfId="2" applyNumberFormat="1" applyFont="1" applyFill="1" applyBorder="1" applyAlignment="1" applyProtection="1">
      <alignment horizontal="center" vertical="center"/>
    </xf>
    <xf numFmtId="0" fontId="0" fillId="8" borderId="1" xfId="2" applyNumberFormat="1" applyFont="1" applyFill="1" applyBorder="1" applyAlignment="1" applyProtection="1">
      <alignment horizontal="center" vertical="center"/>
    </xf>
    <xf numFmtId="0" fontId="12" fillId="11" borderId="1" xfId="0" applyFont="1" applyFill="1" applyBorder="1" applyAlignment="1">
      <alignment vertical="center" wrapText="1"/>
    </xf>
    <xf numFmtId="0" fontId="16" fillId="0" borderId="1" xfId="0" applyFont="1" applyBorder="1" applyAlignment="1">
      <alignment vertical="center" wrapText="1"/>
    </xf>
    <xf numFmtId="166" fontId="0" fillId="0" borderId="1" xfId="0" applyNumberFormat="1" applyBorder="1" applyAlignment="1">
      <alignment vertical="center" wrapText="1"/>
    </xf>
    <xf numFmtId="10" fontId="0" fillId="0" borderId="1" xfId="0" applyNumberFormat="1" applyBorder="1" applyAlignment="1">
      <alignment vertical="center" wrapText="1"/>
    </xf>
    <xf numFmtId="10" fontId="0" fillId="0" borderId="0" xfId="2" applyNumberFormat="1" applyFont="1" applyFill="1" applyBorder="1" applyAlignment="1" applyProtection="1">
      <alignment vertical="center" wrapText="1"/>
    </xf>
    <xf numFmtId="2" fontId="0" fillId="0" borderId="0" xfId="0" applyNumberFormat="1" applyAlignment="1">
      <alignment vertical="center" wrapText="1"/>
    </xf>
    <xf numFmtId="10" fontId="0" fillId="0" borderId="0" xfId="0" applyNumberFormat="1" applyAlignment="1">
      <alignment vertical="center" wrapText="1"/>
    </xf>
    <xf numFmtId="0" fontId="2" fillId="0" borderId="0" xfId="0" applyFont="1" applyAlignment="1">
      <alignment vertical="center" wrapText="1"/>
    </xf>
    <xf numFmtId="166" fontId="21" fillId="0" borderId="0" xfId="0" applyNumberFormat="1" applyFont="1" applyAlignment="1">
      <alignment vertical="center" wrapText="1"/>
    </xf>
    <xf numFmtId="4" fontId="7" fillId="0" borderId="0" xfId="0" applyNumberFormat="1" applyFont="1" applyAlignment="1">
      <alignment vertical="center" wrapText="1"/>
    </xf>
    <xf numFmtId="171" fontId="0" fillId="0" borderId="0" xfId="0" applyNumberFormat="1" applyAlignment="1">
      <alignment vertical="center" wrapText="1"/>
    </xf>
    <xf numFmtId="6" fontId="0" fillId="0" borderId="0" xfId="0" applyNumberFormat="1" applyAlignment="1">
      <alignment vertical="center"/>
    </xf>
    <xf numFmtId="6" fontId="12" fillId="0" borderId="0" xfId="0" applyNumberFormat="1" applyFont="1" applyAlignment="1">
      <alignment vertical="center"/>
    </xf>
    <xf numFmtId="0" fontId="19" fillId="0" borderId="0" xfId="0" applyFont="1" applyAlignment="1">
      <alignment vertical="center"/>
    </xf>
    <xf numFmtId="0" fontId="12" fillId="8" borderId="1" xfId="0" applyFont="1" applyFill="1" applyBorder="1" applyAlignment="1">
      <alignment horizontal="center" vertical="center"/>
    </xf>
    <xf numFmtId="2" fontId="12" fillId="8" borderId="1" xfId="2" applyNumberFormat="1" applyFont="1" applyFill="1" applyBorder="1" applyAlignment="1" applyProtection="1">
      <alignment horizontal="center" vertical="center"/>
    </xf>
    <xf numFmtId="0" fontId="12" fillId="8" borderId="1" xfId="2" applyNumberFormat="1" applyFont="1" applyFill="1" applyBorder="1" applyAlignment="1" applyProtection="1">
      <alignment horizontal="center" vertical="center"/>
    </xf>
    <xf numFmtId="165" fontId="12" fillId="13" borderId="1" xfId="0" applyNumberFormat="1" applyFont="1" applyFill="1" applyBorder="1" applyAlignment="1">
      <alignment horizontal="center" vertical="center"/>
    </xf>
    <xf numFmtId="166" fontId="0" fillId="0" borderId="1" xfId="0" applyNumberFormat="1" applyBorder="1"/>
    <xf numFmtId="173" fontId="0" fillId="0" borderId="0" xfId="0" applyNumberFormat="1" applyAlignment="1">
      <alignment vertical="center"/>
    </xf>
    <xf numFmtId="10" fontId="0" fillId="0" borderId="1" xfId="2" applyNumberFormat="1" applyFont="1" applyBorder="1" applyAlignment="1" applyProtection="1">
      <alignment vertical="center"/>
    </xf>
    <xf numFmtId="2" fontId="0" fillId="0" borderId="1" xfId="0" applyNumberFormat="1" applyBorder="1" applyAlignment="1">
      <alignment vertical="center"/>
    </xf>
    <xf numFmtId="165" fontId="0" fillId="0" borderId="1" xfId="0" applyNumberFormat="1" applyBorder="1" applyAlignment="1">
      <alignment vertical="center"/>
    </xf>
    <xf numFmtId="10" fontId="0" fillId="0" borderId="0" xfId="2" applyNumberFormat="1" applyFont="1" applyProtection="1"/>
    <xf numFmtId="2" fontId="0" fillId="0" borderId="0" xfId="0" applyNumberFormat="1"/>
    <xf numFmtId="0" fontId="0" fillId="0" borderId="0" xfId="0" applyAlignment="1" applyProtection="1">
      <alignment vertical="center"/>
      <protection locked="0"/>
    </xf>
    <xf numFmtId="0" fontId="12" fillId="0" borderId="0" xfId="0" applyFont="1" applyAlignment="1" applyProtection="1">
      <alignment vertical="center"/>
      <protection locked="0"/>
    </xf>
    <xf numFmtId="0" fontId="0" fillId="0" borderId="0" xfId="0" applyAlignment="1" applyProtection="1">
      <alignment vertical="center" wrapText="1"/>
      <protection locked="0"/>
    </xf>
    <xf numFmtId="3" fontId="0" fillId="0" borderId="1" xfId="0" applyNumberFormat="1" applyBorder="1" applyAlignment="1" applyProtection="1">
      <alignment horizontal="center" vertical="center"/>
      <protection locked="0"/>
    </xf>
    <xf numFmtId="10" fontId="0" fillId="0" borderId="1" xfId="0" applyNumberFormat="1" applyBorder="1" applyAlignment="1" applyProtection="1">
      <alignment horizontal="center" vertical="center"/>
      <protection locked="0"/>
    </xf>
    <xf numFmtId="0" fontId="22" fillId="0" borderId="0" xfId="0" applyFont="1"/>
    <xf numFmtId="11" fontId="22" fillId="0" borderId="0" xfId="0" applyNumberFormat="1" applyFont="1"/>
    <xf numFmtId="14" fontId="22" fillId="0" borderId="0" xfId="0" applyNumberFormat="1" applyFont="1"/>
    <xf numFmtId="0" fontId="23" fillId="0" borderId="0" xfId="0" applyFont="1"/>
    <xf numFmtId="2" fontId="0" fillId="0" borderId="0" xfId="0" applyNumberFormat="1" applyAlignment="1" applyProtection="1">
      <alignment horizontal="center" vertical="center"/>
      <protection locked="0"/>
    </xf>
    <xf numFmtId="0" fontId="0" fillId="0" borderId="1" xfId="0" applyBorder="1" applyAlignment="1">
      <alignment horizontal="left" vertical="center" wrapText="1"/>
    </xf>
    <xf numFmtId="0" fontId="0" fillId="0" borderId="1" xfId="0" applyBorder="1" applyAlignment="1">
      <alignment horizontal="left" vertical="center"/>
    </xf>
    <xf numFmtId="0" fontId="2" fillId="9" borderId="1" xfId="0" applyFont="1" applyFill="1" applyBorder="1" applyAlignment="1">
      <alignment horizontal="center" vertical="center" wrapText="1"/>
    </xf>
    <xf numFmtId="0" fontId="4" fillId="0" borderId="0" xfId="0" applyFont="1" applyAlignment="1">
      <alignment horizontal="center"/>
    </xf>
    <xf numFmtId="0" fontId="10" fillId="3" borderId="2" xfId="0" applyFont="1" applyFill="1" applyBorder="1" applyAlignment="1">
      <alignment horizontal="center"/>
    </xf>
    <xf numFmtId="0" fontId="10" fillId="3" borderId="3" xfId="0" applyFont="1" applyFill="1" applyBorder="1" applyAlignment="1">
      <alignment horizontal="center"/>
    </xf>
    <xf numFmtId="2" fontId="2" fillId="5" borderId="7" xfId="0" applyNumberFormat="1" applyFont="1" applyFill="1" applyBorder="1" applyAlignment="1" applyProtection="1">
      <alignment horizontal="center" vertical="center"/>
      <protection locked="0"/>
    </xf>
    <xf numFmtId="2" fontId="2" fillId="5" borderId="4" xfId="0" applyNumberFormat="1" applyFont="1" applyFill="1" applyBorder="1" applyAlignment="1" applyProtection="1">
      <alignment horizontal="center" vertical="center"/>
      <protection locked="0"/>
    </xf>
    <xf numFmtId="2" fontId="0" fillId="0" borderId="0" xfId="0" applyNumberFormat="1" applyAlignment="1" applyProtection="1">
      <alignment horizontal="center" vertical="center"/>
      <protection locked="0"/>
    </xf>
    <xf numFmtId="2" fontId="2" fillId="3" borderId="7" xfId="0" applyNumberFormat="1" applyFont="1" applyFill="1" applyBorder="1" applyAlignment="1" applyProtection="1">
      <alignment horizontal="center" vertical="center"/>
      <protection locked="0"/>
    </xf>
    <xf numFmtId="2" fontId="2" fillId="3" borderId="4" xfId="0" applyNumberFormat="1" applyFont="1" applyFill="1" applyBorder="1" applyAlignment="1" applyProtection="1">
      <alignment horizontal="center" vertical="center"/>
      <protection locked="0"/>
    </xf>
    <xf numFmtId="0" fontId="2" fillId="3" borderId="2"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left" vertical="center"/>
    </xf>
    <xf numFmtId="0" fontId="12" fillId="0" borderId="1" xfId="0" applyFont="1" applyBorder="1" applyAlignment="1" applyProtection="1">
      <alignment horizontal="left" vertical="center" wrapText="1"/>
      <protection locked="0"/>
    </xf>
    <xf numFmtId="0" fontId="2" fillId="9" borderId="1" xfId="0" applyFont="1" applyFill="1" applyBorder="1" applyAlignment="1">
      <alignment horizontal="center" vertical="center" wrapText="1"/>
    </xf>
    <xf numFmtId="0" fontId="2" fillId="15" borderId="1" xfId="0" applyFont="1" applyFill="1" applyBorder="1" applyAlignment="1">
      <alignment horizontal="center" vertical="center" wrapText="1"/>
    </xf>
    <xf numFmtId="0" fontId="2" fillId="15" borderId="6" xfId="0" applyFont="1" applyFill="1" applyBorder="1" applyAlignment="1">
      <alignment horizontal="center" vertical="center" wrapText="1"/>
    </xf>
    <xf numFmtId="0" fontId="2" fillId="15" borderId="9" xfId="0" applyFont="1" applyFill="1" applyBorder="1" applyAlignment="1">
      <alignment horizontal="center" vertical="center" wrapText="1"/>
    </xf>
    <xf numFmtId="0" fontId="2" fillId="15" borderId="10" xfId="0" applyFont="1" applyFill="1" applyBorder="1" applyAlignment="1">
      <alignment horizontal="center" vertical="center" wrapText="1"/>
    </xf>
    <xf numFmtId="0" fontId="0" fillId="15" borderId="1" xfId="0" applyFill="1" applyBorder="1" applyAlignment="1">
      <alignment horizontal="center"/>
    </xf>
    <xf numFmtId="0" fontId="2" fillId="9" borderId="1" xfId="0" applyFont="1" applyFill="1" applyBorder="1" applyAlignment="1">
      <alignment horizontal="left" vertical="center" wrapText="1"/>
    </xf>
    <xf numFmtId="0" fontId="13" fillId="15" borderId="1" xfId="0" applyFont="1" applyFill="1" applyBorder="1" applyAlignment="1" applyProtection="1">
      <alignment horizontal="center" vertical="center" wrapText="1"/>
      <protection locked="0"/>
    </xf>
    <xf numFmtId="10" fontId="2" fillId="9" borderId="2" xfId="2" applyNumberFormat="1" applyFont="1" applyFill="1" applyBorder="1" applyAlignment="1" applyProtection="1">
      <alignment horizontal="center" vertical="center"/>
    </xf>
    <xf numFmtId="10" fontId="2" fillId="9" borderId="8" xfId="2" applyNumberFormat="1" applyFont="1" applyFill="1" applyBorder="1" applyAlignment="1" applyProtection="1">
      <alignment horizontal="center" vertical="center"/>
    </xf>
    <xf numFmtId="10" fontId="2" fillId="9" borderId="3" xfId="2" applyNumberFormat="1" applyFont="1" applyFill="1" applyBorder="1" applyAlignment="1" applyProtection="1">
      <alignment horizontal="center" vertical="center"/>
    </xf>
    <xf numFmtId="0" fontId="2" fillId="9" borderId="6" xfId="0" applyFont="1" applyFill="1" applyBorder="1" applyAlignment="1">
      <alignment horizontal="center" vertical="center"/>
    </xf>
    <xf numFmtId="0" fontId="2" fillId="9" borderId="10" xfId="0" applyFont="1" applyFill="1" applyBorder="1" applyAlignment="1">
      <alignment horizontal="center" vertical="center"/>
    </xf>
    <xf numFmtId="10" fontId="2" fillId="9" borderId="1" xfId="2" applyNumberFormat="1" applyFont="1" applyFill="1" applyBorder="1" applyAlignment="1" applyProtection="1">
      <alignment horizontal="center" vertical="center" wrapText="1"/>
    </xf>
    <xf numFmtId="0" fontId="7" fillId="0" borderId="2" xfId="0" applyFont="1" applyBorder="1" applyAlignment="1">
      <alignment vertical="top"/>
    </xf>
    <xf numFmtId="0" fontId="7" fillId="0" borderId="3" xfId="0" applyFont="1" applyBorder="1" applyAlignment="1">
      <alignment vertical="top"/>
    </xf>
    <xf numFmtId="0" fontId="4" fillId="0" borderId="0" xfId="0" applyFont="1" applyAlignment="1">
      <alignment horizont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9" fillId="0" borderId="0" xfId="3" applyAlignment="1" applyProtection="1">
      <alignment horizontal="left" vertical="center"/>
    </xf>
    <xf numFmtId="0" fontId="0" fillId="0" borderId="0" xfId="0" applyAlignment="1">
      <alignment horizontal="left" vertical="center"/>
    </xf>
    <xf numFmtId="0" fontId="2" fillId="16" borderId="4" xfId="0" applyFont="1" applyFill="1" applyBorder="1" applyAlignment="1">
      <alignment horizontal="center"/>
    </xf>
  </cellXfs>
  <cellStyles count="5">
    <cellStyle name="Currency" xfId="1" builtinId="4"/>
    <cellStyle name="Hyperlink" xfId="3" builtinId="8"/>
    <cellStyle name="Normal" xfId="0" builtinId="0"/>
    <cellStyle name="Normal 2" xfId="4" xr:uid="{64EBEAA3-ADC4-4E1D-A009-E742316EFDDC}"/>
    <cellStyle name="Percent" xfId="2" builtinId="5"/>
  </cellStyles>
  <dxfs count="1">
    <dxf>
      <fill>
        <patternFill>
          <bgColor rgb="FFFF61FF"/>
        </patternFill>
      </fill>
    </dxf>
  </dxfs>
  <tableStyles count="0" defaultTableStyle="TableStyleMedium9" defaultPivotStyle="PivotStyleLight16"/>
  <colors>
    <mruColors>
      <color rgb="FFFF61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Drop" dropLines="2" dropStyle="combo" dx="16" fmlaLink="$B$6" fmlaRange="$A$52:$A$53" noThreeD="1" sel="1" val="0"/>
</file>

<file path=xl/ctrlProps/ctrlProp2.xml><?xml version="1.0" encoding="utf-8"?>
<formControlPr xmlns="http://schemas.microsoft.com/office/spreadsheetml/2009/9/main" objectType="Drop" dropLines="2" dropStyle="combo" dx="16" fmlaLink="$B$6" fmlaRange="$A$54:$A$55" noThreeD="1" sel="2" val="0"/>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hyperlink" Target="https://www.transportation.gov/sites/dot.gov/files/2023-12/Benefit%20Cost%20Analysis%20Guidance%202024%20Update.pdf" TargetMode="External"/><Relationship Id="rId1" Type="http://schemas.openxmlformats.org/officeDocument/2006/relationships/hyperlink" Target="http://www.dot.gov/sites/dot.gov/files/docs/TIGER%20BCA%20Resource%20Guide%202014.pdf" TargetMode="External"/></Relationships>
</file>

<file path=xl/drawings/drawing1.xml><?xml version="1.0" encoding="utf-8"?>
<xdr:wsDr xmlns:xdr="http://schemas.openxmlformats.org/drawingml/2006/spreadsheetDrawing" xmlns:a="http://schemas.openxmlformats.org/drawingml/2006/main">
  <xdr:twoCellAnchor>
    <xdr:from>
      <xdr:col>0</xdr:col>
      <xdr:colOff>335445</xdr:colOff>
      <xdr:row>1</xdr:row>
      <xdr:rowOff>74540</xdr:rowOff>
    </xdr:from>
    <xdr:to>
      <xdr:col>11</xdr:col>
      <xdr:colOff>503582</xdr:colOff>
      <xdr:row>100</xdr:row>
      <xdr:rowOff>99392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35445" y="260070"/>
          <a:ext cx="10822885" cy="18392365"/>
        </a:xfrm>
        <a:prstGeom prst="rect">
          <a:avLst/>
        </a:prstGeom>
        <a:solidFill>
          <a:schemeClr val="bg1">
            <a:lumMod val="95000"/>
          </a:schemeClr>
        </a:solidFill>
        <a:ln>
          <a:solidFill>
            <a:schemeClr val="accent1">
              <a:lumMod val="50000"/>
            </a:schemeClr>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dk1"/>
              </a:solidFill>
              <a:effectLst/>
              <a:latin typeface="+mn-lt"/>
              <a:ea typeface="+mn-ea"/>
              <a:cs typeface="+mn-cs"/>
            </a:rPr>
            <a:t>Instructions: </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On the "Inputs &amp; Outputs" tab, fill in all "blue " shaded sections (Project Information, Proposed Improvement Information and Daily Travel Demand). Download 2018-2022 	crash data and Ped bike commuter analysis from interactive web applications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 paste them into ‘Raw Crash data’ and ‘Ped Bike commuter analysis data’ tabs 	(instructions are provided below). </a:t>
          </a:r>
        </a:p>
        <a:p>
          <a:r>
            <a:rPr lang="en-US" sz="1100" b="1">
              <a:solidFill>
                <a:schemeClr val="dk1"/>
              </a:solidFill>
              <a:effectLst/>
              <a:latin typeface="+mn-lt"/>
              <a:ea typeface="+mn-ea"/>
              <a:cs typeface="+mn-cs"/>
            </a:rPr>
            <a:t>Project Information:</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Project Title: Enter the proposed project name/title.</a:t>
          </a:r>
        </a:p>
        <a:p>
          <a:r>
            <a:rPr lang="en-US" sz="1100">
              <a:solidFill>
                <a:schemeClr val="dk1"/>
              </a:solidFill>
              <a:effectLst/>
              <a:latin typeface="+mn-lt"/>
              <a:ea typeface="+mn-ea"/>
              <a:cs typeface="+mn-cs"/>
            </a:rPr>
            <a:t>	County: Select County name from the drop-down list.  If the proposed roadway project crosses county boundary, then select the county that contains majority of the 	project area.</a:t>
          </a:r>
        </a:p>
        <a:p>
          <a:r>
            <a:rPr lang="en-US" sz="1100">
              <a:solidFill>
                <a:schemeClr val="dk1"/>
              </a:solidFill>
              <a:effectLst/>
              <a:latin typeface="+mn-lt"/>
              <a:ea typeface="+mn-ea"/>
              <a:cs typeface="+mn-cs"/>
            </a:rPr>
            <a:t>	Facility Type: Select the facility type of the proposed project from the drop-down list.</a:t>
          </a:r>
        </a:p>
        <a:p>
          <a:r>
            <a:rPr lang="en-US" sz="1100">
              <a:solidFill>
                <a:schemeClr val="dk1"/>
              </a:solidFill>
              <a:effectLst/>
              <a:latin typeface="+mn-lt"/>
              <a:ea typeface="+mn-ea"/>
              <a:cs typeface="+mn-cs"/>
            </a:rPr>
            <a:t>	Street Name: Enter name of the facility on which proposed project/improvement is located. </a:t>
          </a:r>
        </a:p>
        <a:p>
          <a:r>
            <a:rPr lang="en-US" sz="1100">
              <a:solidFill>
                <a:schemeClr val="dk1"/>
              </a:solidFill>
              <a:effectLst/>
              <a:latin typeface="+mn-lt"/>
              <a:ea typeface="+mn-ea"/>
              <a:cs typeface="+mn-cs"/>
            </a:rPr>
            <a:t>	Limits: Enter name limits from and to.</a:t>
          </a:r>
        </a:p>
        <a:p>
          <a:r>
            <a:rPr lang="en-US" sz="1100">
              <a:solidFill>
                <a:schemeClr val="dk1"/>
              </a:solidFill>
              <a:effectLst/>
              <a:latin typeface="+mn-lt"/>
              <a:ea typeface="+mn-ea"/>
              <a:cs typeface="+mn-cs"/>
            </a:rPr>
            <a:t>	Project Length: Provide project length in miles.  For intersection improvements, interchange construction, highway or railroad grade separation projects please use the 	distance up to next intersection (on either side of the proposed project intersection) or 0.25 miles 	whichever is smaller in length.</a:t>
          </a:r>
        </a:p>
        <a:p>
          <a:r>
            <a:rPr lang="en-US" sz="1100">
              <a:solidFill>
                <a:schemeClr val="dk1"/>
              </a:solidFill>
              <a:effectLst/>
              <a:latin typeface="+mn-lt"/>
              <a:ea typeface="+mn-ea"/>
              <a:cs typeface="+mn-cs"/>
            </a:rPr>
            <a:t>	Application Id Number: Please provide online project application Id Number.</a:t>
          </a:r>
        </a:p>
        <a:p>
          <a:r>
            <a:rPr lang="en-US" sz="1100">
              <a:solidFill>
                <a:schemeClr val="dk1"/>
              </a:solidFill>
              <a:effectLst/>
              <a:latin typeface="+mn-lt"/>
              <a:ea typeface="+mn-ea"/>
              <a:cs typeface="+mn-cs"/>
            </a:rPr>
            <a:t>	CSJ Number/MPOID Number (C13): If the proposed project is listed in 2045 RTP or any previous RTPs please provide the MPOID number and CSJ number (if it exists).</a:t>
          </a:r>
        </a:p>
        <a:p>
          <a:r>
            <a:rPr lang="en-US" sz="1100">
              <a:solidFill>
                <a:schemeClr val="dk1"/>
              </a:solidFill>
              <a:effectLst/>
              <a:latin typeface="+mn-lt"/>
              <a:ea typeface="+mn-ea"/>
              <a:cs typeface="+mn-cs"/>
            </a:rPr>
            <a:t> </a:t>
          </a:r>
          <a:r>
            <a:rPr lang="en-US" sz="1100" b="1" i="1">
              <a:solidFill>
                <a:schemeClr val="dk1"/>
              </a:solidFill>
              <a:effectLst/>
              <a:latin typeface="+mn-lt"/>
              <a:ea typeface="+mn-ea"/>
              <a:cs typeface="+mn-cs"/>
            </a:rPr>
            <a:t>Proposed Improvement Information</a:t>
          </a:r>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i="1">
              <a:solidFill>
                <a:schemeClr val="dk1"/>
              </a:solidFill>
              <a:effectLst/>
              <a:latin typeface="+mn-lt"/>
              <a:ea typeface="+mn-ea"/>
              <a:cs typeface="+mn-cs"/>
            </a:rPr>
            <a:t>	Year Open to Traffic Must be &gt;=2025:</a:t>
          </a:r>
          <a:r>
            <a:rPr lang="en-US" sz="1100">
              <a:solidFill>
                <a:schemeClr val="dk1"/>
              </a:solidFill>
              <a:effectLst/>
              <a:latin typeface="+mn-lt"/>
              <a:ea typeface="+mn-ea"/>
              <a:cs typeface="+mn-cs"/>
            </a:rPr>
            <a:t> Select the year Open to Traffic from the drop-down list in cell C16.</a:t>
          </a:r>
        </a:p>
        <a:p>
          <a:r>
            <a:rPr lang="en-US" sz="1100" i="1">
              <a:solidFill>
                <a:schemeClr val="dk1"/>
              </a:solidFill>
              <a:effectLst/>
              <a:latin typeface="+mn-lt"/>
              <a:ea typeface="+mn-ea"/>
              <a:cs typeface="+mn-cs"/>
            </a:rPr>
            <a:t>	Safety Improvement Type 1, 2, and 3:</a:t>
          </a:r>
          <a:r>
            <a:rPr lang="en-US" sz="1100">
              <a:solidFill>
                <a:schemeClr val="dk1"/>
              </a:solidFill>
              <a:effectLst/>
              <a:latin typeface="+mn-lt"/>
              <a:ea typeface="+mn-ea"/>
              <a:cs typeface="+mn-cs"/>
            </a:rPr>
            <a:t> Select up to 3 safety improvement types from the dropdown lists.</a:t>
          </a:r>
        </a:p>
        <a:p>
          <a:r>
            <a:rPr lang="en-US" sz="1100" i="1">
              <a:solidFill>
                <a:schemeClr val="dk1"/>
              </a:solidFill>
              <a:effectLst/>
              <a:latin typeface="+mn-lt"/>
              <a:ea typeface="+mn-ea"/>
              <a:cs typeface="+mn-cs"/>
            </a:rPr>
            <a:t>	Bike/Ped Improvement Type: Select bike/ped improvement type from the dropdown list. If no bike/ped improvements are proposed leave blank. </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Daily Travel Demand</a:t>
          </a:r>
          <a:r>
            <a:rPr lang="en-US" sz="1100" i="1">
              <a:solidFill>
                <a:schemeClr val="dk1"/>
              </a:solidFill>
              <a:effectLst/>
              <a:latin typeface="+mn-lt"/>
              <a:ea typeface="+mn-ea"/>
              <a:cs typeface="+mn-cs"/>
            </a:rPr>
            <a:t>:</a:t>
          </a:r>
          <a:endParaRPr lang="en-US" sz="1100">
            <a:solidFill>
              <a:schemeClr val="dk1"/>
            </a:solidFill>
            <a:effectLst/>
            <a:latin typeface="+mn-lt"/>
            <a:ea typeface="+mn-ea"/>
            <a:cs typeface="+mn-cs"/>
          </a:endParaRPr>
        </a:p>
        <a:p>
          <a:r>
            <a:rPr lang="en-US" sz="1100" i="1">
              <a:solidFill>
                <a:schemeClr val="dk1"/>
              </a:solidFill>
              <a:effectLst/>
              <a:latin typeface="+mn-lt"/>
              <a:ea typeface="+mn-ea"/>
              <a:cs typeface="+mn-cs"/>
            </a:rPr>
            <a:t>	2022 Traffic Volume: </a:t>
          </a:r>
          <a:r>
            <a:rPr lang="en-US" sz="1100">
              <a:solidFill>
                <a:schemeClr val="dk1"/>
              </a:solidFill>
              <a:effectLst/>
              <a:latin typeface="+mn-lt"/>
              <a:ea typeface="+mn-ea"/>
              <a:cs typeface="+mn-cs"/>
            </a:rPr>
            <a:t>Enter estimated 2022 AADT. H-GAC traffic count data is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 (For new road construction projects please reach out to H-GAC staff)</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Raw Crash data:</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	</a:t>
          </a:r>
          <a:r>
            <a:rPr lang="en-US" sz="1100" kern="300" spc="0" baseline="0">
              <a:solidFill>
                <a:schemeClr val="dk1"/>
              </a:solidFill>
              <a:effectLst/>
              <a:latin typeface="+mn-lt"/>
              <a:ea typeface="+mn-ea"/>
              <a:cs typeface="+mn-cs"/>
            </a:rPr>
            <a:t>Open Regional Crash data available </a:t>
          </a:r>
          <a:r>
            <a:rPr lang="en-US" sz="1100" u="sng" kern="300" spc="0" baseline="0">
              <a:solidFill>
                <a:schemeClr val="dk1"/>
              </a:solidFill>
              <a:effectLst/>
              <a:latin typeface="+mn-lt"/>
              <a:ea typeface="+mn-ea"/>
              <a:cs typeface="+mn-cs"/>
              <a:hlinkClick xmlns:r="http://schemas.openxmlformats.org/officeDocument/2006/relationships" r:id=""/>
            </a:rPr>
            <a:t>here</a:t>
          </a:r>
          <a:r>
            <a:rPr lang="en-US" sz="1100" kern="300" spc="0" baseline="0">
              <a:solidFill>
                <a:schemeClr val="dk1"/>
              </a:solidFill>
              <a:effectLst/>
              <a:latin typeface="+mn-lt"/>
              <a:ea typeface="+mn-ea"/>
              <a:cs typeface="+mn-cs"/>
            </a:rPr>
            <a:t>.</a:t>
          </a:r>
        </a:p>
        <a:p>
          <a:endParaRPr lang="en-US" sz="1100" kern="300" spc="0" baseline="0">
            <a:solidFill>
              <a:schemeClr val="dk1"/>
            </a:solidFill>
            <a:effectLst/>
            <a:latin typeface="+mn-lt"/>
            <a:ea typeface="+mn-ea"/>
            <a:cs typeface="+mn-cs"/>
          </a:endParaRPr>
        </a:p>
        <a:p>
          <a:r>
            <a:rPr lang="en-US" sz="1100" kern="300" spc="0" baseline="0">
              <a:solidFill>
                <a:schemeClr val="dk1"/>
              </a:solidFill>
              <a:effectLst/>
              <a:latin typeface="+mn-lt"/>
              <a:ea typeface="+mn-ea"/>
              <a:cs typeface="+mn-cs"/>
            </a:rPr>
            <a:t>	Open Crash Data Viewer tab</a:t>
          </a:r>
        </a:p>
        <a:p>
          <a:r>
            <a:rPr lang="en-US" sz="1100" kern="300" spc="0" baseline="0">
              <a:solidFill>
                <a:schemeClr val="dk1"/>
              </a:solidFill>
              <a:effectLst/>
              <a:latin typeface="+mn-lt"/>
              <a:ea typeface="+mn-ea"/>
              <a:cs typeface="+mn-cs"/>
            </a:rPr>
            <a:t>	Click on Location Analysis Widget </a:t>
          </a:r>
        </a:p>
        <a:p>
          <a:r>
            <a:rPr lang="en-US" sz="1100" kern="300" spc="0" baseline="0">
              <a:solidFill>
                <a:schemeClr val="dk1"/>
              </a:solidFill>
              <a:effectLst/>
              <a:latin typeface="+mn-lt"/>
              <a:ea typeface="+mn-ea"/>
              <a:cs typeface="+mn-cs"/>
            </a:rPr>
            <a:t>	Analysis </a:t>
          </a:r>
          <a:r>
            <a:rPr lang="en-US" sz="1100">
              <a:solidFill>
                <a:schemeClr val="dk1"/>
              </a:solidFill>
              <a:effectLst/>
              <a:latin typeface="+mn-lt"/>
              <a:ea typeface="+mn-ea"/>
              <a:cs typeface="+mn-cs"/>
            </a:rPr>
            <a:t>control panel appears at the bottom of the application.</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For corridor projects click on Draw Line </a:t>
          </a:r>
        </a:p>
        <a:p>
          <a:r>
            <a:rPr lang="en-US" sz="1100">
              <a:solidFill>
                <a:schemeClr val="dk1"/>
              </a:solidFill>
              <a:effectLst/>
              <a:latin typeface="+mn-lt"/>
              <a:ea typeface="+mn-ea"/>
              <a:cs typeface="+mn-cs"/>
            </a:rPr>
            <a:t>	Locate your mouse point at project location and draw a line</a:t>
          </a:r>
        </a:p>
        <a:p>
          <a:r>
            <a:rPr lang="en-US" sz="1100">
              <a:solidFill>
                <a:schemeClr val="dk1"/>
              </a:solidFill>
              <a:effectLst/>
              <a:latin typeface="+mn-lt"/>
              <a:ea typeface="+mn-ea"/>
              <a:cs typeface="+mn-cs"/>
            </a:rPr>
            <a:t>	Create a buffer 0.02 miles (~100 feet) for divided highway set buffer distance that can capture both directions. If project dose not include improvements to frontage roads 	make sure to exclude frontage roads from selection.</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All Crashes tab to view results.</a:t>
          </a:r>
        </a:p>
        <a:p>
          <a:r>
            <a:rPr lang="en-US" sz="1100">
              <a:solidFill>
                <a:schemeClr val="dk1"/>
              </a:solidFill>
              <a:effectLst/>
              <a:latin typeface="+mn-lt"/>
              <a:ea typeface="+mn-ea"/>
              <a:cs typeface="+mn-cs"/>
            </a:rPr>
            <a:t>	Click Download  </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data in.csv format.  Save the file. </a:t>
          </a:r>
        </a:p>
        <a:p>
          <a:r>
            <a:rPr lang="en-US" sz="1100">
              <a:solidFill>
                <a:schemeClr val="dk1"/>
              </a:solidFill>
              <a:effectLst/>
              <a:latin typeface="+mn-lt"/>
              <a:ea typeface="+mn-ea"/>
              <a:cs typeface="+mn-cs"/>
            </a:rPr>
            <a:t>	Copy downloaded data and save it to Raw Crash data tab. Make sure to copy and save all data from cell A1</a:t>
          </a:r>
        </a:p>
        <a:p>
          <a:r>
            <a:rPr lang="en-US" sz="1100">
              <a:solidFill>
                <a:schemeClr val="dk1"/>
              </a:solidFill>
              <a:effectLst/>
              <a:latin typeface="+mn-lt"/>
              <a:ea typeface="+mn-ea"/>
              <a:cs typeface="+mn-cs"/>
            </a:rPr>
            <a:t>	For Intersection improvements, interchanges, grade separation click on Draw point </a:t>
          </a:r>
        </a:p>
        <a:p>
          <a:r>
            <a:rPr lang="en-US" sz="1100">
              <a:solidFill>
                <a:schemeClr val="dk1"/>
              </a:solidFill>
              <a:effectLst/>
              <a:latin typeface="+mn-lt"/>
              <a:ea typeface="+mn-ea"/>
              <a:cs typeface="+mn-cs"/>
            </a:rPr>
            <a:t>	Create a buffer 0.25 miles</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All Crashes tab to view results.</a:t>
          </a:r>
        </a:p>
        <a:p>
          <a:r>
            <a:rPr lang="en-US" sz="1100">
              <a:solidFill>
                <a:schemeClr val="dk1"/>
              </a:solidFill>
              <a:effectLst/>
              <a:latin typeface="+mn-lt"/>
              <a:ea typeface="+mn-ea"/>
              <a:cs typeface="+mn-cs"/>
            </a:rPr>
            <a:t>	Click Download        in.csv format.  Save the file. </a:t>
          </a:r>
        </a:p>
        <a:p>
          <a:r>
            <a:rPr lang="en-US" sz="1100">
              <a:solidFill>
                <a:schemeClr val="dk1"/>
              </a:solidFill>
              <a:effectLst/>
              <a:latin typeface="+mn-lt"/>
              <a:ea typeface="+mn-ea"/>
              <a:cs typeface="+mn-cs"/>
            </a:rPr>
            <a:t>	Copy downloaded data and save it to Raw Crash data tab. Make sure to copy and save all data from cell A1</a:t>
          </a:r>
        </a:p>
        <a:p>
          <a:r>
            <a:rPr lang="en-US" sz="1100" b="1" i="1">
              <a:solidFill>
                <a:schemeClr val="dk1"/>
              </a:solidFill>
              <a:effectLst/>
              <a:latin typeface="+mn-lt"/>
              <a:ea typeface="+mn-ea"/>
              <a:cs typeface="+mn-cs"/>
            </a:rPr>
            <a:t>Ped bike commuter analysis data</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Open Activity-Connectivity Explorer – Advanced Viewer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a:t>
          </a:r>
        </a:p>
        <a:p>
          <a:r>
            <a:rPr lang="en-US" sz="1100">
              <a:solidFill>
                <a:schemeClr val="dk1"/>
              </a:solidFill>
              <a:effectLst/>
              <a:latin typeface="+mn-lt"/>
              <a:ea typeface="+mn-ea"/>
              <a:cs typeface="+mn-cs"/>
            </a:rPr>
            <a:t>	Click on Location Analysis Widget </a:t>
          </a:r>
        </a:p>
        <a:p>
          <a:r>
            <a:rPr lang="en-US" sz="1100">
              <a:solidFill>
                <a:schemeClr val="dk1"/>
              </a:solidFill>
              <a:effectLst/>
              <a:latin typeface="+mn-lt"/>
              <a:ea typeface="+mn-ea"/>
              <a:cs typeface="+mn-cs"/>
            </a:rPr>
            <a:t>	Analysis control panel appears at the bottom of the application.</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For corridor projects click on Draw Line </a:t>
          </a:r>
        </a:p>
        <a:p>
          <a:r>
            <a:rPr lang="en-US" sz="1100">
              <a:solidFill>
                <a:schemeClr val="dk1"/>
              </a:solidFill>
              <a:effectLst/>
              <a:latin typeface="+mn-lt"/>
              <a:ea typeface="+mn-ea"/>
              <a:cs typeface="+mn-cs"/>
            </a:rPr>
            <a:t>	Locate your mouse point at project location and draw a line</a:t>
          </a:r>
        </a:p>
        <a:p>
          <a:r>
            <a:rPr lang="en-US" sz="1100">
              <a:solidFill>
                <a:schemeClr val="dk1"/>
              </a:solidFill>
              <a:effectLst/>
              <a:latin typeface="+mn-lt"/>
              <a:ea typeface="+mn-ea"/>
              <a:cs typeface="+mn-cs"/>
            </a:rPr>
            <a:t>	Create a buffer 0.25 miles.</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Ped-Bike Commuter Analysis tab to view results.</a:t>
          </a:r>
        </a:p>
        <a:p>
          <a:r>
            <a:rPr lang="en-US" sz="1100">
              <a:solidFill>
                <a:schemeClr val="dk1"/>
              </a:solidFill>
              <a:effectLst/>
              <a:latin typeface="+mn-lt"/>
              <a:ea typeface="+mn-ea"/>
              <a:cs typeface="+mn-cs"/>
            </a:rPr>
            <a:t>	Click Download        data in.csv format.  Save the file. </a:t>
          </a:r>
        </a:p>
        <a:p>
          <a:r>
            <a:rPr lang="en-US" sz="1100">
              <a:solidFill>
                <a:schemeClr val="dk1"/>
              </a:solidFill>
              <a:effectLst/>
              <a:latin typeface="+mn-lt"/>
              <a:ea typeface="+mn-ea"/>
              <a:cs typeface="+mn-cs"/>
            </a:rPr>
            <a:t>	Copy downloaded data and save it to Ped bike commuter analysis tab. Make sure to copy and save all data from cell A1</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b="1" baseline="0">
            <a:solidFill>
              <a:schemeClr val="bg1"/>
            </a:solidFill>
            <a:latin typeface="+mn-lt"/>
          </a:endParaRPr>
        </a:p>
      </xdr:txBody>
    </xdr:sp>
    <xdr:clientData/>
  </xdr:twoCellAnchor>
  <xdr:twoCellAnchor editAs="oneCell">
    <xdr:from>
      <xdr:col>0</xdr:col>
      <xdr:colOff>3001617</xdr:colOff>
      <xdr:row>25</xdr:row>
      <xdr:rowOff>78995</xdr:rowOff>
    </xdr:from>
    <xdr:to>
      <xdr:col>1</xdr:col>
      <xdr:colOff>735496</xdr:colOff>
      <xdr:row>26</xdr:row>
      <xdr:rowOff>72743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01617" y="4717256"/>
          <a:ext cx="828262" cy="179278"/>
        </a:xfrm>
        <a:prstGeom prst="rect">
          <a:avLst/>
        </a:prstGeom>
      </xdr:spPr>
    </xdr:pic>
    <xdr:clientData/>
  </xdr:twoCellAnchor>
  <xdr:twoCellAnchor editAs="oneCell">
    <xdr:from>
      <xdr:col>1</xdr:col>
      <xdr:colOff>185530</xdr:colOff>
      <xdr:row>26</xdr:row>
      <xdr:rowOff>99392</xdr:rowOff>
    </xdr:from>
    <xdr:to>
      <xdr:col>1</xdr:col>
      <xdr:colOff>364648</xdr:colOff>
      <xdr:row>27</xdr:row>
      <xdr:rowOff>89567</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79913" y="4923183"/>
          <a:ext cx="179118" cy="175706"/>
        </a:xfrm>
        <a:prstGeom prst="rect">
          <a:avLst/>
        </a:prstGeom>
      </xdr:spPr>
    </xdr:pic>
    <xdr:clientData/>
  </xdr:twoCellAnchor>
  <xdr:twoCellAnchor editAs="oneCell">
    <xdr:from>
      <xdr:col>0</xdr:col>
      <xdr:colOff>1230893</xdr:colOff>
      <xdr:row>29</xdr:row>
      <xdr:rowOff>103772</xdr:rowOff>
    </xdr:from>
    <xdr:to>
      <xdr:col>1</xdr:col>
      <xdr:colOff>390347</xdr:colOff>
      <xdr:row>33</xdr:row>
      <xdr:rowOff>80371</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1230893" y="5303301"/>
          <a:ext cx="2252278" cy="693776"/>
        </a:xfrm>
        <a:prstGeom prst="rect">
          <a:avLst/>
        </a:prstGeom>
      </xdr:spPr>
    </xdr:pic>
    <xdr:clientData/>
  </xdr:twoCellAnchor>
  <xdr:twoCellAnchor editAs="oneCell">
    <xdr:from>
      <xdr:col>1</xdr:col>
      <xdr:colOff>527602</xdr:colOff>
      <xdr:row>33</xdr:row>
      <xdr:rowOff>133785</xdr:rowOff>
    </xdr:from>
    <xdr:to>
      <xdr:col>1</xdr:col>
      <xdr:colOff>691432</xdr:colOff>
      <xdr:row>34</xdr:row>
      <xdr:rowOff>116530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3620426" y="6050491"/>
          <a:ext cx="163830" cy="162039"/>
        </a:xfrm>
        <a:prstGeom prst="rect">
          <a:avLst/>
        </a:prstGeom>
      </xdr:spPr>
    </xdr:pic>
    <xdr:clientData/>
  </xdr:twoCellAnchor>
  <xdr:twoCellAnchor editAs="oneCell">
    <xdr:from>
      <xdr:col>0</xdr:col>
      <xdr:colOff>1338470</xdr:colOff>
      <xdr:row>36</xdr:row>
      <xdr:rowOff>107467</xdr:rowOff>
    </xdr:from>
    <xdr:to>
      <xdr:col>3</xdr:col>
      <xdr:colOff>1492583</xdr:colOff>
      <xdr:row>48</xdr:row>
      <xdr:rowOff>165652</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stretch>
          <a:fillRect/>
        </a:stretch>
      </xdr:blipFill>
      <xdr:spPr>
        <a:xfrm>
          <a:off x="1338470" y="6786563"/>
          <a:ext cx="4474322" cy="2284550"/>
        </a:xfrm>
        <a:prstGeom prst="rect">
          <a:avLst/>
        </a:prstGeom>
      </xdr:spPr>
    </xdr:pic>
    <xdr:clientData/>
  </xdr:twoCellAnchor>
  <xdr:twoCellAnchor editAs="oneCell">
    <xdr:from>
      <xdr:col>0</xdr:col>
      <xdr:colOff>2303394</xdr:colOff>
      <xdr:row>50</xdr:row>
      <xdr:rowOff>41410</xdr:rowOff>
    </xdr:from>
    <xdr:to>
      <xdr:col>0</xdr:col>
      <xdr:colOff>2544694</xdr:colOff>
      <xdr:row>51</xdr:row>
      <xdr:rowOff>40665</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a:stretch>
          <a:fillRect/>
        </a:stretch>
      </xdr:blipFill>
      <xdr:spPr>
        <a:xfrm>
          <a:off x="2303394" y="9317932"/>
          <a:ext cx="241300" cy="184785"/>
        </a:xfrm>
        <a:prstGeom prst="rect">
          <a:avLst/>
        </a:prstGeom>
      </xdr:spPr>
    </xdr:pic>
    <xdr:clientData/>
  </xdr:twoCellAnchor>
  <xdr:twoCellAnchor editAs="oneCell">
    <xdr:from>
      <xdr:col>4</xdr:col>
      <xdr:colOff>189670</xdr:colOff>
      <xdr:row>52</xdr:row>
      <xdr:rowOff>41409</xdr:rowOff>
    </xdr:from>
    <xdr:to>
      <xdr:col>4</xdr:col>
      <xdr:colOff>373820</xdr:colOff>
      <xdr:row>53</xdr:row>
      <xdr:rowOff>46379</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7"/>
        <a:stretch>
          <a:fillRect/>
        </a:stretch>
      </xdr:blipFill>
      <xdr:spPr>
        <a:xfrm>
          <a:off x="6126644" y="9688992"/>
          <a:ext cx="184150" cy="190500"/>
        </a:xfrm>
        <a:prstGeom prst="rect">
          <a:avLst/>
        </a:prstGeom>
      </xdr:spPr>
    </xdr:pic>
    <xdr:clientData/>
  </xdr:twoCellAnchor>
  <xdr:twoCellAnchor editAs="oneCell">
    <xdr:from>
      <xdr:col>0</xdr:col>
      <xdr:colOff>1322731</xdr:colOff>
      <xdr:row>54</xdr:row>
      <xdr:rowOff>48038</xdr:rowOff>
    </xdr:from>
    <xdr:to>
      <xdr:col>3</xdr:col>
      <xdr:colOff>848139</xdr:colOff>
      <xdr:row>64</xdr:row>
      <xdr:rowOff>127947</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8"/>
        <a:stretch>
          <a:fillRect/>
        </a:stretch>
      </xdr:blipFill>
      <xdr:spPr>
        <a:xfrm>
          <a:off x="1322731" y="10066681"/>
          <a:ext cx="3845617" cy="1935214"/>
        </a:xfrm>
        <a:prstGeom prst="rect">
          <a:avLst/>
        </a:prstGeom>
      </xdr:spPr>
    </xdr:pic>
    <xdr:clientData/>
  </xdr:twoCellAnchor>
  <xdr:twoCellAnchor editAs="oneCell">
    <xdr:from>
      <xdr:col>0</xdr:col>
      <xdr:colOff>2217254</xdr:colOff>
      <xdr:row>66</xdr:row>
      <xdr:rowOff>160678</xdr:rowOff>
    </xdr:from>
    <xdr:to>
      <xdr:col>0</xdr:col>
      <xdr:colOff>2458554</xdr:colOff>
      <xdr:row>67</xdr:row>
      <xdr:rowOff>159933</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6"/>
        <a:stretch>
          <a:fillRect/>
        </a:stretch>
      </xdr:blipFill>
      <xdr:spPr>
        <a:xfrm>
          <a:off x="2217254" y="12405687"/>
          <a:ext cx="241300" cy="184785"/>
        </a:xfrm>
        <a:prstGeom prst="rect">
          <a:avLst/>
        </a:prstGeom>
      </xdr:spPr>
    </xdr:pic>
    <xdr:clientData/>
  </xdr:twoCellAnchor>
  <xdr:twoCellAnchor editAs="oneCell">
    <xdr:from>
      <xdr:col>1</xdr:col>
      <xdr:colOff>169791</xdr:colOff>
      <xdr:row>70</xdr:row>
      <xdr:rowOff>120924</xdr:rowOff>
    </xdr:from>
    <xdr:to>
      <xdr:col>1</xdr:col>
      <xdr:colOff>334891</xdr:colOff>
      <xdr:row>71</xdr:row>
      <xdr:rowOff>90968</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9"/>
        <a:stretch>
          <a:fillRect/>
        </a:stretch>
      </xdr:blipFill>
      <xdr:spPr>
        <a:xfrm>
          <a:off x="3264174" y="13108054"/>
          <a:ext cx="165100" cy="155575"/>
        </a:xfrm>
        <a:prstGeom prst="rect">
          <a:avLst/>
        </a:prstGeom>
      </xdr:spPr>
    </xdr:pic>
    <xdr:clientData/>
  </xdr:twoCellAnchor>
  <xdr:twoCellAnchor editAs="oneCell">
    <xdr:from>
      <xdr:col>0</xdr:col>
      <xdr:colOff>1335985</xdr:colOff>
      <xdr:row>72</xdr:row>
      <xdr:rowOff>147427</xdr:rowOff>
    </xdr:from>
    <xdr:to>
      <xdr:col>2</xdr:col>
      <xdr:colOff>120236</xdr:colOff>
      <xdr:row>77</xdr:row>
      <xdr:rowOff>93535</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3"/>
        <a:stretch>
          <a:fillRect/>
        </a:stretch>
      </xdr:blipFill>
      <xdr:spPr>
        <a:xfrm>
          <a:off x="1335985" y="13505618"/>
          <a:ext cx="2740025" cy="873760"/>
        </a:xfrm>
        <a:prstGeom prst="rect">
          <a:avLst/>
        </a:prstGeom>
      </xdr:spPr>
    </xdr:pic>
    <xdr:clientData/>
  </xdr:twoCellAnchor>
  <xdr:twoCellAnchor editAs="oneCell">
    <xdr:from>
      <xdr:col>1</xdr:col>
      <xdr:colOff>534227</xdr:colOff>
      <xdr:row>78</xdr:row>
      <xdr:rowOff>120922</xdr:rowOff>
    </xdr:from>
    <xdr:to>
      <xdr:col>1</xdr:col>
      <xdr:colOff>698057</xdr:colOff>
      <xdr:row>79</xdr:row>
      <xdr:rowOff>103667</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a:stretch>
          <a:fillRect/>
        </a:stretch>
      </xdr:blipFill>
      <xdr:spPr>
        <a:xfrm>
          <a:off x="3628610" y="14592296"/>
          <a:ext cx="163830" cy="168275"/>
        </a:xfrm>
        <a:prstGeom prst="rect">
          <a:avLst/>
        </a:prstGeom>
      </xdr:spPr>
    </xdr:pic>
    <xdr:clientData/>
  </xdr:twoCellAnchor>
  <xdr:twoCellAnchor editAs="oneCell">
    <xdr:from>
      <xdr:col>0</xdr:col>
      <xdr:colOff>1316107</xdr:colOff>
      <xdr:row>82</xdr:row>
      <xdr:rowOff>1654</xdr:rowOff>
    </xdr:from>
    <xdr:to>
      <xdr:col>3</xdr:col>
      <xdr:colOff>1086678</xdr:colOff>
      <xdr:row>93</xdr:row>
      <xdr:rowOff>24404</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0"/>
        <a:stretch>
          <a:fillRect/>
        </a:stretch>
      </xdr:blipFill>
      <xdr:spPr>
        <a:xfrm>
          <a:off x="1316107" y="15215150"/>
          <a:ext cx="4090780" cy="2063584"/>
        </a:xfrm>
        <a:prstGeom prst="rect">
          <a:avLst/>
        </a:prstGeom>
      </xdr:spPr>
    </xdr:pic>
    <xdr:clientData/>
  </xdr:twoCellAnchor>
  <xdr:twoCellAnchor editAs="oneCell">
    <xdr:from>
      <xdr:col>0</xdr:col>
      <xdr:colOff>2223880</xdr:colOff>
      <xdr:row>95</xdr:row>
      <xdr:rowOff>74538</xdr:rowOff>
    </xdr:from>
    <xdr:to>
      <xdr:col>0</xdr:col>
      <xdr:colOff>2465180</xdr:colOff>
      <xdr:row>96</xdr:row>
      <xdr:rowOff>73792</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a:stretch>
          <a:fillRect/>
        </a:stretch>
      </xdr:blipFill>
      <xdr:spPr>
        <a:xfrm>
          <a:off x="2223880" y="17699929"/>
          <a:ext cx="241300" cy="1847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100854</xdr:colOff>
      <xdr:row>22</xdr:row>
      <xdr:rowOff>123265</xdr:rowOff>
    </xdr:from>
    <xdr:to>
      <xdr:col>5</xdr:col>
      <xdr:colOff>156884</xdr:colOff>
      <xdr:row>31</xdr:row>
      <xdr:rowOff>156882</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00854" y="4314265"/>
          <a:ext cx="7314080" cy="1748117"/>
        </a:xfrm>
        <a:prstGeom prst="rect">
          <a:avLst/>
        </a:prstGeom>
        <a:solidFill>
          <a:schemeClr val="accent2"/>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bg1"/>
              </a:solidFill>
            </a:rPr>
            <a:t>Instructions: </a:t>
          </a:r>
        </a:p>
        <a:p>
          <a:r>
            <a:rPr lang="en-US" sz="1100" b="0">
              <a:solidFill>
                <a:schemeClr val="bg1"/>
              </a:solidFill>
            </a:rPr>
            <a:t>1. Fill in all "blue" shaded sections ("Project Information" and "Daily System/Facility</a:t>
          </a:r>
          <a:r>
            <a:rPr lang="en-US" sz="1100" b="0" baseline="0">
              <a:solidFill>
                <a:schemeClr val="bg1"/>
              </a:solidFill>
            </a:rPr>
            <a:t> Data"). Project costs should be expressed in </a:t>
          </a:r>
          <a:r>
            <a:rPr lang="en-US" sz="1100" b="0" u="sng" baseline="0">
              <a:solidFill>
                <a:schemeClr val="bg1"/>
              </a:solidFill>
            </a:rPr>
            <a:t>thousands</a:t>
          </a:r>
          <a:r>
            <a:rPr lang="en-US" sz="1100" b="0" baseline="0">
              <a:solidFill>
                <a:schemeClr val="bg1"/>
              </a:solidFill>
            </a:rPr>
            <a:t> of 2012 dollars.</a:t>
          </a:r>
        </a:p>
        <a:p>
          <a:endParaRPr lang="en-US" sz="1100" b="0" baseline="0">
            <a:solidFill>
              <a:schemeClr val="bg1"/>
            </a:solidFill>
          </a:endParaRPr>
        </a:p>
        <a:p>
          <a:r>
            <a:rPr lang="en-US" sz="1100" b="0" baseline="0">
              <a:solidFill>
                <a:schemeClr val="bg1"/>
              </a:solidFill>
            </a:rPr>
            <a:t>2. Results will be populated in "red" shaded section ("BCA Results")</a:t>
          </a:r>
        </a:p>
        <a:p>
          <a:endParaRPr lang="en-US" sz="1100" b="1" baseline="0">
            <a:solidFill>
              <a:schemeClr val="bg1"/>
            </a:solidFill>
          </a:endParaRPr>
        </a:p>
        <a:p>
          <a:r>
            <a:rPr lang="en-US" sz="1100" b="1" baseline="0">
              <a:solidFill>
                <a:schemeClr val="bg1"/>
              </a:solidFill>
            </a:rPr>
            <a:t>Note: Annual VHT Savings can be entered directly into the "purple" shaded cells to the right. In this case, please provide sufficient documentation of how the delay savings have been estimated, including baseline data and interim calculation documents (spreadsheets, etc.).</a:t>
          </a:r>
        </a:p>
        <a:p>
          <a:endParaRPr lang="en-US" sz="11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0</xdr:colOff>
          <xdr:row>6</xdr:row>
          <xdr:rowOff>9525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100854</xdr:colOff>
      <xdr:row>22</xdr:row>
      <xdr:rowOff>123265</xdr:rowOff>
    </xdr:from>
    <xdr:to>
      <xdr:col>5</xdr:col>
      <xdr:colOff>156884</xdr:colOff>
      <xdr:row>31</xdr:row>
      <xdr:rowOff>156882</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00854" y="4314265"/>
          <a:ext cx="7314080" cy="1748117"/>
        </a:xfrm>
        <a:prstGeom prst="rect">
          <a:avLst/>
        </a:prstGeom>
        <a:solidFill>
          <a:schemeClr val="accent2"/>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bg1"/>
              </a:solidFill>
            </a:rPr>
            <a:t>Instructions: </a:t>
          </a:r>
        </a:p>
        <a:p>
          <a:r>
            <a:rPr lang="en-US" sz="1100" b="0">
              <a:solidFill>
                <a:schemeClr val="bg1"/>
              </a:solidFill>
            </a:rPr>
            <a:t>1. Fill in all "blue" shaded sections ("Project Information" and "Emissions Reduction Estimates</a:t>
          </a:r>
          <a:r>
            <a:rPr lang="en-US" sz="1100" b="0" baseline="0">
              <a:solidFill>
                <a:schemeClr val="bg1"/>
              </a:solidFill>
            </a:rPr>
            <a:t>"). Project costs should be expressed in </a:t>
          </a:r>
          <a:r>
            <a:rPr lang="en-US" sz="1100" b="0" u="sng" baseline="0">
              <a:solidFill>
                <a:schemeClr val="bg1"/>
              </a:solidFill>
            </a:rPr>
            <a:t>thousands</a:t>
          </a:r>
          <a:r>
            <a:rPr lang="en-US" sz="1100" b="0" baseline="0">
              <a:solidFill>
                <a:schemeClr val="bg1"/>
              </a:solidFill>
            </a:rPr>
            <a:t> of 2012 dollars.</a:t>
          </a:r>
        </a:p>
        <a:p>
          <a:endParaRPr lang="en-US" sz="1100" b="0" baseline="0">
            <a:solidFill>
              <a:schemeClr val="bg1"/>
            </a:solidFill>
          </a:endParaRPr>
        </a:p>
        <a:p>
          <a:r>
            <a:rPr lang="en-US" sz="1100" b="0" baseline="0">
              <a:solidFill>
                <a:schemeClr val="bg1"/>
              </a:solidFill>
            </a:rPr>
            <a:t>2. Results will be populated in "red" shaded section ("BCA Results")</a:t>
          </a:r>
        </a:p>
        <a:p>
          <a:endParaRPr lang="en-US" sz="1100" b="1" baseline="0">
            <a:solidFill>
              <a:schemeClr val="bg1"/>
            </a:solidFill>
          </a:endParaRPr>
        </a:p>
        <a:p>
          <a:r>
            <a:rPr lang="en-US" sz="1100" b="1" baseline="0">
              <a:solidFill>
                <a:schemeClr val="bg1"/>
              </a:solidFill>
            </a:rPr>
            <a:t>Note: This sheet will take either an estimate of daily VMT reduced or annual metric tons of pollutant reduced. For projects where emissions reduction vary by year, formulas in the "purple" cells to the right may be overwritten. Emissions factors for bike/ped and LCI projects are provided, please contact H-GAC for assistance in identifing the appropriate emissions factors for other project types.</a:t>
          </a:r>
        </a:p>
        <a:p>
          <a:endParaRPr lang="en-US" sz="11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0</xdr:colOff>
          <xdr:row>6</xdr:row>
          <xdr:rowOff>9525</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19050</xdr:colOff>
      <xdr:row>23</xdr:row>
      <xdr:rowOff>152400</xdr:rowOff>
    </xdr:from>
    <xdr:to>
      <xdr:col>2</xdr:col>
      <xdr:colOff>1485900</xdr:colOff>
      <xdr:row>29</xdr:row>
      <xdr:rowOff>28575</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xdr:nvSpPr>
      <xdr:spPr>
        <a:xfrm>
          <a:off x="247650" y="4200525"/>
          <a:ext cx="5629275" cy="101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t>* To the greatest extent possible, these values are taken from or consistent with the "TIGER Benefit-Cost Analysis (BCA) Resource Guide" published by US DOT for the FY 2014 Transportation Investment Generating Economic Recovery (TIGER) application. The full resource guide is available online at: </a:t>
          </a:r>
          <a:r>
            <a:rPr lang="en-US" sz="1050" u="sng">
              <a:solidFill>
                <a:srgbClr val="0000FF"/>
              </a:solidFill>
            </a:rPr>
            <a:t>https://cms.dot.gov/sites/dot.gov/files/docs/BCA%20Resource%20Guide%20-%20November%202016.pdf</a:t>
          </a:r>
          <a:r>
            <a:rPr lang="en-US" sz="1050"/>
            <a:t>.</a:t>
          </a:r>
        </a:p>
      </xdr:txBody>
    </xdr:sp>
    <xdr:clientData/>
  </xdr:twoCellAnchor>
  <xdr:twoCellAnchor>
    <xdr:from>
      <xdr:col>0</xdr:col>
      <xdr:colOff>209551</xdr:colOff>
      <xdr:row>31</xdr:row>
      <xdr:rowOff>9526</xdr:rowOff>
    </xdr:from>
    <xdr:to>
      <xdr:col>3</xdr:col>
      <xdr:colOff>0</xdr:colOff>
      <xdr:row>38</xdr:row>
      <xdr:rowOff>76200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600-000003000000}"/>
            </a:ext>
          </a:extLst>
        </xdr:cNvPr>
        <xdr:cNvSpPr txBox="1"/>
      </xdr:nvSpPr>
      <xdr:spPr>
        <a:xfrm>
          <a:off x="209551" y="2486026"/>
          <a:ext cx="5695949" cy="14001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effectLst/>
              <a:latin typeface="+mn-lt"/>
              <a:ea typeface="+mn-ea"/>
              <a:cs typeface="+mn-cs"/>
            </a:rPr>
            <a:t>To the greatest extent possible, these values are taken from or consistent with the "Benefit-Cost Analysis Guidance for Discretionary</a:t>
          </a:r>
          <a:r>
            <a:rPr lang="en-US" sz="1100" baseline="0">
              <a:solidFill>
                <a:schemeClr val="dk1"/>
              </a:solidFill>
              <a:effectLst/>
              <a:latin typeface="+mn-lt"/>
              <a:ea typeface="+mn-ea"/>
              <a:cs typeface="+mn-cs"/>
            </a:rPr>
            <a:t> Grant Programs</a:t>
          </a:r>
          <a:r>
            <a:rPr lang="en-US" sz="1100">
              <a:solidFill>
                <a:schemeClr val="dk1"/>
              </a:solidFill>
              <a:effectLst/>
              <a:latin typeface="+mn-lt"/>
              <a:ea typeface="+mn-ea"/>
              <a:cs typeface="+mn-cs"/>
            </a:rPr>
            <a:t>" published by US DOT in February 2022. The full resource guide is available online athttps://www.transportation.gov/sites/dot.gov/files/2023-12/Benefit%20Cost%20Analysis%20Guidance%202024%20Update.pdf</a:t>
          </a:r>
          <a:endParaRPr lang="en-US" sz="1100" u="sng">
            <a:solidFill>
              <a:schemeClr val="dk1"/>
            </a:solidFill>
            <a:effectLst/>
            <a:latin typeface="+mn-lt"/>
            <a:ea typeface="+mn-ea"/>
            <a:cs typeface="+mn-cs"/>
          </a:endParaRPr>
        </a:p>
        <a:p>
          <a:r>
            <a:rPr lang="en-US" sz="1100" u="sng">
              <a:solidFill>
                <a:schemeClr val="dk1"/>
              </a:solidFill>
              <a:effectLst/>
              <a:latin typeface="+mn-lt"/>
              <a:ea typeface="+mn-ea"/>
              <a:cs typeface="+mn-cs"/>
            </a:rPr>
            <a:t> </a:t>
          </a:r>
          <a:endParaRPr lang="en-US" sz="1100" u="sng" baseline="0">
            <a:effectLst/>
            <a:latin typeface="Calibri" panose="020F0502020204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ingala\AppData\Local\Microsoft\Windows\Temporary%20Internet%20Files\Content.Outlook\YYKLTGMD\Crash%20R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Crashes"/>
      <sheetName val="VMT"/>
    </sheetNames>
    <sheetDataSet>
      <sheetData sheetId="0"/>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moser.tamu.edu/docs/Texas.Guide.to.Accepted.Mobile.Source.Emission.Reduction.Strategies_August.2007.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transportation.gov/sites/dot.gov/files/2023-01/Benefit%20Cost%20Analysis%20Guidance%202023%20Updat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499984740745262"/>
    <pageSetUpPr fitToPage="1"/>
  </sheetPr>
  <dimension ref="A7"/>
  <sheetViews>
    <sheetView topLeftCell="A50" zoomScale="110" zoomScaleNormal="110" workbookViewId="0">
      <selection activeCell="R26" sqref="R26"/>
    </sheetView>
  </sheetViews>
  <sheetFormatPr defaultRowHeight="15"/>
  <cols>
    <col min="1" max="1" width="45.140625" bestFit="1" customWidth="1"/>
    <col min="2" max="2" width="12.5703125" customWidth="1"/>
    <col min="3" max="3" width="5.28515625" customWidth="1"/>
    <col min="4" max="4" width="23.5703125" customWidth="1"/>
    <col min="5" max="5" width="15.28515625" bestFit="1" customWidth="1"/>
    <col min="6" max="6" width="13.28515625" customWidth="1"/>
    <col min="7" max="7" width="4.5703125" customWidth="1"/>
  </cols>
  <sheetData>
    <row r="7" spans="1:1">
      <c r="A7" s="22"/>
    </row>
  </sheetData>
  <pageMargins left="0.25" right="0.25" top="0.75" bottom="0.75" header="0.3" footer="0.3"/>
  <pageSetup paperSize="17"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FDEAC-D486-4AEC-BE83-F904CCE5D9AC}">
  <sheetPr>
    <tabColor theme="8"/>
  </sheetPr>
  <dimension ref="A1:BG1328"/>
  <sheetViews>
    <sheetView topLeftCell="E1" workbookViewId="0">
      <pane ySplit="1" topLeftCell="A2" activePane="bottomLeft" state="frozen"/>
      <selection pane="bottomLeft" activeCell="X273" sqref="X2:X273"/>
      <selection activeCell="G1" sqref="G1"/>
    </sheetView>
  </sheetViews>
  <sheetFormatPr defaultRowHeight="15"/>
  <cols>
    <col min="4" max="4" width="26.5703125" customWidth="1"/>
  </cols>
  <sheetData>
    <row r="1" spans="1:59">
      <c r="A1" s="187" t="s">
        <v>322</v>
      </c>
      <c r="B1" s="187" t="s">
        <v>323</v>
      </c>
      <c r="C1" s="187" t="s">
        <v>324</v>
      </c>
      <c r="D1" s="187" t="s">
        <v>325</v>
      </c>
      <c r="E1" s="187" t="s">
        <v>326</v>
      </c>
      <c r="F1" s="187" t="s">
        <v>327</v>
      </c>
      <c r="G1" s="187" t="s">
        <v>328</v>
      </c>
      <c r="H1" s="187" t="s">
        <v>329</v>
      </c>
      <c r="I1" s="187" t="s">
        <v>330</v>
      </c>
      <c r="J1" s="187" t="s">
        <v>331</v>
      </c>
      <c r="K1" s="187" t="s">
        <v>332</v>
      </c>
      <c r="L1" s="187" t="s">
        <v>333</v>
      </c>
      <c r="M1" s="187" t="s">
        <v>334</v>
      </c>
      <c r="N1" s="187" t="s">
        <v>335</v>
      </c>
      <c r="O1" s="187" t="s">
        <v>336</v>
      </c>
      <c r="P1" s="187" t="s">
        <v>337</v>
      </c>
      <c r="Q1" s="187" t="s">
        <v>106</v>
      </c>
      <c r="R1" s="187" t="s">
        <v>338</v>
      </c>
      <c r="S1" s="187" t="s">
        <v>339</v>
      </c>
      <c r="T1" s="187" t="s">
        <v>340</v>
      </c>
      <c r="U1" s="187" t="s">
        <v>341</v>
      </c>
      <c r="V1" s="187" t="s">
        <v>342</v>
      </c>
      <c r="W1" s="187" t="s">
        <v>343</v>
      </c>
      <c r="X1" s="187" t="s">
        <v>344</v>
      </c>
      <c r="Y1" s="187" t="s">
        <v>345</v>
      </c>
      <c r="Z1" s="187" t="s">
        <v>346</v>
      </c>
      <c r="AA1" s="187" t="s">
        <v>347</v>
      </c>
      <c r="AB1" s="187" t="s">
        <v>348</v>
      </c>
      <c r="AC1" s="187" t="s">
        <v>349</v>
      </c>
      <c r="AD1" s="187" t="s">
        <v>350</v>
      </c>
      <c r="AE1" s="187" t="s">
        <v>351</v>
      </c>
      <c r="AF1" s="187" t="s">
        <v>352</v>
      </c>
      <c r="AG1" s="187" t="s">
        <v>353</v>
      </c>
      <c r="AH1" s="187" t="s">
        <v>354</v>
      </c>
      <c r="AI1" s="187" t="s">
        <v>355</v>
      </c>
      <c r="AJ1" s="187" t="s">
        <v>356</v>
      </c>
      <c r="AK1" s="187" t="s">
        <v>357</v>
      </c>
      <c r="AL1" s="187" t="s">
        <v>358</v>
      </c>
      <c r="AM1" s="187" t="s">
        <v>359</v>
      </c>
      <c r="AN1" s="187" t="s">
        <v>360</v>
      </c>
      <c r="AO1" s="187" t="s">
        <v>361</v>
      </c>
      <c r="AP1" s="187" t="s">
        <v>362</v>
      </c>
      <c r="AQ1" s="187" t="s">
        <v>363</v>
      </c>
      <c r="AR1" s="187" t="s">
        <v>364</v>
      </c>
      <c r="AS1" s="187" t="s">
        <v>365</v>
      </c>
      <c r="AT1" s="187" t="s">
        <v>366</v>
      </c>
      <c r="AU1" s="187" t="s">
        <v>367</v>
      </c>
      <c r="AV1" s="187" t="s">
        <v>368</v>
      </c>
      <c r="AW1" s="187" t="s">
        <v>369</v>
      </c>
      <c r="AX1" s="187" t="s">
        <v>370</v>
      </c>
      <c r="AY1" s="187" t="s">
        <v>371</v>
      </c>
      <c r="AZ1" s="187" t="s">
        <v>372</v>
      </c>
      <c r="BA1" s="187" t="s">
        <v>373</v>
      </c>
      <c r="BB1" s="187" t="s">
        <v>374</v>
      </c>
      <c r="BC1" s="187" t="s">
        <v>375</v>
      </c>
      <c r="BD1" s="187" t="s">
        <v>376</v>
      </c>
      <c r="BE1" s="187" t="s">
        <v>377</v>
      </c>
      <c r="BF1" s="187" t="s">
        <v>378</v>
      </c>
      <c r="BG1" s="187" t="s">
        <v>379</v>
      </c>
    </row>
    <row r="2" spans="1:59">
      <c r="A2" s="187">
        <v>7692</v>
      </c>
      <c r="B2" s="187">
        <v>16219474</v>
      </c>
      <c r="C2" s="187">
        <v>2018</v>
      </c>
      <c r="D2" s="187" t="s">
        <v>380</v>
      </c>
      <c r="E2" s="187">
        <v>13</v>
      </c>
      <c r="F2" s="187" t="s">
        <v>381</v>
      </c>
      <c r="G2" s="187" t="s">
        <v>382</v>
      </c>
      <c r="H2" s="187" t="s">
        <v>383</v>
      </c>
      <c r="I2" s="187" t="s">
        <v>384</v>
      </c>
      <c r="J2" s="187">
        <v>29.761130000000001</v>
      </c>
      <c r="K2" s="187">
        <v>-95.606300000000005</v>
      </c>
      <c r="L2" s="187" t="s">
        <v>385</v>
      </c>
      <c r="M2" s="187" t="s">
        <v>386</v>
      </c>
      <c r="N2" s="187" t="s">
        <v>387</v>
      </c>
      <c r="O2" s="187" t="s">
        <v>388</v>
      </c>
      <c r="P2" s="187" t="s">
        <v>389</v>
      </c>
      <c r="Q2" s="187" t="s">
        <v>106</v>
      </c>
      <c r="R2" s="187" t="s">
        <v>390</v>
      </c>
      <c r="S2" s="187">
        <v>0</v>
      </c>
      <c r="T2" s="187">
        <v>0</v>
      </c>
      <c r="U2" s="187">
        <v>0</v>
      </c>
      <c r="V2" s="187">
        <v>0</v>
      </c>
      <c r="W2" s="187">
        <v>0</v>
      </c>
      <c r="X2" s="187">
        <v>3</v>
      </c>
      <c r="Y2" s="187">
        <v>0</v>
      </c>
      <c r="Z2" s="187">
        <v>0</v>
      </c>
      <c r="AA2" s="187">
        <v>0</v>
      </c>
      <c r="AB2" s="187">
        <v>0</v>
      </c>
      <c r="AC2" s="187">
        <v>0</v>
      </c>
      <c r="AD2" s="187">
        <v>3</v>
      </c>
      <c r="AE2" s="187">
        <v>0</v>
      </c>
      <c r="AF2" s="187">
        <v>0</v>
      </c>
      <c r="AG2" s="187">
        <v>0</v>
      </c>
      <c r="AH2" s="187">
        <v>0</v>
      </c>
      <c r="AI2" s="187">
        <v>0</v>
      </c>
      <c r="AJ2" s="187">
        <v>0</v>
      </c>
      <c r="AK2" s="187">
        <v>0</v>
      </c>
      <c r="AL2" s="187">
        <v>0</v>
      </c>
      <c r="AM2" s="187">
        <v>0</v>
      </c>
      <c r="AN2" s="187">
        <v>0</v>
      </c>
      <c r="AO2" s="187">
        <v>0</v>
      </c>
      <c r="AP2" s="187">
        <v>0</v>
      </c>
      <c r="AQ2" s="187">
        <v>0</v>
      </c>
      <c r="AR2" s="187">
        <v>0</v>
      </c>
      <c r="AS2" s="187">
        <v>0</v>
      </c>
      <c r="AT2" s="187">
        <v>0</v>
      </c>
      <c r="AU2" s="187" t="s">
        <v>52</v>
      </c>
      <c r="AV2" s="187" t="s">
        <v>391</v>
      </c>
      <c r="AW2" s="187" t="s">
        <v>392</v>
      </c>
      <c r="AX2" s="187" t="s">
        <v>393</v>
      </c>
      <c r="AY2" s="187">
        <v>77077</v>
      </c>
      <c r="AZ2" s="188">
        <v>48200000000</v>
      </c>
      <c r="BA2" s="187" t="s">
        <v>394</v>
      </c>
      <c r="BB2" s="187" t="s">
        <v>395</v>
      </c>
      <c r="BC2" s="187">
        <v>161590</v>
      </c>
      <c r="BD2" s="187">
        <v>2990</v>
      </c>
      <c r="BE2" s="187" t="s">
        <v>396</v>
      </c>
      <c r="BF2" s="187" t="s">
        <v>396</v>
      </c>
      <c r="BG2" s="187" t="s">
        <v>396</v>
      </c>
    </row>
    <row r="3" spans="1:59">
      <c r="A3" s="187">
        <v>10286</v>
      </c>
      <c r="B3" s="187">
        <v>16230787</v>
      </c>
      <c r="C3" s="187">
        <v>2018</v>
      </c>
      <c r="D3" s="187" t="s">
        <v>380</v>
      </c>
      <c r="E3" s="187">
        <v>19</v>
      </c>
      <c r="F3" s="187" t="s">
        <v>397</v>
      </c>
      <c r="G3" s="187" t="s">
        <v>382</v>
      </c>
      <c r="H3" s="187" t="s">
        <v>383</v>
      </c>
      <c r="I3" s="187" t="s">
        <v>398</v>
      </c>
      <c r="J3" s="187">
        <v>29.753969999999999</v>
      </c>
      <c r="K3" s="187">
        <v>-95.606200000000001</v>
      </c>
      <c r="L3" s="187" t="s">
        <v>399</v>
      </c>
      <c r="M3" s="187" t="s">
        <v>400</v>
      </c>
      <c r="N3" s="187" t="s">
        <v>401</v>
      </c>
      <c r="O3" s="187" t="s">
        <v>388</v>
      </c>
      <c r="P3" s="187" t="s">
        <v>402</v>
      </c>
      <c r="Q3" s="187" t="s">
        <v>102</v>
      </c>
      <c r="R3" s="187" t="s">
        <v>403</v>
      </c>
      <c r="S3" s="187">
        <v>0</v>
      </c>
      <c r="T3" s="187">
        <v>0</v>
      </c>
      <c r="U3" s="187">
        <v>1</v>
      </c>
      <c r="V3" s="187">
        <v>1</v>
      </c>
      <c r="W3" s="187">
        <v>2</v>
      </c>
      <c r="X3" s="187">
        <v>7</v>
      </c>
      <c r="Y3" s="187">
        <v>0</v>
      </c>
      <c r="Z3" s="187">
        <v>0</v>
      </c>
      <c r="AA3" s="187">
        <v>0</v>
      </c>
      <c r="AB3" s="187">
        <v>1</v>
      </c>
      <c r="AC3" s="187">
        <v>1</v>
      </c>
      <c r="AD3" s="187">
        <v>7</v>
      </c>
      <c r="AE3" s="187">
        <v>2</v>
      </c>
      <c r="AF3" s="187">
        <v>0</v>
      </c>
      <c r="AG3" s="187">
        <v>0</v>
      </c>
      <c r="AH3" s="187">
        <v>0</v>
      </c>
      <c r="AI3" s="187">
        <v>0</v>
      </c>
      <c r="AJ3" s="187">
        <v>0</v>
      </c>
      <c r="AK3" s="187">
        <v>0</v>
      </c>
      <c r="AL3" s="187">
        <v>0</v>
      </c>
      <c r="AM3" s="187">
        <v>0</v>
      </c>
      <c r="AN3" s="187">
        <v>0</v>
      </c>
      <c r="AO3" s="187">
        <v>0</v>
      </c>
      <c r="AP3" s="187">
        <v>0</v>
      </c>
      <c r="AQ3" s="187">
        <v>0</v>
      </c>
      <c r="AR3" s="187">
        <v>0</v>
      </c>
      <c r="AS3" s="187">
        <v>0</v>
      </c>
      <c r="AT3" s="187">
        <v>0</v>
      </c>
      <c r="AU3" s="187" t="s">
        <v>52</v>
      </c>
      <c r="AV3" s="187" t="s">
        <v>391</v>
      </c>
      <c r="AW3" s="187" t="s">
        <v>392</v>
      </c>
      <c r="AX3" s="187" t="s">
        <v>393</v>
      </c>
      <c r="AY3" s="187">
        <v>77077</v>
      </c>
      <c r="AZ3" s="188">
        <v>48200000000</v>
      </c>
      <c r="BA3" s="187" t="s">
        <v>394</v>
      </c>
      <c r="BB3" s="187" t="s">
        <v>395</v>
      </c>
      <c r="BC3" s="187">
        <v>161370</v>
      </c>
      <c r="BD3" s="187">
        <v>2990</v>
      </c>
      <c r="BE3" s="187" t="s">
        <v>396</v>
      </c>
      <c r="BF3" s="187" t="s">
        <v>396</v>
      </c>
      <c r="BG3" s="187" t="s">
        <v>396</v>
      </c>
    </row>
    <row r="4" spans="1:59">
      <c r="A4" s="187">
        <v>13386</v>
      </c>
      <c r="B4" s="187">
        <v>16243470</v>
      </c>
      <c r="C4" s="187">
        <v>2018</v>
      </c>
      <c r="D4" s="189">
        <v>43140</v>
      </c>
      <c r="E4" s="187">
        <v>11</v>
      </c>
      <c r="F4" s="187" t="s">
        <v>397</v>
      </c>
      <c r="G4" s="187" t="s">
        <v>382</v>
      </c>
      <c r="H4" s="187" t="s">
        <v>404</v>
      </c>
      <c r="I4" s="187" t="s">
        <v>384</v>
      </c>
      <c r="J4" s="187">
        <v>29.764620000000001</v>
      </c>
      <c r="K4" s="187">
        <v>-95.606300000000005</v>
      </c>
      <c r="L4" s="187" t="s">
        <v>405</v>
      </c>
      <c r="M4" s="187" t="s">
        <v>386</v>
      </c>
      <c r="N4" s="187" t="s">
        <v>406</v>
      </c>
      <c r="O4" s="187" t="s">
        <v>388</v>
      </c>
      <c r="P4" s="187" t="s">
        <v>389</v>
      </c>
      <c r="Q4" s="187" t="s">
        <v>103</v>
      </c>
      <c r="R4" s="187" t="s">
        <v>407</v>
      </c>
      <c r="S4" s="187">
        <v>0</v>
      </c>
      <c r="T4" s="187">
        <v>0</v>
      </c>
      <c r="U4" s="187">
        <v>0</v>
      </c>
      <c r="V4" s="187">
        <v>0</v>
      </c>
      <c r="W4" s="187">
        <v>0</v>
      </c>
      <c r="X4" s="187">
        <v>3</v>
      </c>
      <c r="Y4" s="187">
        <v>0</v>
      </c>
      <c r="Z4" s="187">
        <v>0</v>
      </c>
      <c r="AA4" s="187">
        <v>0</v>
      </c>
      <c r="AB4" s="187">
        <v>0</v>
      </c>
      <c r="AC4" s="187">
        <v>0</v>
      </c>
      <c r="AD4" s="187">
        <v>3</v>
      </c>
      <c r="AE4" s="187">
        <v>0</v>
      </c>
      <c r="AF4" s="187">
        <v>0</v>
      </c>
      <c r="AG4" s="187">
        <v>0</v>
      </c>
      <c r="AH4" s="187">
        <v>0</v>
      </c>
      <c r="AI4" s="187">
        <v>0</v>
      </c>
      <c r="AJ4" s="187">
        <v>0</v>
      </c>
      <c r="AK4" s="187">
        <v>0</v>
      </c>
      <c r="AL4" s="187">
        <v>0</v>
      </c>
      <c r="AM4" s="187">
        <v>0</v>
      </c>
      <c r="AN4" s="187">
        <v>0</v>
      </c>
      <c r="AO4" s="187">
        <v>0</v>
      </c>
      <c r="AP4" s="187">
        <v>0</v>
      </c>
      <c r="AQ4" s="187">
        <v>0</v>
      </c>
      <c r="AR4" s="187">
        <v>0</v>
      </c>
      <c r="AS4" s="187">
        <v>0</v>
      </c>
      <c r="AT4" s="187">
        <v>0</v>
      </c>
      <c r="AU4" s="187" t="s">
        <v>52</v>
      </c>
      <c r="AV4" s="187" t="s">
        <v>391</v>
      </c>
      <c r="AW4" s="187" t="s">
        <v>392</v>
      </c>
      <c r="AX4" s="187" t="s">
        <v>393</v>
      </c>
      <c r="AY4" s="187">
        <v>77079</v>
      </c>
      <c r="AZ4" s="188">
        <v>48200000000</v>
      </c>
      <c r="BA4" s="187" t="s">
        <v>394</v>
      </c>
      <c r="BB4" s="187" t="s">
        <v>395</v>
      </c>
      <c r="BC4" s="187">
        <v>161810</v>
      </c>
      <c r="BD4" s="187">
        <v>2990</v>
      </c>
      <c r="BE4" s="187" t="s">
        <v>396</v>
      </c>
      <c r="BF4" s="187" t="s">
        <v>396</v>
      </c>
      <c r="BG4" s="187" t="s">
        <v>396</v>
      </c>
    </row>
    <row r="5" spans="1:59">
      <c r="A5" s="187">
        <v>16644</v>
      </c>
      <c r="B5" s="187">
        <v>16257922</v>
      </c>
      <c r="C5" s="187">
        <v>2018</v>
      </c>
      <c r="D5" s="187" t="s">
        <v>380</v>
      </c>
      <c r="E5" s="187">
        <v>15</v>
      </c>
      <c r="F5" s="187" t="s">
        <v>397</v>
      </c>
      <c r="G5" s="187" t="s">
        <v>382</v>
      </c>
      <c r="H5" s="187" t="s">
        <v>408</v>
      </c>
      <c r="I5" s="187" t="s">
        <v>409</v>
      </c>
      <c r="J5" s="187">
        <v>29.770060000000001</v>
      </c>
      <c r="K5" s="187">
        <v>-95.606300000000005</v>
      </c>
      <c r="L5" s="187" t="s">
        <v>385</v>
      </c>
      <c r="M5" s="187" t="s">
        <v>386</v>
      </c>
      <c r="N5" s="187" t="s">
        <v>401</v>
      </c>
      <c r="O5" s="187" t="s">
        <v>388</v>
      </c>
      <c r="P5" s="187" t="s">
        <v>342</v>
      </c>
      <c r="Q5" s="187" t="s">
        <v>103</v>
      </c>
      <c r="R5" s="187" t="s">
        <v>410</v>
      </c>
      <c r="S5" s="187">
        <v>0</v>
      </c>
      <c r="T5" s="187">
        <v>0</v>
      </c>
      <c r="U5" s="187">
        <v>0</v>
      </c>
      <c r="V5" s="187">
        <v>1</v>
      </c>
      <c r="W5" s="187">
        <v>1</v>
      </c>
      <c r="X5" s="187">
        <v>1</v>
      </c>
      <c r="Y5" s="187">
        <v>0</v>
      </c>
      <c r="Z5" s="187">
        <v>0</v>
      </c>
      <c r="AA5" s="187">
        <v>0</v>
      </c>
      <c r="AB5" s="187">
        <v>0</v>
      </c>
      <c r="AC5" s="187">
        <v>1</v>
      </c>
      <c r="AD5" s="187">
        <v>1</v>
      </c>
      <c r="AE5" s="187">
        <v>1</v>
      </c>
      <c r="AF5" s="187">
        <v>0</v>
      </c>
      <c r="AG5" s="187">
        <v>0</v>
      </c>
      <c r="AH5" s="187">
        <v>0</v>
      </c>
      <c r="AI5" s="187">
        <v>0</v>
      </c>
      <c r="AJ5" s="187">
        <v>0</v>
      </c>
      <c r="AK5" s="187">
        <v>0</v>
      </c>
      <c r="AL5" s="187">
        <v>0</v>
      </c>
      <c r="AM5" s="187">
        <v>0</v>
      </c>
      <c r="AN5" s="187">
        <v>0</v>
      </c>
      <c r="AO5" s="187">
        <v>0</v>
      </c>
      <c r="AP5" s="187">
        <v>0</v>
      </c>
      <c r="AQ5" s="187">
        <v>0</v>
      </c>
      <c r="AR5" s="187">
        <v>0</v>
      </c>
      <c r="AS5" s="187">
        <v>0</v>
      </c>
      <c r="AT5" s="187">
        <v>0</v>
      </c>
      <c r="AU5" s="187" t="s">
        <v>52</v>
      </c>
      <c r="AV5" s="187" t="s">
        <v>391</v>
      </c>
      <c r="AW5" s="187" t="s">
        <v>392</v>
      </c>
      <c r="AX5" s="187" t="s">
        <v>393</v>
      </c>
      <c r="AY5" s="187">
        <v>77079</v>
      </c>
      <c r="AZ5" s="188">
        <v>48200000000</v>
      </c>
      <c r="BA5" s="187" t="s">
        <v>394</v>
      </c>
      <c r="BB5" s="187" t="s">
        <v>395</v>
      </c>
      <c r="BC5" s="187">
        <v>162030</v>
      </c>
      <c r="BD5" s="187">
        <v>2990</v>
      </c>
      <c r="BE5" s="187" t="s">
        <v>396</v>
      </c>
      <c r="BF5" s="187" t="s">
        <v>396</v>
      </c>
      <c r="BG5" s="187" t="s">
        <v>396</v>
      </c>
    </row>
    <row r="6" spans="1:59">
      <c r="A6" s="187">
        <v>16846</v>
      </c>
      <c r="B6" s="187">
        <v>16258884</v>
      </c>
      <c r="C6" s="187">
        <v>2018</v>
      </c>
      <c r="D6" s="187" t="s">
        <v>380</v>
      </c>
      <c r="E6" s="187">
        <v>13</v>
      </c>
      <c r="F6" s="187" t="s">
        <v>411</v>
      </c>
      <c r="G6" s="187" t="s">
        <v>382</v>
      </c>
      <c r="H6" s="187" t="s">
        <v>383</v>
      </c>
      <c r="I6" s="187" t="s">
        <v>398</v>
      </c>
      <c r="J6" s="187">
        <v>29.760950000000001</v>
      </c>
      <c r="K6" s="187">
        <v>-95.606200000000001</v>
      </c>
      <c r="L6" s="187" t="s">
        <v>405</v>
      </c>
      <c r="M6" s="187" t="s">
        <v>386</v>
      </c>
      <c r="N6" s="187" t="s">
        <v>412</v>
      </c>
      <c r="O6" s="187" t="s">
        <v>388</v>
      </c>
      <c r="P6" s="187" t="s">
        <v>389</v>
      </c>
      <c r="Q6" s="187" t="s">
        <v>102</v>
      </c>
      <c r="R6" s="187" t="s">
        <v>413</v>
      </c>
      <c r="S6" s="187">
        <v>0</v>
      </c>
      <c r="T6" s="187">
        <v>0</v>
      </c>
      <c r="U6" s="187">
        <v>0</v>
      </c>
      <c r="V6" s="187">
        <v>0</v>
      </c>
      <c r="W6" s="187">
        <v>0</v>
      </c>
      <c r="X6" s="187">
        <v>2</v>
      </c>
      <c r="Y6" s="187">
        <v>0</v>
      </c>
      <c r="Z6" s="187">
        <v>0</v>
      </c>
      <c r="AA6" s="187">
        <v>0</v>
      </c>
      <c r="AB6" s="187">
        <v>0</v>
      </c>
      <c r="AC6" s="187">
        <v>0</v>
      </c>
      <c r="AD6" s="187">
        <v>2</v>
      </c>
      <c r="AE6" s="187">
        <v>0</v>
      </c>
      <c r="AF6" s="187">
        <v>0</v>
      </c>
      <c r="AG6" s="187">
        <v>0</v>
      </c>
      <c r="AH6" s="187">
        <v>0</v>
      </c>
      <c r="AI6" s="187">
        <v>0</v>
      </c>
      <c r="AJ6" s="187">
        <v>0</v>
      </c>
      <c r="AK6" s="187">
        <v>0</v>
      </c>
      <c r="AL6" s="187">
        <v>0</v>
      </c>
      <c r="AM6" s="187">
        <v>0</v>
      </c>
      <c r="AN6" s="187">
        <v>0</v>
      </c>
      <c r="AO6" s="187">
        <v>0</v>
      </c>
      <c r="AP6" s="187">
        <v>0</v>
      </c>
      <c r="AQ6" s="187">
        <v>0</v>
      </c>
      <c r="AR6" s="187">
        <v>0</v>
      </c>
      <c r="AS6" s="187">
        <v>0</v>
      </c>
      <c r="AT6" s="187">
        <v>0</v>
      </c>
      <c r="AU6" s="187" t="s">
        <v>52</v>
      </c>
      <c r="AV6" s="187" t="s">
        <v>391</v>
      </c>
      <c r="AW6" s="187" t="s">
        <v>392</v>
      </c>
      <c r="AX6" s="187" t="s">
        <v>393</v>
      </c>
      <c r="AY6" s="187">
        <v>77077</v>
      </c>
      <c r="AZ6" s="188">
        <v>48200000000</v>
      </c>
      <c r="BA6" s="187" t="s">
        <v>394</v>
      </c>
      <c r="BB6" s="187" t="s">
        <v>395</v>
      </c>
      <c r="BC6" s="187">
        <v>161590</v>
      </c>
      <c r="BD6" s="187">
        <v>2990</v>
      </c>
      <c r="BE6" s="187" t="s">
        <v>396</v>
      </c>
      <c r="BF6" s="187" t="s">
        <v>396</v>
      </c>
      <c r="BG6" s="187" t="s">
        <v>396</v>
      </c>
    </row>
    <row r="7" spans="1:59">
      <c r="A7" s="187">
        <v>18083</v>
      </c>
      <c r="B7" s="187">
        <v>16264514</v>
      </c>
      <c r="C7" s="187">
        <v>2018</v>
      </c>
      <c r="D7" s="187" t="s">
        <v>380</v>
      </c>
      <c r="E7" s="187">
        <v>14</v>
      </c>
      <c r="F7" s="187" t="s">
        <v>414</v>
      </c>
      <c r="G7" s="187" t="s">
        <v>382</v>
      </c>
      <c r="H7" s="187" t="s">
        <v>404</v>
      </c>
      <c r="I7" s="187" t="s">
        <v>415</v>
      </c>
      <c r="J7" s="187">
        <v>29.768689999999999</v>
      </c>
      <c r="K7" s="187">
        <v>-95.606300000000005</v>
      </c>
      <c r="L7" s="187" t="s">
        <v>385</v>
      </c>
      <c r="M7" s="187" t="s">
        <v>386</v>
      </c>
      <c r="N7" s="187" t="s">
        <v>416</v>
      </c>
      <c r="O7" s="187" t="s">
        <v>388</v>
      </c>
      <c r="P7" s="187" t="s">
        <v>389</v>
      </c>
      <c r="Q7" s="187" t="s">
        <v>102</v>
      </c>
      <c r="R7" s="187" t="s">
        <v>417</v>
      </c>
      <c r="S7" s="187">
        <v>0</v>
      </c>
      <c r="T7" s="187">
        <v>0</v>
      </c>
      <c r="U7" s="187">
        <v>0</v>
      </c>
      <c r="V7" s="187">
        <v>0</v>
      </c>
      <c r="W7" s="187">
        <v>0</v>
      </c>
      <c r="X7" s="187">
        <v>2</v>
      </c>
      <c r="Y7" s="187">
        <v>0</v>
      </c>
      <c r="Z7" s="187">
        <v>0</v>
      </c>
      <c r="AA7" s="187">
        <v>0</v>
      </c>
      <c r="AB7" s="187">
        <v>0</v>
      </c>
      <c r="AC7" s="187">
        <v>0</v>
      </c>
      <c r="AD7" s="187">
        <v>2</v>
      </c>
      <c r="AE7" s="187">
        <v>0</v>
      </c>
      <c r="AF7" s="187">
        <v>0</v>
      </c>
      <c r="AG7" s="187">
        <v>0</v>
      </c>
      <c r="AH7" s="187">
        <v>0</v>
      </c>
      <c r="AI7" s="187">
        <v>0</v>
      </c>
      <c r="AJ7" s="187">
        <v>0</v>
      </c>
      <c r="AK7" s="187">
        <v>0</v>
      </c>
      <c r="AL7" s="187">
        <v>0</v>
      </c>
      <c r="AM7" s="187">
        <v>0</v>
      </c>
      <c r="AN7" s="187">
        <v>0</v>
      </c>
      <c r="AO7" s="187">
        <v>0</v>
      </c>
      <c r="AP7" s="187">
        <v>0</v>
      </c>
      <c r="AQ7" s="187">
        <v>0</v>
      </c>
      <c r="AR7" s="187">
        <v>0</v>
      </c>
      <c r="AS7" s="187">
        <v>0</v>
      </c>
      <c r="AT7" s="187">
        <v>0</v>
      </c>
      <c r="AU7" s="187" t="s">
        <v>52</v>
      </c>
      <c r="AV7" s="187" t="s">
        <v>391</v>
      </c>
      <c r="AW7" s="187" t="s">
        <v>392</v>
      </c>
      <c r="AX7" s="187" t="s">
        <v>393</v>
      </c>
      <c r="AY7" s="187">
        <v>77079</v>
      </c>
      <c r="AZ7" s="188">
        <v>48200000000</v>
      </c>
      <c r="BA7" s="187" t="s">
        <v>394</v>
      </c>
      <c r="BB7" s="187" t="s">
        <v>395</v>
      </c>
      <c r="BC7" s="187">
        <v>161810</v>
      </c>
      <c r="BD7" s="187">
        <v>2990</v>
      </c>
      <c r="BE7" s="187" t="s">
        <v>396</v>
      </c>
      <c r="BF7" s="187" t="s">
        <v>396</v>
      </c>
      <c r="BG7" s="187" t="s">
        <v>396</v>
      </c>
    </row>
    <row r="8" spans="1:59">
      <c r="A8" s="187">
        <v>18866</v>
      </c>
      <c r="B8" s="187">
        <v>16267205</v>
      </c>
      <c r="C8" s="187">
        <v>2018</v>
      </c>
      <c r="D8" s="187" t="s">
        <v>380</v>
      </c>
      <c r="E8" s="187">
        <v>11</v>
      </c>
      <c r="F8" s="187" t="s">
        <v>397</v>
      </c>
      <c r="G8" s="187" t="s">
        <v>382</v>
      </c>
      <c r="H8" s="187" t="s">
        <v>404</v>
      </c>
      <c r="I8" s="187" t="s">
        <v>415</v>
      </c>
      <c r="J8" s="187">
        <v>29.767980000000001</v>
      </c>
      <c r="K8" s="187">
        <v>-95.606300000000005</v>
      </c>
      <c r="L8" s="187" t="s">
        <v>405</v>
      </c>
      <c r="M8" s="187" t="s">
        <v>386</v>
      </c>
      <c r="N8" s="187" t="s">
        <v>418</v>
      </c>
      <c r="O8" s="187" t="s">
        <v>388</v>
      </c>
      <c r="P8" s="187" t="s">
        <v>342</v>
      </c>
      <c r="Q8" s="187" t="s">
        <v>103</v>
      </c>
      <c r="R8" s="187" t="s">
        <v>390</v>
      </c>
      <c r="S8" s="187">
        <v>0</v>
      </c>
      <c r="T8" s="187">
        <v>0</v>
      </c>
      <c r="U8" s="187">
        <v>0</v>
      </c>
      <c r="V8" s="187">
        <v>1</v>
      </c>
      <c r="W8" s="187">
        <v>1</v>
      </c>
      <c r="X8" s="187">
        <v>1</v>
      </c>
      <c r="Y8" s="187">
        <v>0</v>
      </c>
      <c r="Z8" s="187">
        <v>0</v>
      </c>
      <c r="AA8" s="187">
        <v>0</v>
      </c>
      <c r="AB8" s="187">
        <v>0</v>
      </c>
      <c r="AC8" s="187">
        <v>1</v>
      </c>
      <c r="AD8" s="187">
        <v>1</v>
      </c>
      <c r="AE8" s="187">
        <v>1</v>
      </c>
      <c r="AF8" s="187">
        <v>0</v>
      </c>
      <c r="AG8" s="187">
        <v>0</v>
      </c>
      <c r="AH8" s="187">
        <v>0</v>
      </c>
      <c r="AI8" s="187">
        <v>0</v>
      </c>
      <c r="AJ8" s="187">
        <v>0</v>
      </c>
      <c r="AK8" s="187">
        <v>0</v>
      </c>
      <c r="AL8" s="187">
        <v>0</v>
      </c>
      <c r="AM8" s="187">
        <v>0</v>
      </c>
      <c r="AN8" s="187">
        <v>0</v>
      </c>
      <c r="AO8" s="187">
        <v>0</v>
      </c>
      <c r="AP8" s="187">
        <v>0</v>
      </c>
      <c r="AQ8" s="187">
        <v>0</v>
      </c>
      <c r="AR8" s="187">
        <v>0</v>
      </c>
      <c r="AS8" s="187">
        <v>0</v>
      </c>
      <c r="AT8" s="187">
        <v>0</v>
      </c>
      <c r="AU8" s="187" t="s">
        <v>52</v>
      </c>
      <c r="AV8" s="187" t="s">
        <v>391</v>
      </c>
      <c r="AW8" s="187" t="s">
        <v>392</v>
      </c>
      <c r="AX8" s="187" t="s">
        <v>393</v>
      </c>
      <c r="AY8" s="187">
        <v>77079</v>
      </c>
      <c r="AZ8" s="188">
        <v>48200000000</v>
      </c>
      <c r="BA8" s="187" t="s">
        <v>394</v>
      </c>
      <c r="BB8" s="187" t="s">
        <v>395</v>
      </c>
      <c r="BC8" s="187">
        <v>161810</v>
      </c>
      <c r="BD8" s="187">
        <v>2990</v>
      </c>
      <c r="BE8" s="187" t="s">
        <v>396</v>
      </c>
      <c r="BF8" s="187" t="s">
        <v>396</v>
      </c>
      <c r="BG8" s="187" t="s">
        <v>396</v>
      </c>
    </row>
    <row r="9" spans="1:59">
      <c r="A9" s="187">
        <v>27933</v>
      </c>
      <c r="B9" s="187">
        <v>16306315</v>
      </c>
      <c r="C9" s="187">
        <v>2018</v>
      </c>
      <c r="D9" s="189">
        <v>43165</v>
      </c>
      <c r="E9" s="187">
        <v>14</v>
      </c>
      <c r="F9" s="187" t="s">
        <v>381</v>
      </c>
      <c r="G9" s="187" t="s">
        <v>382</v>
      </c>
      <c r="H9" s="187" t="s">
        <v>419</v>
      </c>
      <c r="I9" s="187" t="s">
        <v>384</v>
      </c>
      <c r="J9" s="187">
        <v>29.753969999999999</v>
      </c>
      <c r="K9" s="187">
        <v>-95.606200000000001</v>
      </c>
      <c r="L9" s="187" t="s">
        <v>385</v>
      </c>
      <c r="M9" s="187" t="s">
        <v>386</v>
      </c>
      <c r="N9" s="187" t="s">
        <v>401</v>
      </c>
      <c r="O9" s="187" t="s">
        <v>388</v>
      </c>
      <c r="P9" s="187" t="s">
        <v>420</v>
      </c>
      <c r="Q9" s="187" t="s">
        <v>103</v>
      </c>
      <c r="R9" s="187" t="s">
        <v>410</v>
      </c>
      <c r="S9" s="187">
        <v>0</v>
      </c>
      <c r="T9" s="187">
        <v>1</v>
      </c>
      <c r="U9" s="187">
        <v>0</v>
      </c>
      <c r="V9" s="187">
        <v>2</v>
      </c>
      <c r="W9" s="187">
        <v>3</v>
      </c>
      <c r="X9" s="187">
        <v>0</v>
      </c>
      <c r="Y9" s="187">
        <v>0</v>
      </c>
      <c r="Z9" s="187">
        <v>0</v>
      </c>
      <c r="AA9" s="187">
        <v>1</v>
      </c>
      <c r="AB9" s="187">
        <v>0</v>
      </c>
      <c r="AC9" s="187">
        <v>2</v>
      </c>
      <c r="AD9" s="187">
        <v>0</v>
      </c>
      <c r="AE9" s="187">
        <v>3</v>
      </c>
      <c r="AF9" s="187">
        <v>0</v>
      </c>
      <c r="AG9" s="187">
        <v>0</v>
      </c>
      <c r="AH9" s="187">
        <v>0</v>
      </c>
      <c r="AI9" s="187">
        <v>0</v>
      </c>
      <c r="AJ9" s="187">
        <v>0</v>
      </c>
      <c r="AK9" s="187">
        <v>0</v>
      </c>
      <c r="AL9" s="187">
        <v>0</v>
      </c>
      <c r="AM9" s="187">
        <v>0</v>
      </c>
      <c r="AN9" s="187">
        <v>0</v>
      </c>
      <c r="AO9" s="187">
        <v>0</v>
      </c>
      <c r="AP9" s="187">
        <v>0</v>
      </c>
      <c r="AQ9" s="187">
        <v>0</v>
      </c>
      <c r="AR9" s="187">
        <v>0</v>
      </c>
      <c r="AS9" s="187">
        <v>0</v>
      </c>
      <c r="AT9" s="187">
        <v>0</v>
      </c>
      <c r="AU9" s="187" t="s">
        <v>52</v>
      </c>
      <c r="AV9" s="187" t="s">
        <v>391</v>
      </c>
      <c r="AW9" s="187" t="s">
        <v>392</v>
      </c>
      <c r="AX9" s="187" t="s">
        <v>393</v>
      </c>
      <c r="AY9" s="187">
        <v>77077</v>
      </c>
      <c r="AZ9" s="188">
        <v>48200000000</v>
      </c>
      <c r="BA9" s="187" t="s">
        <v>394</v>
      </c>
      <c r="BB9" s="187" t="s">
        <v>395</v>
      </c>
      <c r="BC9" s="187">
        <v>161370</v>
      </c>
      <c r="BD9" s="187">
        <v>2990</v>
      </c>
      <c r="BE9" s="187" t="s">
        <v>396</v>
      </c>
      <c r="BF9" s="187" t="s">
        <v>396</v>
      </c>
      <c r="BG9" s="187" t="s">
        <v>396</v>
      </c>
    </row>
    <row r="10" spans="1:59">
      <c r="A10" s="187">
        <v>28610</v>
      </c>
      <c r="B10" s="187">
        <v>16309460</v>
      </c>
      <c r="C10" s="187">
        <v>2018</v>
      </c>
      <c r="D10" s="187" t="s">
        <v>380</v>
      </c>
      <c r="E10" s="187">
        <v>0</v>
      </c>
      <c r="F10" s="187" t="s">
        <v>421</v>
      </c>
      <c r="G10" s="187" t="s">
        <v>382</v>
      </c>
      <c r="H10" s="187" t="s">
        <v>408</v>
      </c>
      <c r="I10" s="187" t="s">
        <v>422</v>
      </c>
      <c r="J10" s="187">
        <v>29.770060000000001</v>
      </c>
      <c r="K10" s="187">
        <v>-95.606300000000005</v>
      </c>
      <c r="L10" s="187" t="s">
        <v>385</v>
      </c>
      <c r="M10" s="187" t="s">
        <v>400</v>
      </c>
      <c r="N10" s="187" t="s">
        <v>401</v>
      </c>
      <c r="O10" s="187" t="s">
        <v>388</v>
      </c>
      <c r="P10" s="187" t="s">
        <v>389</v>
      </c>
      <c r="Q10" s="187" t="s">
        <v>103</v>
      </c>
      <c r="R10" s="187" t="s">
        <v>423</v>
      </c>
      <c r="S10" s="187">
        <v>0</v>
      </c>
      <c r="T10" s="187">
        <v>0</v>
      </c>
      <c r="U10" s="187">
        <v>0</v>
      </c>
      <c r="V10" s="187">
        <v>0</v>
      </c>
      <c r="W10" s="187">
        <v>0</v>
      </c>
      <c r="X10" s="187">
        <v>2</v>
      </c>
      <c r="Y10" s="187">
        <v>0</v>
      </c>
      <c r="Z10" s="187">
        <v>0</v>
      </c>
      <c r="AA10" s="187">
        <v>0</v>
      </c>
      <c r="AB10" s="187">
        <v>0</v>
      </c>
      <c r="AC10" s="187">
        <v>0</v>
      </c>
      <c r="AD10" s="187">
        <v>2</v>
      </c>
      <c r="AE10" s="187">
        <v>0</v>
      </c>
      <c r="AF10" s="187">
        <v>0</v>
      </c>
      <c r="AG10" s="187">
        <v>0</v>
      </c>
      <c r="AH10" s="187">
        <v>0</v>
      </c>
      <c r="AI10" s="187">
        <v>0</v>
      </c>
      <c r="AJ10" s="187">
        <v>0</v>
      </c>
      <c r="AK10" s="187">
        <v>0</v>
      </c>
      <c r="AL10" s="187">
        <v>0</v>
      </c>
      <c r="AM10" s="187">
        <v>0</v>
      </c>
      <c r="AN10" s="187">
        <v>0</v>
      </c>
      <c r="AO10" s="187">
        <v>0</v>
      </c>
      <c r="AP10" s="187">
        <v>0</v>
      </c>
      <c r="AQ10" s="187">
        <v>0</v>
      </c>
      <c r="AR10" s="187">
        <v>0</v>
      </c>
      <c r="AS10" s="187">
        <v>0</v>
      </c>
      <c r="AT10" s="187">
        <v>0</v>
      </c>
      <c r="AU10" s="187" t="s">
        <v>52</v>
      </c>
      <c r="AV10" s="187" t="s">
        <v>391</v>
      </c>
      <c r="AW10" s="187" t="s">
        <v>392</v>
      </c>
      <c r="AX10" s="187" t="s">
        <v>393</v>
      </c>
      <c r="AY10" s="187">
        <v>77079</v>
      </c>
      <c r="AZ10" s="188">
        <v>48200000000</v>
      </c>
      <c r="BA10" s="187" t="s">
        <v>394</v>
      </c>
      <c r="BB10" s="187" t="s">
        <v>395</v>
      </c>
      <c r="BC10" s="187">
        <v>162030</v>
      </c>
      <c r="BD10" s="187">
        <v>2990</v>
      </c>
      <c r="BE10" s="187" t="s">
        <v>396</v>
      </c>
      <c r="BF10" s="187" t="s">
        <v>396</v>
      </c>
      <c r="BG10" s="187" t="s">
        <v>396</v>
      </c>
    </row>
    <row r="11" spans="1:59">
      <c r="A11" s="187">
        <v>32189</v>
      </c>
      <c r="B11" s="187">
        <v>16323933</v>
      </c>
      <c r="C11" s="187">
        <v>2018</v>
      </c>
      <c r="D11" s="187" t="s">
        <v>380</v>
      </c>
      <c r="E11" s="187">
        <v>11</v>
      </c>
      <c r="F11" s="187" t="s">
        <v>414</v>
      </c>
      <c r="G11" s="187" t="s">
        <v>382</v>
      </c>
      <c r="H11" s="187" t="s">
        <v>404</v>
      </c>
      <c r="I11" s="187" t="s">
        <v>384</v>
      </c>
      <c r="J11" s="187">
        <v>29.764620000000001</v>
      </c>
      <c r="K11" s="187">
        <v>-95.606300000000005</v>
      </c>
      <c r="L11" s="187" t="s">
        <v>405</v>
      </c>
      <c r="M11" s="187" t="s">
        <v>386</v>
      </c>
      <c r="N11" s="187" t="s">
        <v>406</v>
      </c>
      <c r="O11" s="187" t="s">
        <v>388</v>
      </c>
      <c r="P11" s="187" t="s">
        <v>389</v>
      </c>
      <c r="Q11" s="187" t="s">
        <v>103</v>
      </c>
      <c r="R11" s="187" t="s">
        <v>407</v>
      </c>
      <c r="S11" s="187">
        <v>0</v>
      </c>
      <c r="T11" s="187">
        <v>0</v>
      </c>
      <c r="U11" s="187">
        <v>0</v>
      </c>
      <c r="V11" s="187">
        <v>0</v>
      </c>
      <c r="W11" s="187">
        <v>0</v>
      </c>
      <c r="X11" s="187">
        <v>2</v>
      </c>
      <c r="Y11" s="187">
        <v>1</v>
      </c>
      <c r="Z11" s="187">
        <v>0</v>
      </c>
      <c r="AA11" s="187">
        <v>0</v>
      </c>
      <c r="AB11" s="187">
        <v>0</v>
      </c>
      <c r="AC11" s="187">
        <v>0</v>
      </c>
      <c r="AD11" s="187">
        <v>2</v>
      </c>
      <c r="AE11" s="187">
        <v>0</v>
      </c>
      <c r="AF11" s="187">
        <v>1</v>
      </c>
      <c r="AG11" s="187">
        <v>0</v>
      </c>
      <c r="AH11" s="187">
        <v>0</v>
      </c>
      <c r="AI11" s="187">
        <v>0</v>
      </c>
      <c r="AJ11" s="187">
        <v>0</v>
      </c>
      <c r="AK11" s="187">
        <v>0</v>
      </c>
      <c r="AL11" s="187">
        <v>0</v>
      </c>
      <c r="AM11" s="187">
        <v>0</v>
      </c>
      <c r="AN11" s="187">
        <v>0</v>
      </c>
      <c r="AO11" s="187">
        <v>0</v>
      </c>
      <c r="AP11" s="187">
        <v>0</v>
      </c>
      <c r="AQ11" s="187">
        <v>0</v>
      </c>
      <c r="AR11" s="187">
        <v>0</v>
      </c>
      <c r="AS11" s="187">
        <v>0</v>
      </c>
      <c r="AT11" s="187">
        <v>0</v>
      </c>
      <c r="AU11" s="187" t="s">
        <v>52</v>
      </c>
      <c r="AV11" s="187" t="s">
        <v>391</v>
      </c>
      <c r="AW11" s="187" t="s">
        <v>392</v>
      </c>
      <c r="AX11" s="187" t="s">
        <v>393</v>
      </c>
      <c r="AY11" s="187">
        <v>77079</v>
      </c>
      <c r="AZ11" s="188">
        <v>48200000000</v>
      </c>
      <c r="BA11" s="187" t="s">
        <v>394</v>
      </c>
      <c r="BB11" s="187" t="s">
        <v>395</v>
      </c>
      <c r="BC11" s="187">
        <v>161810</v>
      </c>
      <c r="BD11" s="187">
        <v>2990</v>
      </c>
      <c r="BE11" s="187" t="s">
        <v>396</v>
      </c>
      <c r="BF11" s="187" t="s">
        <v>396</v>
      </c>
      <c r="BG11" s="187" t="s">
        <v>396</v>
      </c>
    </row>
    <row r="12" spans="1:59">
      <c r="A12" s="187">
        <v>37024</v>
      </c>
      <c r="B12" s="187">
        <v>16343548</v>
      </c>
      <c r="C12" s="187">
        <v>2018</v>
      </c>
      <c r="D12" s="189">
        <v>43194</v>
      </c>
      <c r="E12" s="187">
        <v>17</v>
      </c>
      <c r="F12" s="187" t="s">
        <v>414</v>
      </c>
      <c r="G12" s="187" t="s">
        <v>382</v>
      </c>
      <c r="H12" s="187" t="s">
        <v>383</v>
      </c>
      <c r="I12" s="187" t="s">
        <v>415</v>
      </c>
      <c r="J12" s="187">
        <v>29.758150000000001</v>
      </c>
      <c r="K12" s="187">
        <v>-95.606300000000005</v>
      </c>
      <c r="L12" s="187" t="s">
        <v>385</v>
      </c>
      <c r="M12" s="187" t="s">
        <v>386</v>
      </c>
      <c r="N12" s="187" t="s">
        <v>401</v>
      </c>
      <c r="O12" s="187" t="s">
        <v>388</v>
      </c>
      <c r="P12" s="187" t="s">
        <v>389</v>
      </c>
      <c r="Q12" s="187" t="s">
        <v>106</v>
      </c>
      <c r="R12" s="187" t="s">
        <v>403</v>
      </c>
      <c r="S12" s="187">
        <v>0</v>
      </c>
      <c r="T12" s="187">
        <v>0</v>
      </c>
      <c r="U12" s="187">
        <v>0</v>
      </c>
      <c r="V12" s="187">
        <v>0</v>
      </c>
      <c r="W12" s="187">
        <v>0</v>
      </c>
      <c r="X12" s="187">
        <v>1</v>
      </c>
      <c r="Y12" s="187">
        <v>1</v>
      </c>
      <c r="Z12" s="187">
        <v>0</v>
      </c>
      <c r="AA12" s="187">
        <v>0</v>
      </c>
      <c r="AB12" s="187">
        <v>0</v>
      </c>
      <c r="AC12" s="187">
        <v>0</v>
      </c>
      <c r="AD12" s="187">
        <v>1</v>
      </c>
      <c r="AE12" s="187">
        <v>0</v>
      </c>
      <c r="AF12" s="187">
        <v>1</v>
      </c>
      <c r="AG12" s="187">
        <v>0</v>
      </c>
      <c r="AH12" s="187">
        <v>0</v>
      </c>
      <c r="AI12" s="187">
        <v>0</v>
      </c>
      <c r="AJ12" s="187">
        <v>0</v>
      </c>
      <c r="AK12" s="187">
        <v>0</v>
      </c>
      <c r="AL12" s="187">
        <v>0</v>
      </c>
      <c r="AM12" s="187">
        <v>0</v>
      </c>
      <c r="AN12" s="187">
        <v>0</v>
      </c>
      <c r="AO12" s="187">
        <v>0</v>
      </c>
      <c r="AP12" s="187">
        <v>0</v>
      </c>
      <c r="AQ12" s="187">
        <v>0</v>
      </c>
      <c r="AR12" s="187">
        <v>0</v>
      </c>
      <c r="AS12" s="187">
        <v>0</v>
      </c>
      <c r="AT12" s="187">
        <v>0</v>
      </c>
      <c r="AU12" s="187" t="s">
        <v>52</v>
      </c>
      <c r="AV12" s="187" t="s">
        <v>391</v>
      </c>
      <c r="AW12" s="187" t="s">
        <v>392</v>
      </c>
      <c r="AX12" s="187" t="s">
        <v>393</v>
      </c>
      <c r="AY12" s="187">
        <v>77077</v>
      </c>
      <c r="AZ12" s="188">
        <v>48200000000</v>
      </c>
      <c r="BA12" s="187" t="s">
        <v>394</v>
      </c>
      <c r="BB12" s="187" t="s">
        <v>395</v>
      </c>
      <c r="BC12" s="187">
        <v>161590</v>
      </c>
      <c r="BD12" s="187">
        <v>2990</v>
      </c>
      <c r="BE12" s="187" t="s">
        <v>396</v>
      </c>
      <c r="BF12" s="187" t="s">
        <v>396</v>
      </c>
      <c r="BG12" s="187" t="s">
        <v>396</v>
      </c>
    </row>
    <row r="13" spans="1:59">
      <c r="A13" s="187">
        <v>48608</v>
      </c>
      <c r="B13" s="187">
        <v>16391943</v>
      </c>
      <c r="C13" s="187">
        <v>2018</v>
      </c>
      <c r="D13" s="189">
        <v>43221</v>
      </c>
      <c r="E13" s="187">
        <v>15</v>
      </c>
      <c r="F13" s="187" t="s">
        <v>381</v>
      </c>
      <c r="G13" s="187" t="s">
        <v>382</v>
      </c>
      <c r="H13" s="187" t="s">
        <v>419</v>
      </c>
      <c r="I13" s="187" t="s">
        <v>409</v>
      </c>
      <c r="J13" s="187">
        <v>29.753979999999999</v>
      </c>
      <c r="K13" s="187">
        <v>-95.605900000000005</v>
      </c>
      <c r="L13" s="187" t="s">
        <v>385</v>
      </c>
      <c r="M13" s="187" t="s">
        <v>386</v>
      </c>
      <c r="N13" s="187" t="s">
        <v>418</v>
      </c>
      <c r="O13" s="187" t="s">
        <v>388</v>
      </c>
      <c r="P13" s="187" t="s">
        <v>389</v>
      </c>
      <c r="Q13" s="187" t="s">
        <v>105</v>
      </c>
      <c r="R13" s="187" t="s">
        <v>424</v>
      </c>
      <c r="S13" s="187">
        <v>0</v>
      </c>
      <c r="T13" s="187">
        <v>0</v>
      </c>
      <c r="U13" s="187">
        <v>0</v>
      </c>
      <c r="V13" s="187">
        <v>0</v>
      </c>
      <c r="W13" s="187">
        <v>0</v>
      </c>
      <c r="X13" s="187">
        <v>4</v>
      </c>
      <c r="Y13" s="187">
        <v>0</v>
      </c>
      <c r="Z13" s="187">
        <v>0</v>
      </c>
      <c r="AA13" s="187">
        <v>0</v>
      </c>
      <c r="AB13" s="187">
        <v>0</v>
      </c>
      <c r="AC13" s="187">
        <v>0</v>
      </c>
      <c r="AD13" s="187">
        <v>4</v>
      </c>
      <c r="AE13" s="187">
        <v>0</v>
      </c>
      <c r="AF13" s="187">
        <v>0</v>
      </c>
      <c r="AG13" s="187">
        <v>0</v>
      </c>
      <c r="AH13" s="187">
        <v>0</v>
      </c>
      <c r="AI13" s="187">
        <v>0</v>
      </c>
      <c r="AJ13" s="187">
        <v>0</v>
      </c>
      <c r="AK13" s="187">
        <v>0</v>
      </c>
      <c r="AL13" s="187">
        <v>0</v>
      </c>
      <c r="AM13" s="187">
        <v>0</v>
      </c>
      <c r="AN13" s="187">
        <v>0</v>
      </c>
      <c r="AO13" s="187">
        <v>0</v>
      </c>
      <c r="AP13" s="187">
        <v>0</v>
      </c>
      <c r="AQ13" s="187">
        <v>0</v>
      </c>
      <c r="AR13" s="187">
        <v>0</v>
      </c>
      <c r="AS13" s="187">
        <v>0</v>
      </c>
      <c r="AT13" s="187">
        <v>0</v>
      </c>
      <c r="AU13" s="187" t="s">
        <v>52</v>
      </c>
      <c r="AV13" s="187" t="s">
        <v>391</v>
      </c>
      <c r="AW13" s="187" t="s">
        <v>392</v>
      </c>
      <c r="AX13" s="187" t="s">
        <v>393</v>
      </c>
      <c r="AY13" s="187">
        <v>77077</v>
      </c>
      <c r="AZ13" s="188">
        <v>48200000000</v>
      </c>
      <c r="BA13" s="187" t="s">
        <v>394</v>
      </c>
      <c r="BB13" s="187" t="s">
        <v>395</v>
      </c>
      <c r="BC13" s="187">
        <v>161370</v>
      </c>
      <c r="BD13" s="187">
        <v>2990</v>
      </c>
      <c r="BE13" s="187" t="s">
        <v>396</v>
      </c>
      <c r="BF13" s="187" t="s">
        <v>396</v>
      </c>
      <c r="BG13" s="187" t="s">
        <v>396</v>
      </c>
    </row>
    <row r="14" spans="1:59">
      <c r="A14" s="187">
        <v>49366</v>
      </c>
      <c r="B14" s="187">
        <v>16395540</v>
      </c>
      <c r="C14" s="187">
        <v>2018</v>
      </c>
      <c r="D14" s="189">
        <v>43227</v>
      </c>
      <c r="E14" s="187">
        <v>7</v>
      </c>
      <c r="F14" s="187" t="s">
        <v>411</v>
      </c>
      <c r="G14" s="187" t="s">
        <v>382</v>
      </c>
      <c r="H14" s="187" t="s">
        <v>404</v>
      </c>
      <c r="I14" s="187" t="s">
        <v>409</v>
      </c>
      <c r="J14" s="187">
        <v>29.770009999999999</v>
      </c>
      <c r="K14" s="187">
        <v>-95.606300000000005</v>
      </c>
      <c r="L14" s="187" t="s">
        <v>385</v>
      </c>
      <c r="M14" s="187" t="s">
        <v>386</v>
      </c>
      <c r="N14" s="187" t="s">
        <v>425</v>
      </c>
      <c r="O14" s="187" t="s">
        <v>388</v>
      </c>
      <c r="P14" s="187" t="s">
        <v>389</v>
      </c>
      <c r="Q14" s="187" t="s">
        <v>102</v>
      </c>
      <c r="R14" s="187" t="s">
        <v>390</v>
      </c>
      <c r="S14" s="187">
        <v>0</v>
      </c>
      <c r="T14" s="187">
        <v>0</v>
      </c>
      <c r="U14" s="187">
        <v>0</v>
      </c>
      <c r="V14" s="187">
        <v>0</v>
      </c>
      <c r="W14" s="187">
        <v>0</v>
      </c>
      <c r="X14" s="187">
        <v>2</v>
      </c>
      <c r="Y14" s="187">
        <v>0</v>
      </c>
      <c r="Z14" s="187">
        <v>0</v>
      </c>
      <c r="AA14" s="187">
        <v>0</v>
      </c>
      <c r="AB14" s="187">
        <v>0</v>
      </c>
      <c r="AC14" s="187">
        <v>0</v>
      </c>
      <c r="AD14" s="187">
        <v>2</v>
      </c>
      <c r="AE14" s="187">
        <v>0</v>
      </c>
      <c r="AF14" s="187">
        <v>0</v>
      </c>
      <c r="AG14" s="187">
        <v>0</v>
      </c>
      <c r="AH14" s="187">
        <v>0</v>
      </c>
      <c r="AI14" s="187">
        <v>0</v>
      </c>
      <c r="AJ14" s="187">
        <v>0</v>
      </c>
      <c r="AK14" s="187">
        <v>0</v>
      </c>
      <c r="AL14" s="187">
        <v>0</v>
      </c>
      <c r="AM14" s="187">
        <v>0</v>
      </c>
      <c r="AN14" s="187">
        <v>0</v>
      </c>
      <c r="AO14" s="187">
        <v>0</v>
      </c>
      <c r="AP14" s="187">
        <v>0</v>
      </c>
      <c r="AQ14" s="187">
        <v>0</v>
      </c>
      <c r="AR14" s="187">
        <v>0</v>
      </c>
      <c r="AS14" s="187">
        <v>0</v>
      </c>
      <c r="AT14" s="187">
        <v>0</v>
      </c>
      <c r="AU14" s="187" t="s">
        <v>52</v>
      </c>
      <c r="AV14" s="187" t="s">
        <v>391</v>
      </c>
      <c r="AW14" s="187" t="s">
        <v>392</v>
      </c>
      <c r="AX14" s="187" t="s">
        <v>393</v>
      </c>
      <c r="AY14" s="187">
        <v>77079</v>
      </c>
      <c r="AZ14" s="188">
        <v>48200000000</v>
      </c>
      <c r="BA14" s="187" t="s">
        <v>394</v>
      </c>
      <c r="BB14" s="187" t="s">
        <v>395</v>
      </c>
      <c r="BC14" s="187">
        <v>162030</v>
      </c>
      <c r="BD14" s="187">
        <v>2990</v>
      </c>
      <c r="BE14" s="187" t="s">
        <v>396</v>
      </c>
      <c r="BF14" s="187" t="s">
        <v>396</v>
      </c>
      <c r="BG14" s="187" t="s">
        <v>396</v>
      </c>
    </row>
    <row r="15" spans="1:59">
      <c r="A15" s="187">
        <v>49715</v>
      </c>
      <c r="B15" s="187">
        <v>16397196</v>
      </c>
      <c r="C15" s="187">
        <v>2018</v>
      </c>
      <c r="D15" s="189">
        <v>43224</v>
      </c>
      <c r="E15" s="187">
        <v>15</v>
      </c>
      <c r="F15" s="187" t="s">
        <v>397</v>
      </c>
      <c r="G15" s="187" t="s">
        <v>382</v>
      </c>
      <c r="H15" s="187" t="s">
        <v>404</v>
      </c>
      <c r="I15" s="187" t="s">
        <v>415</v>
      </c>
      <c r="J15" s="187">
        <v>29.76595</v>
      </c>
      <c r="K15" s="187">
        <v>-95.606300000000005</v>
      </c>
      <c r="L15" s="187" t="s">
        <v>405</v>
      </c>
      <c r="M15" s="187" t="s">
        <v>386</v>
      </c>
      <c r="N15" s="187" t="s">
        <v>425</v>
      </c>
      <c r="O15" s="187" t="s">
        <v>388</v>
      </c>
      <c r="P15" s="187" t="s">
        <v>389</v>
      </c>
      <c r="Q15" s="187" t="s">
        <v>102</v>
      </c>
      <c r="R15" s="187" t="s">
        <v>413</v>
      </c>
      <c r="S15" s="187">
        <v>0</v>
      </c>
      <c r="T15" s="187">
        <v>0</v>
      </c>
      <c r="U15" s="187">
        <v>0</v>
      </c>
      <c r="V15" s="187">
        <v>0</v>
      </c>
      <c r="W15" s="187">
        <v>0</v>
      </c>
      <c r="X15" s="187">
        <v>2</v>
      </c>
      <c r="Y15" s="187">
        <v>1</v>
      </c>
      <c r="Z15" s="187">
        <v>0</v>
      </c>
      <c r="AA15" s="187">
        <v>0</v>
      </c>
      <c r="AB15" s="187">
        <v>0</v>
      </c>
      <c r="AC15" s="187">
        <v>0</v>
      </c>
      <c r="AD15" s="187">
        <v>2</v>
      </c>
      <c r="AE15" s="187">
        <v>0</v>
      </c>
      <c r="AF15" s="187">
        <v>1</v>
      </c>
      <c r="AG15" s="187">
        <v>0</v>
      </c>
      <c r="AH15" s="187">
        <v>0</v>
      </c>
      <c r="AI15" s="187">
        <v>0</v>
      </c>
      <c r="AJ15" s="187">
        <v>0</v>
      </c>
      <c r="AK15" s="187">
        <v>0</v>
      </c>
      <c r="AL15" s="187">
        <v>0</v>
      </c>
      <c r="AM15" s="187">
        <v>0</v>
      </c>
      <c r="AN15" s="187">
        <v>0</v>
      </c>
      <c r="AO15" s="187">
        <v>0</v>
      </c>
      <c r="AP15" s="187">
        <v>0</v>
      </c>
      <c r="AQ15" s="187">
        <v>0</v>
      </c>
      <c r="AR15" s="187">
        <v>0</v>
      </c>
      <c r="AS15" s="187">
        <v>0</v>
      </c>
      <c r="AT15" s="187">
        <v>0</v>
      </c>
      <c r="AU15" s="187" t="s">
        <v>52</v>
      </c>
      <c r="AV15" s="187" t="s">
        <v>391</v>
      </c>
      <c r="AW15" s="187" t="s">
        <v>392</v>
      </c>
      <c r="AX15" s="187" t="s">
        <v>393</v>
      </c>
      <c r="AY15" s="187">
        <v>77079</v>
      </c>
      <c r="AZ15" s="188">
        <v>48200000000</v>
      </c>
      <c r="BA15" s="187" t="s">
        <v>394</v>
      </c>
      <c r="BB15" s="187" t="s">
        <v>395</v>
      </c>
      <c r="BC15" s="187">
        <v>161810</v>
      </c>
      <c r="BD15" s="187">
        <v>2990</v>
      </c>
      <c r="BE15" s="187" t="s">
        <v>396</v>
      </c>
      <c r="BF15" s="187" t="s">
        <v>396</v>
      </c>
      <c r="BG15" s="187" t="s">
        <v>396</v>
      </c>
    </row>
    <row r="16" spans="1:59">
      <c r="A16" s="187">
        <v>53872</v>
      </c>
      <c r="B16" s="187">
        <v>16415073</v>
      </c>
      <c r="C16" s="187">
        <v>2018</v>
      </c>
      <c r="D16" s="187" t="s">
        <v>380</v>
      </c>
      <c r="E16" s="187">
        <v>16</v>
      </c>
      <c r="F16" s="187" t="s">
        <v>414</v>
      </c>
      <c r="G16" s="187" t="s">
        <v>382</v>
      </c>
      <c r="H16" s="187" t="s">
        <v>383</v>
      </c>
      <c r="I16" s="187" t="s">
        <v>409</v>
      </c>
      <c r="J16" s="187">
        <v>29.758220000000001</v>
      </c>
      <c r="K16" s="187">
        <v>-95.606300000000005</v>
      </c>
      <c r="L16" s="187" t="s">
        <v>385</v>
      </c>
      <c r="M16" s="187" t="s">
        <v>386</v>
      </c>
      <c r="N16" s="187" t="s">
        <v>425</v>
      </c>
      <c r="O16" s="187" t="s">
        <v>388</v>
      </c>
      <c r="P16" s="187" t="s">
        <v>389</v>
      </c>
      <c r="Q16" s="187" t="s">
        <v>102</v>
      </c>
      <c r="R16" s="187" t="s">
        <v>403</v>
      </c>
      <c r="S16" s="187">
        <v>0</v>
      </c>
      <c r="T16" s="187">
        <v>0</v>
      </c>
      <c r="U16" s="187">
        <v>0</v>
      </c>
      <c r="V16" s="187">
        <v>0</v>
      </c>
      <c r="W16" s="187">
        <v>0</v>
      </c>
      <c r="X16" s="187">
        <v>1</v>
      </c>
      <c r="Y16" s="187">
        <v>1</v>
      </c>
      <c r="Z16" s="187">
        <v>0</v>
      </c>
      <c r="AA16" s="187">
        <v>0</v>
      </c>
      <c r="AB16" s="187">
        <v>0</v>
      </c>
      <c r="AC16" s="187">
        <v>0</v>
      </c>
      <c r="AD16" s="187">
        <v>1</v>
      </c>
      <c r="AE16" s="187">
        <v>0</v>
      </c>
      <c r="AF16" s="187">
        <v>1</v>
      </c>
      <c r="AG16" s="187">
        <v>0</v>
      </c>
      <c r="AH16" s="187">
        <v>0</v>
      </c>
      <c r="AI16" s="187">
        <v>0</v>
      </c>
      <c r="AJ16" s="187">
        <v>0</v>
      </c>
      <c r="AK16" s="187">
        <v>0</v>
      </c>
      <c r="AL16" s="187">
        <v>0</v>
      </c>
      <c r="AM16" s="187">
        <v>0</v>
      </c>
      <c r="AN16" s="187">
        <v>0</v>
      </c>
      <c r="AO16" s="187">
        <v>0</v>
      </c>
      <c r="AP16" s="187">
        <v>0</v>
      </c>
      <c r="AQ16" s="187">
        <v>0</v>
      </c>
      <c r="AR16" s="187">
        <v>0</v>
      </c>
      <c r="AS16" s="187">
        <v>0</v>
      </c>
      <c r="AT16" s="187">
        <v>0</v>
      </c>
      <c r="AU16" s="187" t="s">
        <v>52</v>
      </c>
      <c r="AV16" s="187" t="s">
        <v>391</v>
      </c>
      <c r="AW16" s="187" t="s">
        <v>392</v>
      </c>
      <c r="AX16" s="187" t="s">
        <v>393</v>
      </c>
      <c r="AY16" s="187">
        <v>77077</v>
      </c>
      <c r="AZ16" s="188">
        <v>48200000000</v>
      </c>
      <c r="BA16" s="187" t="s">
        <v>394</v>
      </c>
      <c r="BB16" s="187" t="s">
        <v>395</v>
      </c>
      <c r="BC16" s="187">
        <v>161590</v>
      </c>
      <c r="BD16" s="187">
        <v>2990</v>
      </c>
      <c r="BE16" s="187" t="s">
        <v>396</v>
      </c>
      <c r="BF16" s="187" t="s">
        <v>396</v>
      </c>
      <c r="BG16" s="187" t="s">
        <v>396</v>
      </c>
    </row>
    <row r="17" spans="1:59">
      <c r="A17" s="187">
        <v>59514</v>
      </c>
      <c r="B17" s="187">
        <v>16437791</v>
      </c>
      <c r="C17" s="187">
        <v>2018</v>
      </c>
      <c r="D17" s="187" t="s">
        <v>380</v>
      </c>
      <c r="E17" s="187">
        <v>16</v>
      </c>
      <c r="F17" s="187" t="s">
        <v>381</v>
      </c>
      <c r="G17" s="187" t="s">
        <v>382</v>
      </c>
      <c r="H17" s="187" t="s">
        <v>404</v>
      </c>
      <c r="I17" s="187" t="s">
        <v>415</v>
      </c>
      <c r="J17" s="187">
        <v>29.770060000000001</v>
      </c>
      <c r="K17" s="187">
        <v>-95.606300000000005</v>
      </c>
      <c r="L17" s="187" t="s">
        <v>405</v>
      </c>
      <c r="M17" s="187" t="s">
        <v>386</v>
      </c>
      <c r="N17" s="187" t="s">
        <v>401</v>
      </c>
      <c r="O17" s="187" t="s">
        <v>388</v>
      </c>
      <c r="P17" s="187" t="s">
        <v>402</v>
      </c>
      <c r="Q17" s="187" t="s">
        <v>103</v>
      </c>
      <c r="R17" s="187" t="s">
        <v>410</v>
      </c>
      <c r="S17" s="187">
        <v>0</v>
      </c>
      <c r="T17" s="187">
        <v>0</v>
      </c>
      <c r="U17" s="187">
        <v>1</v>
      </c>
      <c r="V17" s="187">
        <v>0</v>
      </c>
      <c r="W17" s="187">
        <v>1</v>
      </c>
      <c r="X17" s="187">
        <v>2</v>
      </c>
      <c r="Y17" s="187">
        <v>0</v>
      </c>
      <c r="Z17" s="187">
        <v>0</v>
      </c>
      <c r="AA17" s="187">
        <v>0</v>
      </c>
      <c r="AB17" s="187">
        <v>1</v>
      </c>
      <c r="AC17" s="187">
        <v>0</v>
      </c>
      <c r="AD17" s="187">
        <v>2</v>
      </c>
      <c r="AE17" s="187">
        <v>1</v>
      </c>
      <c r="AF17" s="187">
        <v>0</v>
      </c>
      <c r="AG17" s="187">
        <v>0</v>
      </c>
      <c r="AH17" s="187">
        <v>0</v>
      </c>
      <c r="AI17" s="187">
        <v>0</v>
      </c>
      <c r="AJ17" s="187">
        <v>0</v>
      </c>
      <c r="AK17" s="187">
        <v>0</v>
      </c>
      <c r="AL17" s="187">
        <v>0</v>
      </c>
      <c r="AM17" s="187">
        <v>0</v>
      </c>
      <c r="AN17" s="187">
        <v>0</v>
      </c>
      <c r="AO17" s="187">
        <v>0</v>
      </c>
      <c r="AP17" s="187">
        <v>0</v>
      </c>
      <c r="AQ17" s="187">
        <v>0</v>
      </c>
      <c r="AR17" s="187">
        <v>0</v>
      </c>
      <c r="AS17" s="187">
        <v>0</v>
      </c>
      <c r="AT17" s="187">
        <v>0</v>
      </c>
      <c r="AU17" s="187" t="s">
        <v>52</v>
      </c>
      <c r="AV17" s="187" t="s">
        <v>391</v>
      </c>
      <c r="AW17" s="187" t="s">
        <v>392</v>
      </c>
      <c r="AX17" s="187" t="s">
        <v>393</v>
      </c>
      <c r="AY17" s="187">
        <v>77079</v>
      </c>
      <c r="AZ17" s="188">
        <v>48200000000</v>
      </c>
      <c r="BA17" s="187" t="s">
        <v>394</v>
      </c>
      <c r="BB17" s="187" t="s">
        <v>395</v>
      </c>
      <c r="BC17" s="187">
        <v>162030</v>
      </c>
      <c r="BD17" s="187">
        <v>2990</v>
      </c>
      <c r="BE17" s="187" t="s">
        <v>396</v>
      </c>
      <c r="BF17" s="187" t="s">
        <v>396</v>
      </c>
      <c r="BG17" s="187" t="s">
        <v>396</v>
      </c>
    </row>
    <row r="18" spans="1:59">
      <c r="A18" s="187">
        <v>62965</v>
      </c>
      <c r="B18" s="187">
        <v>16453362</v>
      </c>
      <c r="C18" s="187">
        <v>2018</v>
      </c>
      <c r="D18" s="189">
        <v>43257</v>
      </c>
      <c r="E18" s="187">
        <v>17</v>
      </c>
      <c r="F18" s="187" t="s">
        <v>414</v>
      </c>
      <c r="G18" s="187" t="s">
        <v>382</v>
      </c>
      <c r="H18" s="187" t="s">
        <v>383</v>
      </c>
      <c r="I18" s="187" t="s">
        <v>398</v>
      </c>
      <c r="J18" s="187">
        <v>29.758289999999999</v>
      </c>
      <c r="K18" s="187">
        <v>-95.606300000000005</v>
      </c>
      <c r="L18" s="187" t="s">
        <v>405</v>
      </c>
      <c r="M18" s="187" t="s">
        <v>386</v>
      </c>
      <c r="N18" s="187" t="s">
        <v>425</v>
      </c>
      <c r="O18" s="187" t="s">
        <v>388</v>
      </c>
      <c r="P18" s="187" t="s">
        <v>342</v>
      </c>
      <c r="Q18" s="187" t="s">
        <v>102</v>
      </c>
      <c r="R18" s="187" t="s">
        <v>403</v>
      </c>
      <c r="S18" s="187">
        <v>0</v>
      </c>
      <c r="T18" s="187">
        <v>0</v>
      </c>
      <c r="U18" s="187">
        <v>0</v>
      </c>
      <c r="V18" s="187">
        <v>1</v>
      </c>
      <c r="W18" s="187">
        <v>1</v>
      </c>
      <c r="X18" s="187">
        <v>3</v>
      </c>
      <c r="Y18" s="187">
        <v>0</v>
      </c>
      <c r="Z18" s="187">
        <v>0</v>
      </c>
      <c r="AA18" s="187">
        <v>0</v>
      </c>
      <c r="AB18" s="187">
        <v>0</v>
      </c>
      <c r="AC18" s="187">
        <v>1</v>
      </c>
      <c r="AD18" s="187">
        <v>3</v>
      </c>
      <c r="AE18" s="187">
        <v>1</v>
      </c>
      <c r="AF18" s="187">
        <v>0</v>
      </c>
      <c r="AG18" s="187">
        <v>0</v>
      </c>
      <c r="AH18" s="187">
        <v>0</v>
      </c>
      <c r="AI18" s="187">
        <v>0</v>
      </c>
      <c r="AJ18" s="187">
        <v>0</v>
      </c>
      <c r="AK18" s="187">
        <v>0</v>
      </c>
      <c r="AL18" s="187">
        <v>0</v>
      </c>
      <c r="AM18" s="187">
        <v>0</v>
      </c>
      <c r="AN18" s="187">
        <v>0</v>
      </c>
      <c r="AO18" s="187">
        <v>0</v>
      </c>
      <c r="AP18" s="187">
        <v>0</v>
      </c>
      <c r="AQ18" s="187">
        <v>0</v>
      </c>
      <c r="AR18" s="187">
        <v>0</v>
      </c>
      <c r="AS18" s="187">
        <v>0</v>
      </c>
      <c r="AT18" s="187">
        <v>0</v>
      </c>
      <c r="AU18" s="187" t="s">
        <v>52</v>
      </c>
      <c r="AV18" s="187" t="s">
        <v>391</v>
      </c>
      <c r="AW18" s="187" t="s">
        <v>392</v>
      </c>
      <c r="AX18" s="187" t="s">
        <v>393</v>
      </c>
      <c r="AY18" s="187">
        <v>77077</v>
      </c>
      <c r="AZ18" s="188">
        <v>48200000000</v>
      </c>
      <c r="BA18" s="187" t="s">
        <v>394</v>
      </c>
      <c r="BB18" s="187" t="s">
        <v>395</v>
      </c>
      <c r="BC18" s="187">
        <v>161590</v>
      </c>
      <c r="BD18" s="187">
        <v>2990</v>
      </c>
      <c r="BE18" s="187" t="s">
        <v>396</v>
      </c>
      <c r="BF18" s="187" t="s">
        <v>396</v>
      </c>
      <c r="BG18" s="187" t="s">
        <v>396</v>
      </c>
    </row>
    <row r="19" spans="1:59">
      <c r="A19" s="187">
        <v>64349</v>
      </c>
      <c r="B19" s="187">
        <v>16460036</v>
      </c>
      <c r="C19" s="187">
        <v>2018</v>
      </c>
      <c r="D19" s="189">
        <v>43260</v>
      </c>
      <c r="E19" s="187">
        <v>14</v>
      </c>
      <c r="F19" s="187" t="s">
        <v>426</v>
      </c>
      <c r="G19" s="187" t="s">
        <v>382</v>
      </c>
      <c r="H19" s="187" t="s">
        <v>408</v>
      </c>
      <c r="I19" s="187" t="s">
        <v>422</v>
      </c>
      <c r="J19" s="187">
        <v>29.770060000000001</v>
      </c>
      <c r="K19" s="187">
        <v>-95.606300000000005</v>
      </c>
      <c r="L19" s="187" t="s">
        <v>405</v>
      </c>
      <c r="M19" s="187" t="s">
        <v>386</v>
      </c>
      <c r="N19" s="187" t="s">
        <v>425</v>
      </c>
      <c r="O19" s="187" t="s">
        <v>388</v>
      </c>
      <c r="P19" s="187" t="s">
        <v>389</v>
      </c>
      <c r="Q19" s="187" t="s">
        <v>103</v>
      </c>
      <c r="R19" s="187" t="s">
        <v>427</v>
      </c>
      <c r="S19" s="187">
        <v>0</v>
      </c>
      <c r="T19" s="187">
        <v>0</v>
      </c>
      <c r="U19" s="187">
        <v>0</v>
      </c>
      <c r="V19" s="187">
        <v>0</v>
      </c>
      <c r="W19" s="187">
        <v>0</v>
      </c>
      <c r="X19" s="187">
        <v>4</v>
      </c>
      <c r="Y19" s="187">
        <v>0</v>
      </c>
      <c r="Z19" s="187">
        <v>0</v>
      </c>
      <c r="AA19" s="187">
        <v>0</v>
      </c>
      <c r="AB19" s="187">
        <v>0</v>
      </c>
      <c r="AC19" s="187">
        <v>0</v>
      </c>
      <c r="AD19" s="187">
        <v>4</v>
      </c>
      <c r="AE19" s="187">
        <v>0</v>
      </c>
      <c r="AF19" s="187">
        <v>0</v>
      </c>
      <c r="AG19" s="187">
        <v>0</v>
      </c>
      <c r="AH19" s="187">
        <v>0</v>
      </c>
      <c r="AI19" s="187">
        <v>0</v>
      </c>
      <c r="AJ19" s="187">
        <v>0</v>
      </c>
      <c r="AK19" s="187">
        <v>0</v>
      </c>
      <c r="AL19" s="187">
        <v>0</v>
      </c>
      <c r="AM19" s="187">
        <v>0</v>
      </c>
      <c r="AN19" s="187">
        <v>0</v>
      </c>
      <c r="AO19" s="187">
        <v>0</v>
      </c>
      <c r="AP19" s="187">
        <v>0</v>
      </c>
      <c r="AQ19" s="187">
        <v>0</v>
      </c>
      <c r="AR19" s="187">
        <v>0</v>
      </c>
      <c r="AS19" s="187">
        <v>0</v>
      </c>
      <c r="AT19" s="187">
        <v>0</v>
      </c>
      <c r="AU19" s="187" t="s">
        <v>52</v>
      </c>
      <c r="AV19" s="187" t="s">
        <v>391</v>
      </c>
      <c r="AW19" s="187" t="s">
        <v>392</v>
      </c>
      <c r="AX19" s="187" t="s">
        <v>393</v>
      </c>
      <c r="AY19" s="187">
        <v>77079</v>
      </c>
      <c r="AZ19" s="188">
        <v>48200000000</v>
      </c>
      <c r="BA19" s="187" t="s">
        <v>394</v>
      </c>
      <c r="BB19" s="187" t="s">
        <v>395</v>
      </c>
      <c r="BC19" s="187">
        <v>162030</v>
      </c>
      <c r="BD19" s="187">
        <v>2990</v>
      </c>
      <c r="BE19" s="187" t="s">
        <v>396</v>
      </c>
      <c r="BF19" s="187" t="s">
        <v>396</v>
      </c>
      <c r="BG19" s="187" t="s">
        <v>396</v>
      </c>
    </row>
    <row r="20" spans="1:59">
      <c r="A20" s="187">
        <v>70290</v>
      </c>
      <c r="B20" s="187">
        <v>16486412</v>
      </c>
      <c r="C20" s="187">
        <v>2018</v>
      </c>
      <c r="D20" s="187" t="s">
        <v>380</v>
      </c>
      <c r="E20" s="187">
        <v>19</v>
      </c>
      <c r="F20" s="187" t="s">
        <v>421</v>
      </c>
      <c r="G20" s="187" t="s">
        <v>382</v>
      </c>
      <c r="H20" s="187" t="s">
        <v>383</v>
      </c>
      <c r="I20" s="187" t="s">
        <v>415</v>
      </c>
      <c r="J20" s="187">
        <v>29.75507</v>
      </c>
      <c r="K20" s="187">
        <v>-95.606200000000001</v>
      </c>
      <c r="L20" s="187" t="s">
        <v>385</v>
      </c>
      <c r="M20" s="187" t="s">
        <v>386</v>
      </c>
      <c r="N20" s="187" t="s">
        <v>401</v>
      </c>
      <c r="O20" s="187" t="s">
        <v>388</v>
      </c>
      <c r="P20" s="187" t="s">
        <v>389</v>
      </c>
      <c r="Q20" s="187" t="s">
        <v>106</v>
      </c>
      <c r="R20" s="187" t="s">
        <v>403</v>
      </c>
      <c r="S20" s="187">
        <v>0</v>
      </c>
      <c r="T20" s="187">
        <v>0</v>
      </c>
      <c r="U20" s="187">
        <v>0</v>
      </c>
      <c r="V20" s="187">
        <v>0</v>
      </c>
      <c r="W20" s="187">
        <v>0</v>
      </c>
      <c r="X20" s="187">
        <v>2</v>
      </c>
      <c r="Y20" s="187">
        <v>0</v>
      </c>
      <c r="Z20" s="187">
        <v>0</v>
      </c>
      <c r="AA20" s="187">
        <v>0</v>
      </c>
      <c r="AB20" s="187">
        <v>0</v>
      </c>
      <c r="AC20" s="187">
        <v>0</v>
      </c>
      <c r="AD20" s="187">
        <v>2</v>
      </c>
      <c r="AE20" s="187">
        <v>0</v>
      </c>
      <c r="AF20" s="187">
        <v>0</v>
      </c>
      <c r="AG20" s="187">
        <v>0</v>
      </c>
      <c r="AH20" s="187">
        <v>0</v>
      </c>
      <c r="AI20" s="187">
        <v>0</v>
      </c>
      <c r="AJ20" s="187">
        <v>0</v>
      </c>
      <c r="AK20" s="187">
        <v>0</v>
      </c>
      <c r="AL20" s="187">
        <v>0</v>
      </c>
      <c r="AM20" s="187">
        <v>0</v>
      </c>
      <c r="AN20" s="187">
        <v>0</v>
      </c>
      <c r="AO20" s="187">
        <v>0</v>
      </c>
      <c r="AP20" s="187">
        <v>0</v>
      </c>
      <c r="AQ20" s="187">
        <v>0</v>
      </c>
      <c r="AR20" s="187">
        <v>0</v>
      </c>
      <c r="AS20" s="187">
        <v>0</v>
      </c>
      <c r="AT20" s="187">
        <v>0</v>
      </c>
      <c r="AU20" s="187" t="s">
        <v>52</v>
      </c>
      <c r="AV20" s="187" t="s">
        <v>391</v>
      </c>
      <c r="AW20" s="187" t="s">
        <v>392</v>
      </c>
      <c r="AX20" s="187" t="s">
        <v>393</v>
      </c>
      <c r="AY20" s="187">
        <v>77077</v>
      </c>
      <c r="AZ20" s="188">
        <v>48200000000</v>
      </c>
      <c r="BA20" s="187" t="s">
        <v>394</v>
      </c>
      <c r="BB20" s="187" t="s">
        <v>395</v>
      </c>
      <c r="BC20" s="187">
        <v>161370</v>
      </c>
      <c r="BD20" s="187">
        <v>2990</v>
      </c>
      <c r="BE20" s="187" t="s">
        <v>396</v>
      </c>
      <c r="BF20" s="187" t="s">
        <v>396</v>
      </c>
      <c r="BG20" s="187" t="s">
        <v>396</v>
      </c>
    </row>
    <row r="21" spans="1:59">
      <c r="A21" s="187">
        <v>72231</v>
      </c>
      <c r="B21" s="187">
        <v>16495237</v>
      </c>
      <c r="C21" s="187">
        <v>2018</v>
      </c>
      <c r="D21" s="187" t="s">
        <v>380</v>
      </c>
      <c r="E21" s="187">
        <v>14</v>
      </c>
      <c r="F21" s="187" t="s">
        <v>414</v>
      </c>
      <c r="G21" s="187" t="s">
        <v>382</v>
      </c>
      <c r="H21" s="187" t="s">
        <v>404</v>
      </c>
      <c r="I21" s="187" t="s">
        <v>422</v>
      </c>
      <c r="J21" s="187">
        <v>29.769929999999999</v>
      </c>
      <c r="K21" s="187">
        <v>-95.606300000000005</v>
      </c>
      <c r="L21" s="187" t="s">
        <v>385</v>
      </c>
      <c r="M21" s="187" t="s">
        <v>386</v>
      </c>
      <c r="N21" s="187" t="s">
        <v>425</v>
      </c>
      <c r="O21" s="187" t="s">
        <v>388</v>
      </c>
      <c r="P21" s="187" t="s">
        <v>389</v>
      </c>
      <c r="Q21" s="187" t="s">
        <v>105</v>
      </c>
      <c r="R21" s="187" t="s">
        <v>428</v>
      </c>
      <c r="S21" s="187">
        <v>0</v>
      </c>
      <c r="T21" s="187">
        <v>0</v>
      </c>
      <c r="U21" s="187">
        <v>0</v>
      </c>
      <c r="V21" s="187">
        <v>0</v>
      </c>
      <c r="W21" s="187">
        <v>0</v>
      </c>
      <c r="X21" s="187">
        <v>3</v>
      </c>
      <c r="Y21" s="187">
        <v>0</v>
      </c>
      <c r="Z21" s="187">
        <v>0</v>
      </c>
      <c r="AA21" s="187">
        <v>0</v>
      </c>
      <c r="AB21" s="187">
        <v>0</v>
      </c>
      <c r="AC21" s="187">
        <v>0</v>
      </c>
      <c r="AD21" s="187">
        <v>3</v>
      </c>
      <c r="AE21" s="187">
        <v>0</v>
      </c>
      <c r="AF21" s="187">
        <v>0</v>
      </c>
      <c r="AG21" s="187">
        <v>0</v>
      </c>
      <c r="AH21" s="187">
        <v>0</v>
      </c>
      <c r="AI21" s="187">
        <v>0</v>
      </c>
      <c r="AJ21" s="187">
        <v>0</v>
      </c>
      <c r="AK21" s="187">
        <v>0</v>
      </c>
      <c r="AL21" s="187">
        <v>0</v>
      </c>
      <c r="AM21" s="187">
        <v>0</v>
      </c>
      <c r="AN21" s="187">
        <v>0</v>
      </c>
      <c r="AO21" s="187">
        <v>0</v>
      </c>
      <c r="AP21" s="187">
        <v>0</v>
      </c>
      <c r="AQ21" s="187">
        <v>0</v>
      </c>
      <c r="AR21" s="187">
        <v>0</v>
      </c>
      <c r="AS21" s="187">
        <v>0</v>
      </c>
      <c r="AT21" s="187">
        <v>0</v>
      </c>
      <c r="AU21" s="187" t="s">
        <v>52</v>
      </c>
      <c r="AV21" s="187" t="s">
        <v>391</v>
      </c>
      <c r="AW21" s="187" t="s">
        <v>392</v>
      </c>
      <c r="AX21" s="187" t="s">
        <v>393</v>
      </c>
      <c r="AY21" s="187">
        <v>77079</v>
      </c>
      <c r="AZ21" s="188">
        <v>48200000000</v>
      </c>
      <c r="BA21" s="187" t="s">
        <v>394</v>
      </c>
      <c r="BB21" s="187" t="s">
        <v>395</v>
      </c>
      <c r="BC21" s="187">
        <v>162030</v>
      </c>
      <c r="BD21" s="187">
        <v>2990</v>
      </c>
      <c r="BE21" s="187" t="s">
        <v>396</v>
      </c>
      <c r="BF21" s="187" t="s">
        <v>396</v>
      </c>
      <c r="BG21" s="187" t="s">
        <v>396</v>
      </c>
    </row>
    <row r="22" spans="1:59">
      <c r="A22" s="187">
        <v>73266</v>
      </c>
      <c r="B22" s="187">
        <v>16499645</v>
      </c>
      <c r="C22" s="187">
        <v>2018</v>
      </c>
      <c r="D22" s="189">
        <v>43282</v>
      </c>
      <c r="E22" s="187">
        <v>13</v>
      </c>
      <c r="F22" s="187" t="s">
        <v>429</v>
      </c>
      <c r="G22" s="187" t="s">
        <v>430</v>
      </c>
      <c r="H22" s="187" t="s">
        <v>408</v>
      </c>
      <c r="I22" s="187" t="s">
        <v>384</v>
      </c>
      <c r="J22" s="187">
        <v>29.770099999999999</v>
      </c>
      <c r="K22" s="187">
        <v>-95.606300000000005</v>
      </c>
      <c r="L22" s="187" t="s">
        <v>385</v>
      </c>
      <c r="M22" s="187" t="s">
        <v>386</v>
      </c>
      <c r="N22" s="187" t="s">
        <v>416</v>
      </c>
      <c r="O22" s="187" t="s">
        <v>431</v>
      </c>
      <c r="P22" s="187" t="s">
        <v>389</v>
      </c>
      <c r="Q22" s="187" t="s">
        <v>102</v>
      </c>
      <c r="R22" s="187" t="s">
        <v>403</v>
      </c>
      <c r="S22" s="187">
        <v>0</v>
      </c>
      <c r="T22" s="187">
        <v>0</v>
      </c>
      <c r="U22" s="187">
        <v>0</v>
      </c>
      <c r="V22" s="187">
        <v>0</v>
      </c>
      <c r="W22" s="187">
        <v>0</v>
      </c>
      <c r="X22" s="187">
        <v>1</v>
      </c>
      <c r="Y22" s="187">
        <v>0</v>
      </c>
      <c r="Z22" s="187">
        <v>0</v>
      </c>
      <c r="AA22" s="187">
        <v>0</v>
      </c>
      <c r="AB22" s="187">
        <v>0</v>
      </c>
      <c r="AC22" s="187">
        <v>0</v>
      </c>
      <c r="AD22" s="187">
        <v>1</v>
      </c>
      <c r="AE22" s="187">
        <v>0</v>
      </c>
      <c r="AF22" s="187">
        <v>0</v>
      </c>
      <c r="AG22" s="187">
        <v>0</v>
      </c>
      <c r="AH22" s="187">
        <v>0</v>
      </c>
      <c r="AI22" s="187">
        <v>0</v>
      </c>
      <c r="AJ22" s="187">
        <v>0</v>
      </c>
      <c r="AK22" s="187">
        <v>0</v>
      </c>
      <c r="AL22" s="187">
        <v>0</v>
      </c>
      <c r="AM22" s="187">
        <v>0</v>
      </c>
      <c r="AN22" s="187">
        <v>0</v>
      </c>
      <c r="AO22" s="187">
        <v>0</v>
      </c>
      <c r="AP22" s="187">
        <v>0</v>
      </c>
      <c r="AQ22" s="187">
        <v>0</v>
      </c>
      <c r="AR22" s="187">
        <v>0</v>
      </c>
      <c r="AS22" s="187">
        <v>0</v>
      </c>
      <c r="AT22" s="187">
        <v>0</v>
      </c>
      <c r="AU22" s="187" t="s">
        <v>52</v>
      </c>
      <c r="AV22" s="187" t="s">
        <v>391</v>
      </c>
      <c r="AW22" s="187" t="s">
        <v>392</v>
      </c>
      <c r="AX22" s="187" t="s">
        <v>393</v>
      </c>
      <c r="AY22" s="187">
        <v>77079</v>
      </c>
      <c r="AZ22" s="188">
        <v>48200000000</v>
      </c>
      <c r="BA22" s="187" t="s">
        <v>394</v>
      </c>
      <c r="BB22" s="187" t="s">
        <v>395</v>
      </c>
      <c r="BC22" s="187">
        <v>162030</v>
      </c>
      <c r="BD22" s="187">
        <v>2990</v>
      </c>
      <c r="BE22" s="187" t="s">
        <v>396</v>
      </c>
      <c r="BF22" s="187" t="s">
        <v>396</v>
      </c>
      <c r="BG22" s="187" t="s">
        <v>396</v>
      </c>
    </row>
    <row r="23" spans="1:59">
      <c r="A23" s="187">
        <v>75221</v>
      </c>
      <c r="B23" s="187">
        <v>16507461</v>
      </c>
      <c r="C23" s="187">
        <v>2018</v>
      </c>
      <c r="D23" s="187" t="s">
        <v>380</v>
      </c>
      <c r="E23" s="187">
        <v>17</v>
      </c>
      <c r="F23" s="187" t="s">
        <v>421</v>
      </c>
      <c r="G23" s="187" t="s">
        <v>382</v>
      </c>
      <c r="H23" s="187" t="s">
        <v>404</v>
      </c>
      <c r="I23" s="187" t="s">
        <v>415</v>
      </c>
      <c r="J23" s="187">
        <v>29.766089999999998</v>
      </c>
      <c r="K23" s="187">
        <v>-95.606300000000005</v>
      </c>
      <c r="L23" s="187" t="s">
        <v>385</v>
      </c>
      <c r="M23" s="187" t="s">
        <v>386</v>
      </c>
      <c r="N23" s="187" t="s">
        <v>425</v>
      </c>
      <c r="O23" s="187" t="s">
        <v>388</v>
      </c>
      <c r="P23" s="187" t="s">
        <v>389</v>
      </c>
      <c r="Q23" s="187" t="s">
        <v>102</v>
      </c>
      <c r="R23" s="187" t="s">
        <v>403</v>
      </c>
      <c r="S23" s="187">
        <v>0</v>
      </c>
      <c r="T23" s="187">
        <v>0</v>
      </c>
      <c r="U23" s="187">
        <v>0</v>
      </c>
      <c r="V23" s="187">
        <v>0</v>
      </c>
      <c r="W23" s="187">
        <v>0</v>
      </c>
      <c r="X23" s="187">
        <v>1</v>
      </c>
      <c r="Y23" s="187">
        <v>1</v>
      </c>
      <c r="Z23" s="187">
        <v>0</v>
      </c>
      <c r="AA23" s="187">
        <v>0</v>
      </c>
      <c r="AB23" s="187">
        <v>0</v>
      </c>
      <c r="AC23" s="187">
        <v>0</v>
      </c>
      <c r="AD23" s="187">
        <v>1</v>
      </c>
      <c r="AE23" s="187">
        <v>0</v>
      </c>
      <c r="AF23" s="187">
        <v>1</v>
      </c>
      <c r="AG23" s="187">
        <v>0</v>
      </c>
      <c r="AH23" s="187">
        <v>0</v>
      </c>
      <c r="AI23" s="187">
        <v>0</v>
      </c>
      <c r="AJ23" s="187">
        <v>0</v>
      </c>
      <c r="AK23" s="187">
        <v>0</v>
      </c>
      <c r="AL23" s="187">
        <v>0</v>
      </c>
      <c r="AM23" s="187">
        <v>0</v>
      </c>
      <c r="AN23" s="187">
        <v>0</v>
      </c>
      <c r="AO23" s="187">
        <v>0</v>
      </c>
      <c r="AP23" s="187">
        <v>0</v>
      </c>
      <c r="AQ23" s="187">
        <v>0</v>
      </c>
      <c r="AR23" s="187">
        <v>0</v>
      </c>
      <c r="AS23" s="187">
        <v>0</v>
      </c>
      <c r="AT23" s="187">
        <v>0</v>
      </c>
      <c r="AU23" s="187" t="s">
        <v>52</v>
      </c>
      <c r="AV23" s="187" t="s">
        <v>391</v>
      </c>
      <c r="AW23" s="187" t="s">
        <v>392</v>
      </c>
      <c r="AX23" s="187" t="s">
        <v>393</v>
      </c>
      <c r="AY23" s="187">
        <v>77079</v>
      </c>
      <c r="AZ23" s="188">
        <v>48200000000</v>
      </c>
      <c r="BA23" s="187" t="s">
        <v>394</v>
      </c>
      <c r="BB23" s="187" t="s">
        <v>395</v>
      </c>
      <c r="BC23" s="187">
        <v>161810</v>
      </c>
      <c r="BD23" s="187">
        <v>2990</v>
      </c>
      <c r="BE23" s="187" t="s">
        <v>396</v>
      </c>
      <c r="BF23" s="187" t="s">
        <v>396</v>
      </c>
      <c r="BG23" s="187" t="s">
        <v>396</v>
      </c>
    </row>
    <row r="24" spans="1:59">
      <c r="A24" s="187">
        <v>76002</v>
      </c>
      <c r="B24" s="187">
        <v>16511106</v>
      </c>
      <c r="C24" s="187">
        <v>2018</v>
      </c>
      <c r="D24" s="189">
        <v>43290</v>
      </c>
      <c r="E24" s="187">
        <v>6</v>
      </c>
      <c r="F24" s="187" t="s">
        <v>411</v>
      </c>
      <c r="G24" s="187" t="s">
        <v>382</v>
      </c>
      <c r="H24" s="187" t="s">
        <v>383</v>
      </c>
      <c r="I24" s="187" t="s">
        <v>415</v>
      </c>
      <c r="J24" s="187">
        <v>29.754110000000001</v>
      </c>
      <c r="K24" s="187">
        <v>-95.606200000000001</v>
      </c>
      <c r="L24" s="187" t="s">
        <v>405</v>
      </c>
      <c r="M24" s="187" t="s">
        <v>386</v>
      </c>
      <c r="N24" s="187" t="s">
        <v>425</v>
      </c>
      <c r="O24" s="187" t="s">
        <v>388</v>
      </c>
      <c r="P24" s="187" t="s">
        <v>342</v>
      </c>
      <c r="Q24" s="187" t="s">
        <v>102</v>
      </c>
      <c r="R24" s="187" t="s">
        <v>403</v>
      </c>
      <c r="S24" s="187">
        <v>0</v>
      </c>
      <c r="T24" s="187">
        <v>0</v>
      </c>
      <c r="U24" s="187">
        <v>0</v>
      </c>
      <c r="V24" s="187">
        <v>1</v>
      </c>
      <c r="W24" s="187">
        <v>1</v>
      </c>
      <c r="X24" s="187">
        <v>0</v>
      </c>
      <c r="Y24" s="187">
        <v>1</v>
      </c>
      <c r="Z24" s="187">
        <v>0</v>
      </c>
      <c r="AA24" s="187">
        <v>0</v>
      </c>
      <c r="AB24" s="187">
        <v>0</v>
      </c>
      <c r="AC24" s="187">
        <v>1</v>
      </c>
      <c r="AD24" s="187">
        <v>0</v>
      </c>
      <c r="AE24" s="187">
        <v>1</v>
      </c>
      <c r="AF24" s="187">
        <v>1</v>
      </c>
      <c r="AG24" s="187">
        <v>0</v>
      </c>
      <c r="AH24" s="187">
        <v>0</v>
      </c>
      <c r="AI24" s="187">
        <v>0</v>
      </c>
      <c r="AJ24" s="187">
        <v>0</v>
      </c>
      <c r="AK24" s="187">
        <v>0</v>
      </c>
      <c r="AL24" s="187">
        <v>0</v>
      </c>
      <c r="AM24" s="187">
        <v>0</v>
      </c>
      <c r="AN24" s="187">
        <v>0</v>
      </c>
      <c r="AO24" s="187">
        <v>0</v>
      </c>
      <c r="AP24" s="187">
        <v>0</v>
      </c>
      <c r="AQ24" s="187">
        <v>0</v>
      </c>
      <c r="AR24" s="187">
        <v>0</v>
      </c>
      <c r="AS24" s="187">
        <v>0</v>
      </c>
      <c r="AT24" s="187">
        <v>0</v>
      </c>
      <c r="AU24" s="187" t="s">
        <v>52</v>
      </c>
      <c r="AV24" s="187" t="s">
        <v>391</v>
      </c>
      <c r="AW24" s="187" t="s">
        <v>392</v>
      </c>
      <c r="AX24" s="187" t="s">
        <v>393</v>
      </c>
      <c r="AY24" s="187">
        <v>77077</v>
      </c>
      <c r="AZ24" s="188">
        <v>48200000000</v>
      </c>
      <c r="BA24" s="187" t="s">
        <v>394</v>
      </c>
      <c r="BB24" s="187" t="s">
        <v>395</v>
      </c>
      <c r="BC24" s="187">
        <v>161370</v>
      </c>
      <c r="BD24" s="187">
        <v>2990</v>
      </c>
      <c r="BE24" s="187" t="s">
        <v>396</v>
      </c>
      <c r="BF24" s="187" t="s">
        <v>396</v>
      </c>
      <c r="BG24" s="187" t="s">
        <v>396</v>
      </c>
    </row>
    <row r="25" spans="1:59">
      <c r="A25" s="187">
        <v>76774</v>
      </c>
      <c r="B25" s="187">
        <v>16514259</v>
      </c>
      <c r="C25" s="187">
        <v>2018</v>
      </c>
      <c r="D25" s="189">
        <v>43287</v>
      </c>
      <c r="E25" s="187">
        <v>18</v>
      </c>
      <c r="F25" s="187" t="s">
        <v>397</v>
      </c>
      <c r="G25" s="187" t="s">
        <v>382</v>
      </c>
      <c r="H25" s="187" t="s">
        <v>383</v>
      </c>
      <c r="I25" s="187" t="s">
        <v>398</v>
      </c>
      <c r="J25" s="187">
        <v>29.75807</v>
      </c>
      <c r="K25" s="187">
        <v>-95.606099999999998</v>
      </c>
      <c r="L25" s="187" t="s">
        <v>399</v>
      </c>
      <c r="M25" s="187" t="s">
        <v>386</v>
      </c>
      <c r="N25" s="187" t="s">
        <v>401</v>
      </c>
      <c r="O25" s="187" t="s">
        <v>388</v>
      </c>
      <c r="P25" s="187" t="s">
        <v>389</v>
      </c>
      <c r="Q25" s="187" t="s">
        <v>106</v>
      </c>
      <c r="R25" s="187" t="s">
        <v>403</v>
      </c>
      <c r="S25" s="187">
        <v>0</v>
      </c>
      <c r="T25" s="187">
        <v>0</v>
      </c>
      <c r="U25" s="187">
        <v>0</v>
      </c>
      <c r="V25" s="187">
        <v>0</v>
      </c>
      <c r="W25" s="187">
        <v>0</v>
      </c>
      <c r="X25" s="187">
        <v>1</v>
      </c>
      <c r="Y25" s="187">
        <v>1</v>
      </c>
      <c r="Z25" s="187">
        <v>0</v>
      </c>
      <c r="AA25" s="187">
        <v>0</v>
      </c>
      <c r="AB25" s="187">
        <v>0</v>
      </c>
      <c r="AC25" s="187">
        <v>0</v>
      </c>
      <c r="AD25" s="187">
        <v>1</v>
      </c>
      <c r="AE25" s="187">
        <v>0</v>
      </c>
      <c r="AF25" s="187">
        <v>1</v>
      </c>
      <c r="AG25" s="187">
        <v>0</v>
      </c>
      <c r="AH25" s="187">
        <v>0</v>
      </c>
      <c r="AI25" s="187">
        <v>0</v>
      </c>
      <c r="AJ25" s="187">
        <v>0</v>
      </c>
      <c r="AK25" s="187">
        <v>0</v>
      </c>
      <c r="AL25" s="187">
        <v>0</v>
      </c>
      <c r="AM25" s="187">
        <v>0</v>
      </c>
      <c r="AN25" s="187">
        <v>0</v>
      </c>
      <c r="AO25" s="187">
        <v>0</v>
      </c>
      <c r="AP25" s="187">
        <v>0</v>
      </c>
      <c r="AQ25" s="187">
        <v>0</v>
      </c>
      <c r="AR25" s="187">
        <v>0</v>
      </c>
      <c r="AS25" s="187">
        <v>0</v>
      </c>
      <c r="AT25" s="187">
        <v>0</v>
      </c>
      <c r="AU25" s="187" t="s">
        <v>52</v>
      </c>
      <c r="AV25" s="187" t="s">
        <v>391</v>
      </c>
      <c r="AW25" s="187" t="s">
        <v>392</v>
      </c>
      <c r="AX25" s="187" t="s">
        <v>393</v>
      </c>
      <c r="AY25" s="187">
        <v>77077</v>
      </c>
      <c r="AZ25" s="188">
        <v>48200000000</v>
      </c>
      <c r="BA25" s="187" t="s">
        <v>394</v>
      </c>
      <c r="BB25" s="187" t="s">
        <v>395</v>
      </c>
      <c r="BC25" s="187">
        <v>161590</v>
      </c>
      <c r="BD25" s="187">
        <v>2990</v>
      </c>
      <c r="BE25" s="187" t="s">
        <v>396</v>
      </c>
      <c r="BF25" s="187" t="s">
        <v>396</v>
      </c>
      <c r="BG25" s="187" t="s">
        <v>396</v>
      </c>
    </row>
    <row r="26" spans="1:59">
      <c r="A26" s="187">
        <v>77916</v>
      </c>
      <c r="B26" s="187">
        <v>16518815</v>
      </c>
      <c r="C26" s="187">
        <v>2018</v>
      </c>
      <c r="D26" s="187" t="s">
        <v>380</v>
      </c>
      <c r="E26" s="187">
        <v>14</v>
      </c>
      <c r="F26" s="187" t="s">
        <v>414</v>
      </c>
      <c r="G26" s="187" t="s">
        <v>382</v>
      </c>
      <c r="H26" s="187" t="s">
        <v>404</v>
      </c>
      <c r="I26" s="187" t="s">
        <v>384</v>
      </c>
      <c r="J26" s="187">
        <v>29.768249999999998</v>
      </c>
      <c r="K26" s="187">
        <v>-95.606300000000005</v>
      </c>
      <c r="L26" s="187" t="s">
        <v>385</v>
      </c>
      <c r="M26" s="187" t="s">
        <v>386</v>
      </c>
      <c r="N26" s="187" t="s">
        <v>406</v>
      </c>
      <c r="O26" s="187" t="s">
        <v>388</v>
      </c>
      <c r="P26" s="187" t="s">
        <v>342</v>
      </c>
      <c r="Q26" s="187" t="s">
        <v>103</v>
      </c>
      <c r="R26" s="187" t="s">
        <v>432</v>
      </c>
      <c r="S26" s="187">
        <v>0</v>
      </c>
      <c r="T26" s="187">
        <v>0</v>
      </c>
      <c r="U26" s="187">
        <v>0</v>
      </c>
      <c r="V26" s="187">
        <v>1</v>
      </c>
      <c r="W26" s="187">
        <v>1</v>
      </c>
      <c r="X26" s="187">
        <v>1</v>
      </c>
      <c r="Y26" s="187">
        <v>0</v>
      </c>
      <c r="Z26" s="187">
        <v>0</v>
      </c>
      <c r="AA26" s="187">
        <v>0</v>
      </c>
      <c r="AB26" s="187">
        <v>0</v>
      </c>
      <c r="AC26" s="187">
        <v>1</v>
      </c>
      <c r="AD26" s="187">
        <v>1</v>
      </c>
      <c r="AE26" s="187">
        <v>1</v>
      </c>
      <c r="AF26" s="187">
        <v>0</v>
      </c>
      <c r="AG26" s="187">
        <v>0</v>
      </c>
      <c r="AH26" s="187">
        <v>0</v>
      </c>
      <c r="AI26" s="187">
        <v>0</v>
      </c>
      <c r="AJ26" s="187">
        <v>0</v>
      </c>
      <c r="AK26" s="187">
        <v>0</v>
      </c>
      <c r="AL26" s="187">
        <v>0</v>
      </c>
      <c r="AM26" s="187">
        <v>0</v>
      </c>
      <c r="AN26" s="187">
        <v>0</v>
      </c>
      <c r="AO26" s="187">
        <v>0</v>
      </c>
      <c r="AP26" s="187">
        <v>0</v>
      </c>
      <c r="AQ26" s="187">
        <v>0</v>
      </c>
      <c r="AR26" s="187">
        <v>0</v>
      </c>
      <c r="AS26" s="187">
        <v>0</v>
      </c>
      <c r="AT26" s="187">
        <v>0</v>
      </c>
      <c r="AU26" s="187" t="s">
        <v>52</v>
      </c>
      <c r="AV26" s="187" t="s">
        <v>391</v>
      </c>
      <c r="AW26" s="187" t="s">
        <v>392</v>
      </c>
      <c r="AX26" s="187" t="s">
        <v>393</v>
      </c>
      <c r="AY26" s="187">
        <v>77079</v>
      </c>
      <c r="AZ26" s="188">
        <v>48200000000</v>
      </c>
      <c r="BA26" s="187" t="s">
        <v>394</v>
      </c>
      <c r="BB26" s="187" t="s">
        <v>395</v>
      </c>
      <c r="BC26" s="187">
        <v>161810</v>
      </c>
      <c r="BD26" s="187">
        <v>2990</v>
      </c>
      <c r="BE26" s="187" t="s">
        <v>396</v>
      </c>
      <c r="BF26" s="187" t="s">
        <v>396</v>
      </c>
      <c r="BG26" s="187" t="s">
        <v>396</v>
      </c>
    </row>
    <row r="27" spans="1:59">
      <c r="A27" s="187">
        <v>82327</v>
      </c>
      <c r="B27" s="187">
        <v>16537176</v>
      </c>
      <c r="C27" s="187">
        <v>2018</v>
      </c>
      <c r="D27" s="187" t="s">
        <v>380</v>
      </c>
      <c r="E27" s="187">
        <v>13</v>
      </c>
      <c r="F27" s="187" t="s">
        <v>414</v>
      </c>
      <c r="G27" s="187" t="s">
        <v>382</v>
      </c>
      <c r="H27" s="187" t="s">
        <v>383</v>
      </c>
      <c r="I27" s="187" t="s">
        <v>415</v>
      </c>
      <c r="J27" s="187">
        <v>29.753889999999998</v>
      </c>
      <c r="K27" s="187">
        <v>-95.606200000000001</v>
      </c>
      <c r="L27" s="187" t="s">
        <v>385</v>
      </c>
      <c r="M27" s="187" t="s">
        <v>386</v>
      </c>
      <c r="N27" s="187" t="s">
        <v>401</v>
      </c>
      <c r="O27" s="187" t="s">
        <v>388</v>
      </c>
      <c r="P27" s="187" t="s">
        <v>389</v>
      </c>
      <c r="Q27" s="187" t="s">
        <v>106</v>
      </c>
      <c r="R27" s="187" t="s">
        <v>403</v>
      </c>
      <c r="S27" s="187">
        <v>0</v>
      </c>
      <c r="T27" s="187">
        <v>0</v>
      </c>
      <c r="U27" s="187">
        <v>0</v>
      </c>
      <c r="V27" s="187">
        <v>0</v>
      </c>
      <c r="W27" s="187">
        <v>0</v>
      </c>
      <c r="X27" s="187">
        <v>2</v>
      </c>
      <c r="Y27" s="187">
        <v>0</v>
      </c>
      <c r="Z27" s="187">
        <v>0</v>
      </c>
      <c r="AA27" s="187">
        <v>0</v>
      </c>
      <c r="AB27" s="187">
        <v>0</v>
      </c>
      <c r="AC27" s="187">
        <v>0</v>
      </c>
      <c r="AD27" s="187">
        <v>2</v>
      </c>
      <c r="AE27" s="187">
        <v>0</v>
      </c>
      <c r="AF27" s="187">
        <v>0</v>
      </c>
      <c r="AG27" s="187">
        <v>0</v>
      </c>
      <c r="AH27" s="187">
        <v>0</v>
      </c>
      <c r="AI27" s="187">
        <v>0</v>
      </c>
      <c r="AJ27" s="187">
        <v>0</v>
      </c>
      <c r="AK27" s="187">
        <v>0</v>
      </c>
      <c r="AL27" s="187">
        <v>0</v>
      </c>
      <c r="AM27" s="187">
        <v>0</v>
      </c>
      <c r="AN27" s="187">
        <v>0</v>
      </c>
      <c r="AO27" s="187">
        <v>0</v>
      </c>
      <c r="AP27" s="187">
        <v>0</v>
      </c>
      <c r="AQ27" s="187">
        <v>0</v>
      </c>
      <c r="AR27" s="187">
        <v>0</v>
      </c>
      <c r="AS27" s="187">
        <v>0</v>
      </c>
      <c r="AT27" s="187">
        <v>0</v>
      </c>
      <c r="AU27" s="187" t="s">
        <v>52</v>
      </c>
      <c r="AV27" s="187" t="s">
        <v>391</v>
      </c>
      <c r="AW27" s="187" t="s">
        <v>392</v>
      </c>
      <c r="AX27" s="187" t="s">
        <v>393</v>
      </c>
      <c r="AY27" s="187">
        <v>77077</v>
      </c>
      <c r="AZ27" s="188">
        <v>48200000000</v>
      </c>
      <c r="BA27" s="187" t="s">
        <v>394</v>
      </c>
      <c r="BB27" s="187" t="s">
        <v>395</v>
      </c>
      <c r="BC27" s="187">
        <v>161370</v>
      </c>
      <c r="BD27" s="187">
        <v>2990</v>
      </c>
      <c r="BE27" s="187" t="s">
        <v>396</v>
      </c>
      <c r="BF27" s="187" t="s">
        <v>396</v>
      </c>
      <c r="BG27" s="187" t="s">
        <v>396</v>
      </c>
    </row>
    <row r="28" spans="1:59">
      <c r="A28" s="187">
        <v>88628</v>
      </c>
      <c r="B28" s="187">
        <v>16564490</v>
      </c>
      <c r="C28" s="187">
        <v>2018</v>
      </c>
      <c r="D28" s="187" t="s">
        <v>380</v>
      </c>
      <c r="E28" s="187">
        <v>23</v>
      </c>
      <c r="F28" s="187" t="s">
        <v>397</v>
      </c>
      <c r="G28" s="187" t="s">
        <v>382</v>
      </c>
      <c r="H28" s="187" t="s">
        <v>419</v>
      </c>
      <c r="I28" s="187" t="s">
        <v>415</v>
      </c>
      <c r="J28" s="187">
        <v>29.753969999999999</v>
      </c>
      <c r="K28" s="187">
        <v>-95.606200000000001</v>
      </c>
      <c r="L28" s="187" t="s">
        <v>385</v>
      </c>
      <c r="M28" s="187" t="s">
        <v>400</v>
      </c>
      <c r="N28" s="187" t="s">
        <v>387</v>
      </c>
      <c r="O28" s="187" t="s">
        <v>388</v>
      </c>
      <c r="P28" s="187" t="s">
        <v>389</v>
      </c>
      <c r="Q28" s="187" t="s">
        <v>103</v>
      </c>
      <c r="R28" s="187" t="s">
        <v>423</v>
      </c>
      <c r="S28" s="187">
        <v>0</v>
      </c>
      <c r="T28" s="187">
        <v>0</v>
      </c>
      <c r="U28" s="187">
        <v>0</v>
      </c>
      <c r="V28" s="187">
        <v>0</v>
      </c>
      <c r="W28" s="187">
        <v>0</v>
      </c>
      <c r="X28" s="187">
        <v>3</v>
      </c>
      <c r="Y28" s="187">
        <v>0</v>
      </c>
      <c r="Z28" s="187">
        <v>0</v>
      </c>
      <c r="AA28" s="187">
        <v>0</v>
      </c>
      <c r="AB28" s="187">
        <v>0</v>
      </c>
      <c r="AC28" s="187">
        <v>0</v>
      </c>
      <c r="AD28" s="187">
        <v>3</v>
      </c>
      <c r="AE28" s="187">
        <v>0</v>
      </c>
      <c r="AF28" s="187">
        <v>0</v>
      </c>
      <c r="AG28" s="187">
        <v>0</v>
      </c>
      <c r="AH28" s="187">
        <v>0</v>
      </c>
      <c r="AI28" s="187">
        <v>0</v>
      </c>
      <c r="AJ28" s="187">
        <v>0</v>
      </c>
      <c r="AK28" s="187">
        <v>0</v>
      </c>
      <c r="AL28" s="187">
        <v>0</v>
      </c>
      <c r="AM28" s="187">
        <v>0</v>
      </c>
      <c r="AN28" s="187">
        <v>0</v>
      </c>
      <c r="AO28" s="187">
        <v>0</v>
      </c>
      <c r="AP28" s="187">
        <v>0</v>
      </c>
      <c r="AQ28" s="187">
        <v>0</v>
      </c>
      <c r="AR28" s="187">
        <v>0</v>
      </c>
      <c r="AS28" s="187">
        <v>0</v>
      </c>
      <c r="AT28" s="187">
        <v>0</v>
      </c>
      <c r="AU28" s="187" t="s">
        <v>52</v>
      </c>
      <c r="AV28" s="187" t="s">
        <v>391</v>
      </c>
      <c r="AW28" s="187" t="s">
        <v>392</v>
      </c>
      <c r="AX28" s="187" t="s">
        <v>393</v>
      </c>
      <c r="AY28" s="187">
        <v>77077</v>
      </c>
      <c r="AZ28" s="188">
        <v>48200000000</v>
      </c>
      <c r="BA28" s="187" t="s">
        <v>394</v>
      </c>
      <c r="BB28" s="187" t="s">
        <v>395</v>
      </c>
      <c r="BC28" s="187">
        <v>161370</v>
      </c>
      <c r="BD28" s="187">
        <v>2990</v>
      </c>
      <c r="BE28" s="187" t="s">
        <v>396</v>
      </c>
      <c r="BF28" s="187" t="s">
        <v>396</v>
      </c>
      <c r="BG28" s="187" t="s">
        <v>396</v>
      </c>
    </row>
    <row r="29" spans="1:59">
      <c r="A29" s="187">
        <v>93316</v>
      </c>
      <c r="B29" s="187">
        <v>16581463</v>
      </c>
      <c r="C29" s="187">
        <v>2018</v>
      </c>
      <c r="D29" s="187" t="s">
        <v>380</v>
      </c>
      <c r="E29" s="187">
        <v>21</v>
      </c>
      <c r="F29" s="187" t="s">
        <v>421</v>
      </c>
      <c r="G29" s="187" t="s">
        <v>382</v>
      </c>
      <c r="H29" s="187" t="s">
        <v>383</v>
      </c>
      <c r="I29" s="187" t="s">
        <v>415</v>
      </c>
      <c r="J29" s="187">
        <v>29.754110000000001</v>
      </c>
      <c r="K29" s="187">
        <v>-95.606200000000001</v>
      </c>
      <c r="L29" s="187" t="s">
        <v>385</v>
      </c>
      <c r="M29" s="187" t="s">
        <v>400</v>
      </c>
      <c r="N29" s="187" t="s">
        <v>425</v>
      </c>
      <c r="O29" s="187" t="s">
        <v>388</v>
      </c>
      <c r="P29" s="187" t="s">
        <v>389</v>
      </c>
      <c r="Q29" s="187" t="s">
        <v>102</v>
      </c>
      <c r="R29" s="187" t="s">
        <v>433</v>
      </c>
      <c r="S29" s="187">
        <v>0</v>
      </c>
      <c r="T29" s="187">
        <v>0</v>
      </c>
      <c r="U29" s="187">
        <v>0</v>
      </c>
      <c r="V29" s="187">
        <v>0</v>
      </c>
      <c r="W29" s="187">
        <v>0</v>
      </c>
      <c r="X29" s="187">
        <v>4</v>
      </c>
      <c r="Y29" s="187">
        <v>0</v>
      </c>
      <c r="Z29" s="187">
        <v>0</v>
      </c>
      <c r="AA29" s="187">
        <v>0</v>
      </c>
      <c r="AB29" s="187">
        <v>0</v>
      </c>
      <c r="AC29" s="187">
        <v>0</v>
      </c>
      <c r="AD29" s="187">
        <v>4</v>
      </c>
      <c r="AE29" s="187">
        <v>0</v>
      </c>
      <c r="AF29" s="187">
        <v>0</v>
      </c>
      <c r="AG29" s="187">
        <v>0</v>
      </c>
      <c r="AH29" s="187">
        <v>0</v>
      </c>
      <c r="AI29" s="187">
        <v>0</v>
      </c>
      <c r="AJ29" s="187">
        <v>0</v>
      </c>
      <c r="AK29" s="187">
        <v>0</v>
      </c>
      <c r="AL29" s="187">
        <v>0</v>
      </c>
      <c r="AM29" s="187">
        <v>0</v>
      </c>
      <c r="AN29" s="187">
        <v>0</v>
      </c>
      <c r="AO29" s="187">
        <v>0</v>
      </c>
      <c r="AP29" s="187">
        <v>0</v>
      </c>
      <c r="AQ29" s="187">
        <v>0</v>
      </c>
      <c r="AR29" s="187">
        <v>0</v>
      </c>
      <c r="AS29" s="187">
        <v>0</v>
      </c>
      <c r="AT29" s="187">
        <v>0</v>
      </c>
      <c r="AU29" s="187" t="s">
        <v>52</v>
      </c>
      <c r="AV29" s="187" t="s">
        <v>391</v>
      </c>
      <c r="AW29" s="187" t="s">
        <v>392</v>
      </c>
      <c r="AX29" s="187" t="s">
        <v>393</v>
      </c>
      <c r="AY29" s="187">
        <v>77077</v>
      </c>
      <c r="AZ29" s="188">
        <v>48200000000</v>
      </c>
      <c r="BA29" s="187" t="s">
        <v>394</v>
      </c>
      <c r="BB29" s="187" t="s">
        <v>395</v>
      </c>
      <c r="BC29" s="187">
        <v>161370</v>
      </c>
      <c r="BD29" s="187">
        <v>2990</v>
      </c>
      <c r="BE29" s="187" t="s">
        <v>396</v>
      </c>
      <c r="BF29" s="187" t="s">
        <v>396</v>
      </c>
      <c r="BG29" s="187" t="s">
        <v>396</v>
      </c>
    </row>
    <row r="30" spans="1:59">
      <c r="A30" s="187">
        <v>103219</v>
      </c>
      <c r="B30" s="187">
        <v>16634146</v>
      </c>
      <c r="C30" s="187">
        <v>2018</v>
      </c>
      <c r="D30" s="187" t="s">
        <v>380</v>
      </c>
      <c r="E30" s="187">
        <v>13</v>
      </c>
      <c r="F30" s="187" t="s">
        <v>411</v>
      </c>
      <c r="G30" s="187" t="s">
        <v>382</v>
      </c>
      <c r="H30" s="187" t="s">
        <v>419</v>
      </c>
      <c r="I30" s="187" t="s">
        <v>409</v>
      </c>
      <c r="J30" s="187">
        <v>29.753979999999999</v>
      </c>
      <c r="K30" s="187">
        <v>-95.605999999999995</v>
      </c>
      <c r="L30" s="187" t="s">
        <v>385</v>
      </c>
      <c r="M30" s="187" t="s">
        <v>386</v>
      </c>
      <c r="N30" s="187" t="s">
        <v>412</v>
      </c>
      <c r="O30" s="187" t="s">
        <v>388</v>
      </c>
      <c r="P30" s="187" t="s">
        <v>389</v>
      </c>
      <c r="Q30" s="187" t="s">
        <v>105</v>
      </c>
      <c r="R30" s="187" t="s">
        <v>428</v>
      </c>
      <c r="S30" s="187">
        <v>0</v>
      </c>
      <c r="T30" s="187">
        <v>0</v>
      </c>
      <c r="U30" s="187">
        <v>0</v>
      </c>
      <c r="V30" s="187">
        <v>0</v>
      </c>
      <c r="W30" s="187">
        <v>0</v>
      </c>
      <c r="X30" s="187">
        <v>2</v>
      </c>
      <c r="Y30" s="187">
        <v>0</v>
      </c>
      <c r="Z30" s="187">
        <v>0</v>
      </c>
      <c r="AA30" s="187">
        <v>0</v>
      </c>
      <c r="AB30" s="187">
        <v>0</v>
      </c>
      <c r="AC30" s="187">
        <v>0</v>
      </c>
      <c r="AD30" s="187">
        <v>2</v>
      </c>
      <c r="AE30" s="187">
        <v>0</v>
      </c>
      <c r="AF30" s="187">
        <v>0</v>
      </c>
      <c r="AG30" s="187">
        <v>0</v>
      </c>
      <c r="AH30" s="187">
        <v>0</v>
      </c>
      <c r="AI30" s="187">
        <v>0</v>
      </c>
      <c r="AJ30" s="187">
        <v>0</v>
      </c>
      <c r="AK30" s="187">
        <v>0</v>
      </c>
      <c r="AL30" s="187">
        <v>0</v>
      </c>
      <c r="AM30" s="187">
        <v>0</v>
      </c>
      <c r="AN30" s="187">
        <v>0</v>
      </c>
      <c r="AO30" s="187">
        <v>0</v>
      </c>
      <c r="AP30" s="187">
        <v>0</v>
      </c>
      <c r="AQ30" s="187">
        <v>0</v>
      </c>
      <c r="AR30" s="187">
        <v>0</v>
      </c>
      <c r="AS30" s="187">
        <v>0</v>
      </c>
      <c r="AT30" s="187">
        <v>0</v>
      </c>
      <c r="AU30" s="187" t="s">
        <v>52</v>
      </c>
      <c r="AV30" s="187" t="s">
        <v>391</v>
      </c>
      <c r="AW30" s="187" t="s">
        <v>392</v>
      </c>
      <c r="AX30" s="187" t="s">
        <v>393</v>
      </c>
      <c r="AY30" s="187">
        <v>77077</v>
      </c>
      <c r="AZ30" s="188">
        <v>48200000000</v>
      </c>
      <c r="BA30" s="187" t="s">
        <v>394</v>
      </c>
      <c r="BB30" s="187" t="s">
        <v>395</v>
      </c>
      <c r="BC30" s="187">
        <v>161370</v>
      </c>
      <c r="BD30" s="187">
        <v>2990</v>
      </c>
      <c r="BE30" s="187" t="s">
        <v>396</v>
      </c>
      <c r="BF30" s="187" t="s">
        <v>396</v>
      </c>
      <c r="BG30" s="187" t="s">
        <v>396</v>
      </c>
    </row>
    <row r="31" spans="1:59">
      <c r="A31" s="187">
        <v>105563</v>
      </c>
      <c r="B31" s="187">
        <v>16644975</v>
      </c>
      <c r="C31" s="187">
        <v>2018</v>
      </c>
      <c r="D31" s="187" t="s">
        <v>380</v>
      </c>
      <c r="E31" s="187">
        <v>13</v>
      </c>
      <c r="F31" s="187" t="s">
        <v>397</v>
      </c>
      <c r="G31" s="187" t="s">
        <v>382</v>
      </c>
      <c r="H31" s="187" t="s">
        <v>404</v>
      </c>
      <c r="I31" s="187" t="s">
        <v>409</v>
      </c>
      <c r="J31" s="187">
        <v>29.768689999999999</v>
      </c>
      <c r="K31" s="187">
        <v>-95.606300000000005</v>
      </c>
      <c r="L31" s="187" t="s">
        <v>385</v>
      </c>
      <c r="M31" s="187" t="s">
        <v>386</v>
      </c>
      <c r="N31" s="187" t="s">
        <v>425</v>
      </c>
      <c r="O31" s="187" t="s">
        <v>388</v>
      </c>
      <c r="P31" s="187" t="s">
        <v>342</v>
      </c>
      <c r="Q31" s="187" t="s">
        <v>102</v>
      </c>
      <c r="R31" s="187" t="s">
        <v>433</v>
      </c>
      <c r="S31" s="187">
        <v>0</v>
      </c>
      <c r="T31" s="187">
        <v>0</v>
      </c>
      <c r="U31" s="187">
        <v>0</v>
      </c>
      <c r="V31" s="187">
        <v>1</v>
      </c>
      <c r="W31" s="187">
        <v>1</v>
      </c>
      <c r="X31" s="187">
        <v>1</v>
      </c>
      <c r="Y31" s="187">
        <v>0</v>
      </c>
      <c r="Z31" s="187">
        <v>0</v>
      </c>
      <c r="AA31" s="187">
        <v>0</v>
      </c>
      <c r="AB31" s="187">
        <v>0</v>
      </c>
      <c r="AC31" s="187">
        <v>1</v>
      </c>
      <c r="AD31" s="187">
        <v>1</v>
      </c>
      <c r="AE31" s="187">
        <v>1</v>
      </c>
      <c r="AF31" s="187">
        <v>0</v>
      </c>
      <c r="AG31" s="187">
        <v>0</v>
      </c>
      <c r="AH31" s="187">
        <v>0</v>
      </c>
      <c r="AI31" s="187">
        <v>0</v>
      </c>
      <c r="AJ31" s="187">
        <v>0</v>
      </c>
      <c r="AK31" s="187">
        <v>0</v>
      </c>
      <c r="AL31" s="187">
        <v>0</v>
      </c>
      <c r="AM31" s="187">
        <v>0</v>
      </c>
      <c r="AN31" s="187">
        <v>0</v>
      </c>
      <c r="AO31" s="187">
        <v>0</v>
      </c>
      <c r="AP31" s="187">
        <v>0</v>
      </c>
      <c r="AQ31" s="187">
        <v>0</v>
      </c>
      <c r="AR31" s="187">
        <v>0</v>
      </c>
      <c r="AS31" s="187">
        <v>0</v>
      </c>
      <c r="AT31" s="187">
        <v>0</v>
      </c>
      <c r="AU31" s="187" t="s">
        <v>52</v>
      </c>
      <c r="AV31" s="187" t="s">
        <v>391</v>
      </c>
      <c r="AW31" s="187" t="s">
        <v>392</v>
      </c>
      <c r="AX31" s="187" t="s">
        <v>393</v>
      </c>
      <c r="AY31" s="187">
        <v>77079</v>
      </c>
      <c r="AZ31" s="188">
        <v>48200000000</v>
      </c>
      <c r="BA31" s="187" t="s">
        <v>394</v>
      </c>
      <c r="BB31" s="187" t="s">
        <v>395</v>
      </c>
      <c r="BC31" s="187">
        <v>161810</v>
      </c>
      <c r="BD31" s="187">
        <v>2990</v>
      </c>
      <c r="BE31" s="187" t="s">
        <v>396</v>
      </c>
      <c r="BF31" s="187" t="s">
        <v>396</v>
      </c>
      <c r="BG31" s="187" t="s">
        <v>396</v>
      </c>
    </row>
    <row r="32" spans="1:59">
      <c r="A32" s="187">
        <v>111092</v>
      </c>
      <c r="B32" s="187">
        <v>16670915</v>
      </c>
      <c r="C32" s="187">
        <v>2018</v>
      </c>
      <c r="D32" s="187" t="s">
        <v>380</v>
      </c>
      <c r="E32" s="187">
        <v>15</v>
      </c>
      <c r="F32" s="187" t="s">
        <v>426</v>
      </c>
      <c r="G32" s="187" t="s">
        <v>382</v>
      </c>
      <c r="H32" s="187" t="s">
        <v>404</v>
      </c>
      <c r="I32" s="187" t="s">
        <v>422</v>
      </c>
      <c r="J32" s="187">
        <v>29.770060000000001</v>
      </c>
      <c r="K32" s="187">
        <v>-95.606300000000005</v>
      </c>
      <c r="L32" s="187" t="s">
        <v>385</v>
      </c>
      <c r="M32" s="187" t="s">
        <v>386</v>
      </c>
      <c r="N32" s="187" t="s">
        <v>406</v>
      </c>
      <c r="O32" s="187" t="s">
        <v>388</v>
      </c>
      <c r="P32" s="187" t="s">
        <v>342</v>
      </c>
      <c r="Q32" s="187" t="s">
        <v>103</v>
      </c>
      <c r="R32" s="187" t="s">
        <v>407</v>
      </c>
      <c r="S32" s="187">
        <v>0</v>
      </c>
      <c r="T32" s="187">
        <v>0</v>
      </c>
      <c r="U32" s="187">
        <v>0</v>
      </c>
      <c r="V32" s="187">
        <v>1</v>
      </c>
      <c r="W32" s="187">
        <v>1</v>
      </c>
      <c r="X32" s="187">
        <v>1</v>
      </c>
      <c r="Y32" s="187">
        <v>0</v>
      </c>
      <c r="Z32" s="187">
        <v>0</v>
      </c>
      <c r="AA32" s="187">
        <v>0</v>
      </c>
      <c r="AB32" s="187">
        <v>0</v>
      </c>
      <c r="AC32" s="187">
        <v>1</v>
      </c>
      <c r="AD32" s="187">
        <v>1</v>
      </c>
      <c r="AE32" s="187">
        <v>1</v>
      </c>
      <c r="AF32" s="187">
        <v>0</v>
      </c>
      <c r="AG32" s="187">
        <v>0</v>
      </c>
      <c r="AH32" s="187">
        <v>0</v>
      </c>
      <c r="AI32" s="187">
        <v>0</v>
      </c>
      <c r="AJ32" s="187">
        <v>0</v>
      </c>
      <c r="AK32" s="187">
        <v>0</v>
      </c>
      <c r="AL32" s="187">
        <v>0</v>
      </c>
      <c r="AM32" s="187">
        <v>0</v>
      </c>
      <c r="AN32" s="187">
        <v>0</v>
      </c>
      <c r="AO32" s="187">
        <v>0</v>
      </c>
      <c r="AP32" s="187">
        <v>0</v>
      </c>
      <c r="AQ32" s="187">
        <v>0</v>
      </c>
      <c r="AR32" s="187">
        <v>0</v>
      </c>
      <c r="AS32" s="187">
        <v>0</v>
      </c>
      <c r="AT32" s="187">
        <v>0</v>
      </c>
      <c r="AU32" s="187" t="s">
        <v>52</v>
      </c>
      <c r="AV32" s="187" t="s">
        <v>391</v>
      </c>
      <c r="AW32" s="187" t="s">
        <v>392</v>
      </c>
      <c r="AX32" s="187" t="s">
        <v>393</v>
      </c>
      <c r="AY32" s="187">
        <v>77079</v>
      </c>
      <c r="AZ32" s="188">
        <v>48200000000</v>
      </c>
      <c r="BA32" s="187" t="s">
        <v>394</v>
      </c>
      <c r="BB32" s="187" t="s">
        <v>395</v>
      </c>
      <c r="BC32" s="187">
        <v>162030</v>
      </c>
      <c r="BD32" s="187">
        <v>2990</v>
      </c>
      <c r="BE32" s="187" t="s">
        <v>396</v>
      </c>
      <c r="BF32" s="187" t="s">
        <v>396</v>
      </c>
      <c r="BG32" s="187" t="s">
        <v>396</v>
      </c>
    </row>
    <row r="33" spans="1:59">
      <c r="A33" s="187">
        <v>111935</v>
      </c>
      <c r="B33" s="187">
        <v>16675514</v>
      </c>
      <c r="C33" s="187">
        <v>2018</v>
      </c>
      <c r="D33" s="187" t="s">
        <v>380</v>
      </c>
      <c r="E33" s="187">
        <v>13</v>
      </c>
      <c r="F33" s="187" t="s">
        <v>397</v>
      </c>
      <c r="G33" s="187" t="s">
        <v>382</v>
      </c>
      <c r="H33" s="187" t="s">
        <v>383</v>
      </c>
      <c r="I33" s="187" t="s">
        <v>415</v>
      </c>
      <c r="J33" s="187">
        <v>29.758099999999999</v>
      </c>
      <c r="K33" s="187">
        <v>-95.606099999999998</v>
      </c>
      <c r="L33" s="187" t="s">
        <v>405</v>
      </c>
      <c r="M33" s="187" t="s">
        <v>386</v>
      </c>
      <c r="N33" s="187" t="s">
        <v>401</v>
      </c>
      <c r="O33" s="187" t="s">
        <v>388</v>
      </c>
      <c r="P33" s="187" t="s">
        <v>389</v>
      </c>
      <c r="Q33" s="187" t="s">
        <v>102</v>
      </c>
      <c r="R33" s="187" t="s">
        <v>434</v>
      </c>
      <c r="S33" s="187">
        <v>0</v>
      </c>
      <c r="T33" s="187">
        <v>0</v>
      </c>
      <c r="U33" s="187">
        <v>0</v>
      </c>
      <c r="V33" s="187">
        <v>0</v>
      </c>
      <c r="W33" s="187">
        <v>0</v>
      </c>
      <c r="X33" s="187">
        <v>1</v>
      </c>
      <c r="Y33" s="187">
        <v>1</v>
      </c>
      <c r="Z33" s="187">
        <v>0</v>
      </c>
      <c r="AA33" s="187">
        <v>0</v>
      </c>
      <c r="AB33" s="187">
        <v>0</v>
      </c>
      <c r="AC33" s="187">
        <v>0</v>
      </c>
      <c r="AD33" s="187">
        <v>1</v>
      </c>
      <c r="AE33" s="187">
        <v>0</v>
      </c>
      <c r="AF33" s="187">
        <v>1</v>
      </c>
      <c r="AG33" s="187">
        <v>0</v>
      </c>
      <c r="AH33" s="187">
        <v>0</v>
      </c>
      <c r="AI33" s="187">
        <v>0</v>
      </c>
      <c r="AJ33" s="187">
        <v>0</v>
      </c>
      <c r="AK33" s="187">
        <v>0</v>
      </c>
      <c r="AL33" s="187">
        <v>0</v>
      </c>
      <c r="AM33" s="187">
        <v>0</v>
      </c>
      <c r="AN33" s="187">
        <v>0</v>
      </c>
      <c r="AO33" s="187">
        <v>0</v>
      </c>
      <c r="AP33" s="187">
        <v>0</v>
      </c>
      <c r="AQ33" s="187">
        <v>0</v>
      </c>
      <c r="AR33" s="187">
        <v>0</v>
      </c>
      <c r="AS33" s="187">
        <v>0</v>
      </c>
      <c r="AT33" s="187">
        <v>0</v>
      </c>
      <c r="AU33" s="187" t="s">
        <v>52</v>
      </c>
      <c r="AV33" s="187" t="s">
        <v>391</v>
      </c>
      <c r="AW33" s="187" t="s">
        <v>392</v>
      </c>
      <c r="AX33" s="187" t="s">
        <v>393</v>
      </c>
      <c r="AY33" s="187">
        <v>77077</v>
      </c>
      <c r="AZ33" s="188">
        <v>48200000000</v>
      </c>
      <c r="BA33" s="187" t="s">
        <v>394</v>
      </c>
      <c r="BB33" s="187" t="s">
        <v>395</v>
      </c>
      <c r="BC33" s="187">
        <v>161590</v>
      </c>
      <c r="BD33" s="187">
        <v>2990</v>
      </c>
      <c r="BE33" s="187" t="s">
        <v>396</v>
      </c>
      <c r="BF33" s="187" t="s">
        <v>396</v>
      </c>
      <c r="BG33" s="187" t="s">
        <v>396</v>
      </c>
    </row>
    <row r="34" spans="1:59">
      <c r="A34" s="187">
        <v>113266</v>
      </c>
      <c r="B34" s="187">
        <v>16680593</v>
      </c>
      <c r="C34" s="187">
        <v>2018</v>
      </c>
      <c r="D34" s="187" t="s">
        <v>380</v>
      </c>
      <c r="E34" s="187">
        <v>12</v>
      </c>
      <c r="F34" s="187" t="s">
        <v>397</v>
      </c>
      <c r="G34" s="187" t="s">
        <v>382</v>
      </c>
      <c r="H34" s="187" t="s">
        <v>404</v>
      </c>
      <c r="I34" s="187" t="s">
        <v>384</v>
      </c>
      <c r="J34" s="187">
        <v>29.767430000000001</v>
      </c>
      <c r="K34" s="187">
        <v>-95.606300000000005</v>
      </c>
      <c r="L34" s="187" t="s">
        <v>385</v>
      </c>
      <c r="M34" s="187" t="s">
        <v>386</v>
      </c>
      <c r="N34" s="187" t="s">
        <v>406</v>
      </c>
      <c r="O34" s="187" t="s">
        <v>388</v>
      </c>
      <c r="P34" s="187" t="s">
        <v>342</v>
      </c>
      <c r="Q34" s="187" t="s">
        <v>103</v>
      </c>
      <c r="R34" s="187" t="s">
        <v>407</v>
      </c>
      <c r="S34" s="187">
        <v>0</v>
      </c>
      <c r="T34" s="187">
        <v>0</v>
      </c>
      <c r="U34" s="187">
        <v>0</v>
      </c>
      <c r="V34" s="187">
        <v>1</v>
      </c>
      <c r="W34" s="187">
        <v>1</v>
      </c>
      <c r="X34" s="187">
        <v>1</v>
      </c>
      <c r="Y34" s="187">
        <v>0</v>
      </c>
      <c r="Z34" s="187">
        <v>0</v>
      </c>
      <c r="AA34" s="187">
        <v>0</v>
      </c>
      <c r="AB34" s="187">
        <v>0</v>
      </c>
      <c r="AC34" s="187">
        <v>1</v>
      </c>
      <c r="AD34" s="187">
        <v>1</v>
      </c>
      <c r="AE34" s="187">
        <v>1</v>
      </c>
      <c r="AF34" s="187">
        <v>0</v>
      </c>
      <c r="AG34" s="187">
        <v>0</v>
      </c>
      <c r="AH34" s="187">
        <v>0</v>
      </c>
      <c r="AI34" s="187">
        <v>0</v>
      </c>
      <c r="AJ34" s="187">
        <v>0</v>
      </c>
      <c r="AK34" s="187">
        <v>0</v>
      </c>
      <c r="AL34" s="187">
        <v>0</v>
      </c>
      <c r="AM34" s="187">
        <v>0</v>
      </c>
      <c r="AN34" s="187">
        <v>0</v>
      </c>
      <c r="AO34" s="187">
        <v>0</v>
      </c>
      <c r="AP34" s="187">
        <v>0</v>
      </c>
      <c r="AQ34" s="187">
        <v>0</v>
      </c>
      <c r="AR34" s="187">
        <v>0</v>
      </c>
      <c r="AS34" s="187">
        <v>0</v>
      </c>
      <c r="AT34" s="187">
        <v>0</v>
      </c>
      <c r="AU34" s="187" t="s">
        <v>52</v>
      </c>
      <c r="AV34" s="187" t="s">
        <v>391</v>
      </c>
      <c r="AW34" s="187" t="s">
        <v>392</v>
      </c>
      <c r="AX34" s="187" t="s">
        <v>393</v>
      </c>
      <c r="AY34" s="187">
        <v>77079</v>
      </c>
      <c r="AZ34" s="188">
        <v>48200000000</v>
      </c>
      <c r="BA34" s="187" t="s">
        <v>394</v>
      </c>
      <c r="BB34" s="187" t="s">
        <v>395</v>
      </c>
      <c r="BC34" s="187">
        <v>161810</v>
      </c>
      <c r="BD34" s="187">
        <v>2990</v>
      </c>
      <c r="BE34" s="187" t="s">
        <v>396</v>
      </c>
      <c r="BF34" s="187" t="s">
        <v>396</v>
      </c>
      <c r="BG34" s="187" t="s">
        <v>396</v>
      </c>
    </row>
    <row r="35" spans="1:59">
      <c r="A35" s="187">
        <v>117305</v>
      </c>
      <c r="B35" s="187">
        <v>16696474</v>
      </c>
      <c r="C35" s="187">
        <v>2018</v>
      </c>
      <c r="D35" s="187" t="s">
        <v>380</v>
      </c>
      <c r="E35" s="187">
        <v>6</v>
      </c>
      <c r="F35" s="187" t="s">
        <v>426</v>
      </c>
      <c r="G35" s="187" t="s">
        <v>382</v>
      </c>
      <c r="H35" s="187" t="s">
        <v>404</v>
      </c>
      <c r="I35" s="187" t="s">
        <v>422</v>
      </c>
      <c r="J35" s="187">
        <v>29.76998</v>
      </c>
      <c r="K35" s="187">
        <v>-95.606300000000005</v>
      </c>
      <c r="L35" s="187" t="s">
        <v>405</v>
      </c>
      <c r="M35" s="187" t="s">
        <v>435</v>
      </c>
      <c r="N35" s="187" t="s">
        <v>401</v>
      </c>
      <c r="O35" s="187" t="s">
        <v>388</v>
      </c>
      <c r="P35" s="187" t="s">
        <v>389</v>
      </c>
      <c r="Q35" s="187" t="s">
        <v>106</v>
      </c>
      <c r="R35" s="187" t="s">
        <v>436</v>
      </c>
      <c r="S35" s="187">
        <v>0</v>
      </c>
      <c r="T35" s="187">
        <v>0</v>
      </c>
      <c r="U35" s="187">
        <v>0</v>
      </c>
      <c r="V35" s="187">
        <v>0</v>
      </c>
      <c r="W35" s="187">
        <v>0</v>
      </c>
      <c r="X35" s="187">
        <v>2</v>
      </c>
      <c r="Y35" s="187">
        <v>0</v>
      </c>
      <c r="Z35" s="187">
        <v>0</v>
      </c>
      <c r="AA35" s="187">
        <v>0</v>
      </c>
      <c r="AB35" s="187">
        <v>0</v>
      </c>
      <c r="AC35" s="187">
        <v>0</v>
      </c>
      <c r="AD35" s="187">
        <v>2</v>
      </c>
      <c r="AE35" s="187">
        <v>0</v>
      </c>
      <c r="AF35" s="187">
        <v>0</v>
      </c>
      <c r="AG35" s="187">
        <v>0</v>
      </c>
      <c r="AH35" s="187">
        <v>0</v>
      </c>
      <c r="AI35" s="187">
        <v>0</v>
      </c>
      <c r="AJ35" s="187">
        <v>0</v>
      </c>
      <c r="AK35" s="187">
        <v>0</v>
      </c>
      <c r="AL35" s="187">
        <v>0</v>
      </c>
      <c r="AM35" s="187">
        <v>0</v>
      </c>
      <c r="AN35" s="187">
        <v>0</v>
      </c>
      <c r="AO35" s="187">
        <v>0</v>
      </c>
      <c r="AP35" s="187">
        <v>0</v>
      </c>
      <c r="AQ35" s="187">
        <v>0</v>
      </c>
      <c r="AR35" s="187">
        <v>0</v>
      </c>
      <c r="AS35" s="187">
        <v>0</v>
      </c>
      <c r="AT35" s="187">
        <v>0</v>
      </c>
      <c r="AU35" s="187" t="s">
        <v>52</v>
      </c>
      <c r="AV35" s="187" t="s">
        <v>391</v>
      </c>
      <c r="AW35" s="187" t="s">
        <v>392</v>
      </c>
      <c r="AX35" s="187" t="s">
        <v>393</v>
      </c>
      <c r="AY35" s="187">
        <v>77079</v>
      </c>
      <c r="AZ35" s="188">
        <v>48200000000</v>
      </c>
      <c r="BA35" s="187" t="s">
        <v>394</v>
      </c>
      <c r="BB35" s="187" t="s">
        <v>395</v>
      </c>
      <c r="BC35" s="187">
        <v>162030</v>
      </c>
      <c r="BD35" s="187">
        <v>2990</v>
      </c>
      <c r="BE35" s="187" t="s">
        <v>396</v>
      </c>
      <c r="BF35" s="187" t="s">
        <v>396</v>
      </c>
      <c r="BG35" s="187" t="s">
        <v>396</v>
      </c>
    </row>
    <row r="36" spans="1:59">
      <c r="A36" s="187">
        <v>120638</v>
      </c>
      <c r="B36" s="187">
        <v>16712010</v>
      </c>
      <c r="C36" s="187">
        <v>2018</v>
      </c>
      <c r="D36" s="187" t="s">
        <v>380</v>
      </c>
      <c r="E36" s="187">
        <v>11</v>
      </c>
      <c r="F36" s="187" t="s">
        <v>381</v>
      </c>
      <c r="G36" s="187" t="s">
        <v>382</v>
      </c>
      <c r="H36" s="187" t="s">
        <v>404</v>
      </c>
      <c r="I36" s="187" t="s">
        <v>415</v>
      </c>
      <c r="J36" s="187">
        <v>29.76979</v>
      </c>
      <c r="K36" s="187">
        <v>-95.606300000000005</v>
      </c>
      <c r="L36" s="187" t="s">
        <v>385</v>
      </c>
      <c r="M36" s="187" t="s">
        <v>386</v>
      </c>
      <c r="N36" s="187" t="s">
        <v>418</v>
      </c>
      <c r="O36" s="187" t="s">
        <v>388</v>
      </c>
      <c r="P36" s="187" t="s">
        <v>389</v>
      </c>
      <c r="Q36" s="187" t="s">
        <v>102</v>
      </c>
      <c r="R36" s="187" t="s">
        <v>413</v>
      </c>
      <c r="S36" s="187">
        <v>0</v>
      </c>
      <c r="T36" s="187">
        <v>0</v>
      </c>
      <c r="U36" s="187">
        <v>0</v>
      </c>
      <c r="V36" s="187">
        <v>0</v>
      </c>
      <c r="W36" s="187">
        <v>0</v>
      </c>
      <c r="X36" s="187">
        <v>2</v>
      </c>
      <c r="Y36" s="187">
        <v>0</v>
      </c>
      <c r="Z36" s="187">
        <v>0</v>
      </c>
      <c r="AA36" s="187">
        <v>0</v>
      </c>
      <c r="AB36" s="187">
        <v>0</v>
      </c>
      <c r="AC36" s="187">
        <v>0</v>
      </c>
      <c r="AD36" s="187">
        <v>2</v>
      </c>
      <c r="AE36" s="187">
        <v>0</v>
      </c>
      <c r="AF36" s="187">
        <v>0</v>
      </c>
      <c r="AG36" s="187">
        <v>0</v>
      </c>
      <c r="AH36" s="187">
        <v>0</v>
      </c>
      <c r="AI36" s="187">
        <v>0</v>
      </c>
      <c r="AJ36" s="187">
        <v>0</v>
      </c>
      <c r="AK36" s="187">
        <v>0</v>
      </c>
      <c r="AL36" s="187">
        <v>0</v>
      </c>
      <c r="AM36" s="187">
        <v>0</v>
      </c>
      <c r="AN36" s="187">
        <v>0</v>
      </c>
      <c r="AO36" s="187">
        <v>0</v>
      </c>
      <c r="AP36" s="187">
        <v>0</v>
      </c>
      <c r="AQ36" s="187">
        <v>0</v>
      </c>
      <c r="AR36" s="187">
        <v>0</v>
      </c>
      <c r="AS36" s="187">
        <v>0</v>
      </c>
      <c r="AT36" s="187">
        <v>0</v>
      </c>
      <c r="AU36" s="187" t="s">
        <v>52</v>
      </c>
      <c r="AV36" s="187" t="s">
        <v>391</v>
      </c>
      <c r="AW36" s="187" t="s">
        <v>392</v>
      </c>
      <c r="AX36" s="187" t="s">
        <v>393</v>
      </c>
      <c r="AY36" s="187">
        <v>77079</v>
      </c>
      <c r="AZ36" s="188">
        <v>48200000000</v>
      </c>
      <c r="BA36" s="187" t="s">
        <v>394</v>
      </c>
      <c r="BB36" s="187" t="s">
        <v>395</v>
      </c>
      <c r="BC36" s="187">
        <v>162030</v>
      </c>
      <c r="BD36" s="187">
        <v>2990</v>
      </c>
      <c r="BE36" s="187" t="s">
        <v>396</v>
      </c>
      <c r="BF36" s="187" t="s">
        <v>437</v>
      </c>
      <c r="BG36" s="187" t="s">
        <v>396</v>
      </c>
    </row>
    <row r="37" spans="1:59">
      <c r="A37" s="187">
        <v>120678</v>
      </c>
      <c r="B37" s="187">
        <v>16712217</v>
      </c>
      <c r="C37" s="187">
        <v>2018</v>
      </c>
      <c r="D37" s="187" t="s">
        <v>380</v>
      </c>
      <c r="E37" s="187">
        <v>12</v>
      </c>
      <c r="F37" s="187" t="s">
        <v>381</v>
      </c>
      <c r="G37" s="187" t="s">
        <v>382</v>
      </c>
      <c r="H37" s="187" t="s">
        <v>404</v>
      </c>
      <c r="I37" s="187" t="s">
        <v>384</v>
      </c>
      <c r="J37" s="187">
        <v>29.764620000000001</v>
      </c>
      <c r="K37" s="187">
        <v>-95.606300000000005</v>
      </c>
      <c r="L37" s="187" t="s">
        <v>385</v>
      </c>
      <c r="M37" s="187" t="s">
        <v>386</v>
      </c>
      <c r="N37" s="187" t="s">
        <v>406</v>
      </c>
      <c r="O37" s="187" t="s">
        <v>388</v>
      </c>
      <c r="P37" s="187" t="s">
        <v>342</v>
      </c>
      <c r="Q37" s="187" t="s">
        <v>103</v>
      </c>
      <c r="R37" s="187" t="s">
        <v>407</v>
      </c>
      <c r="S37" s="187">
        <v>0</v>
      </c>
      <c r="T37" s="187">
        <v>0</v>
      </c>
      <c r="U37" s="187">
        <v>0</v>
      </c>
      <c r="V37" s="187">
        <v>2</v>
      </c>
      <c r="W37" s="187">
        <v>2</v>
      </c>
      <c r="X37" s="187">
        <v>0</v>
      </c>
      <c r="Y37" s="187">
        <v>0</v>
      </c>
      <c r="Z37" s="187">
        <v>0</v>
      </c>
      <c r="AA37" s="187">
        <v>0</v>
      </c>
      <c r="AB37" s="187">
        <v>0</v>
      </c>
      <c r="AC37" s="187">
        <v>2</v>
      </c>
      <c r="AD37" s="187">
        <v>0</v>
      </c>
      <c r="AE37" s="187">
        <v>2</v>
      </c>
      <c r="AF37" s="187">
        <v>0</v>
      </c>
      <c r="AG37" s="187">
        <v>0</v>
      </c>
      <c r="AH37" s="187">
        <v>0</v>
      </c>
      <c r="AI37" s="187">
        <v>0</v>
      </c>
      <c r="AJ37" s="187">
        <v>0</v>
      </c>
      <c r="AK37" s="187">
        <v>0</v>
      </c>
      <c r="AL37" s="187">
        <v>0</v>
      </c>
      <c r="AM37" s="187">
        <v>0</v>
      </c>
      <c r="AN37" s="187">
        <v>0</v>
      </c>
      <c r="AO37" s="187">
        <v>0</v>
      </c>
      <c r="AP37" s="187">
        <v>0</v>
      </c>
      <c r="AQ37" s="187">
        <v>0</v>
      </c>
      <c r="AR37" s="187">
        <v>0</v>
      </c>
      <c r="AS37" s="187">
        <v>0</v>
      </c>
      <c r="AT37" s="187">
        <v>0</v>
      </c>
      <c r="AU37" s="187" t="s">
        <v>52</v>
      </c>
      <c r="AV37" s="187" t="s">
        <v>391</v>
      </c>
      <c r="AW37" s="187" t="s">
        <v>392</v>
      </c>
      <c r="AX37" s="187" t="s">
        <v>393</v>
      </c>
      <c r="AY37" s="187">
        <v>77079</v>
      </c>
      <c r="AZ37" s="188">
        <v>48200000000</v>
      </c>
      <c r="BA37" s="187" t="s">
        <v>394</v>
      </c>
      <c r="BB37" s="187" t="s">
        <v>395</v>
      </c>
      <c r="BC37" s="187">
        <v>161810</v>
      </c>
      <c r="BD37" s="187">
        <v>2990</v>
      </c>
      <c r="BE37" s="187" t="s">
        <v>396</v>
      </c>
      <c r="BF37" s="187" t="s">
        <v>396</v>
      </c>
      <c r="BG37" s="187" t="s">
        <v>396</v>
      </c>
    </row>
    <row r="38" spans="1:59">
      <c r="A38" s="187">
        <v>125272</v>
      </c>
      <c r="B38" s="187">
        <v>16734091</v>
      </c>
      <c r="C38" s="187">
        <v>2018</v>
      </c>
      <c r="D38" s="187" t="s">
        <v>380</v>
      </c>
      <c r="E38" s="187">
        <v>13</v>
      </c>
      <c r="F38" s="187" t="s">
        <v>429</v>
      </c>
      <c r="G38" s="187" t="s">
        <v>382</v>
      </c>
      <c r="H38" s="187" t="s">
        <v>419</v>
      </c>
      <c r="I38" s="187" t="s">
        <v>384</v>
      </c>
      <c r="J38" s="187">
        <v>29.753969999999999</v>
      </c>
      <c r="K38" s="187">
        <v>-95.606200000000001</v>
      </c>
      <c r="L38" s="187" t="s">
        <v>405</v>
      </c>
      <c r="M38" s="187" t="s">
        <v>386</v>
      </c>
      <c r="N38" s="187" t="s">
        <v>425</v>
      </c>
      <c r="O38" s="187" t="s">
        <v>388</v>
      </c>
      <c r="P38" s="187" t="s">
        <v>389</v>
      </c>
      <c r="Q38" s="187" t="s">
        <v>106</v>
      </c>
      <c r="R38" s="187" t="s">
        <v>403</v>
      </c>
      <c r="S38" s="187">
        <v>0</v>
      </c>
      <c r="T38" s="187">
        <v>0</v>
      </c>
      <c r="U38" s="187">
        <v>0</v>
      </c>
      <c r="V38" s="187">
        <v>0</v>
      </c>
      <c r="W38" s="187">
        <v>0</v>
      </c>
      <c r="X38" s="187">
        <v>3</v>
      </c>
      <c r="Y38" s="187">
        <v>0</v>
      </c>
      <c r="Z38" s="187">
        <v>0</v>
      </c>
      <c r="AA38" s="187">
        <v>0</v>
      </c>
      <c r="AB38" s="187">
        <v>0</v>
      </c>
      <c r="AC38" s="187">
        <v>0</v>
      </c>
      <c r="AD38" s="187">
        <v>3</v>
      </c>
      <c r="AE38" s="187">
        <v>0</v>
      </c>
      <c r="AF38" s="187">
        <v>0</v>
      </c>
      <c r="AG38" s="187">
        <v>0</v>
      </c>
      <c r="AH38" s="187">
        <v>0</v>
      </c>
      <c r="AI38" s="187">
        <v>0</v>
      </c>
      <c r="AJ38" s="187">
        <v>0</v>
      </c>
      <c r="AK38" s="187">
        <v>0</v>
      </c>
      <c r="AL38" s="187">
        <v>0</v>
      </c>
      <c r="AM38" s="187">
        <v>0</v>
      </c>
      <c r="AN38" s="187">
        <v>0</v>
      </c>
      <c r="AO38" s="187">
        <v>0</v>
      </c>
      <c r="AP38" s="187">
        <v>0</v>
      </c>
      <c r="AQ38" s="187">
        <v>0</v>
      </c>
      <c r="AR38" s="187">
        <v>0</v>
      </c>
      <c r="AS38" s="187">
        <v>0</v>
      </c>
      <c r="AT38" s="187">
        <v>0</v>
      </c>
      <c r="AU38" s="187" t="s">
        <v>52</v>
      </c>
      <c r="AV38" s="187" t="s">
        <v>391</v>
      </c>
      <c r="AW38" s="187" t="s">
        <v>392</v>
      </c>
      <c r="AX38" s="187" t="s">
        <v>393</v>
      </c>
      <c r="AY38" s="187">
        <v>77077</v>
      </c>
      <c r="AZ38" s="188">
        <v>48200000000</v>
      </c>
      <c r="BA38" s="187" t="s">
        <v>394</v>
      </c>
      <c r="BB38" s="187" t="s">
        <v>395</v>
      </c>
      <c r="BC38" s="187">
        <v>161370</v>
      </c>
      <c r="BD38" s="187">
        <v>2990</v>
      </c>
      <c r="BE38" s="187" t="s">
        <v>396</v>
      </c>
      <c r="BF38" s="187" t="s">
        <v>396</v>
      </c>
      <c r="BG38" s="187" t="s">
        <v>396</v>
      </c>
    </row>
    <row r="39" spans="1:59">
      <c r="A39" s="187">
        <v>132321</v>
      </c>
      <c r="B39" s="187">
        <v>16765917</v>
      </c>
      <c r="C39" s="187">
        <v>2018</v>
      </c>
      <c r="D39" s="187" t="s">
        <v>380</v>
      </c>
      <c r="E39" s="187">
        <v>15</v>
      </c>
      <c r="F39" s="187" t="s">
        <v>426</v>
      </c>
      <c r="G39" s="187" t="s">
        <v>382</v>
      </c>
      <c r="H39" s="187" t="s">
        <v>383</v>
      </c>
      <c r="I39" s="187" t="s">
        <v>409</v>
      </c>
      <c r="J39" s="187">
        <v>29.758430000000001</v>
      </c>
      <c r="K39" s="187">
        <v>-95.606300000000005</v>
      </c>
      <c r="L39" s="187" t="s">
        <v>385</v>
      </c>
      <c r="M39" s="187" t="s">
        <v>386</v>
      </c>
      <c r="N39" s="187" t="s">
        <v>425</v>
      </c>
      <c r="O39" s="187" t="s">
        <v>388</v>
      </c>
      <c r="P39" s="187" t="s">
        <v>402</v>
      </c>
      <c r="Q39" s="187" t="s">
        <v>105</v>
      </c>
      <c r="R39" s="187" t="s">
        <v>433</v>
      </c>
      <c r="S39" s="187">
        <v>0</v>
      </c>
      <c r="T39" s="187">
        <v>0</v>
      </c>
      <c r="U39" s="187">
        <v>1</v>
      </c>
      <c r="V39" s="187">
        <v>0</v>
      </c>
      <c r="W39" s="187">
        <v>1</v>
      </c>
      <c r="X39" s="187">
        <v>1</v>
      </c>
      <c r="Y39" s="187">
        <v>0</v>
      </c>
      <c r="Z39" s="187">
        <v>0</v>
      </c>
      <c r="AA39" s="187">
        <v>0</v>
      </c>
      <c r="AB39" s="187">
        <v>1</v>
      </c>
      <c r="AC39" s="187">
        <v>0</v>
      </c>
      <c r="AD39" s="187">
        <v>1</v>
      </c>
      <c r="AE39" s="187">
        <v>1</v>
      </c>
      <c r="AF39" s="187">
        <v>0</v>
      </c>
      <c r="AG39" s="187">
        <v>0</v>
      </c>
      <c r="AH39" s="187">
        <v>0</v>
      </c>
      <c r="AI39" s="187">
        <v>0</v>
      </c>
      <c r="AJ39" s="187">
        <v>0</v>
      </c>
      <c r="AK39" s="187">
        <v>0</v>
      </c>
      <c r="AL39" s="187">
        <v>0</v>
      </c>
      <c r="AM39" s="187">
        <v>0</v>
      </c>
      <c r="AN39" s="187">
        <v>0</v>
      </c>
      <c r="AO39" s="187">
        <v>0</v>
      </c>
      <c r="AP39" s="187">
        <v>0</v>
      </c>
      <c r="AQ39" s="187">
        <v>0</v>
      </c>
      <c r="AR39" s="187">
        <v>0</v>
      </c>
      <c r="AS39" s="187">
        <v>0</v>
      </c>
      <c r="AT39" s="187">
        <v>0</v>
      </c>
      <c r="AU39" s="187" t="s">
        <v>52</v>
      </c>
      <c r="AV39" s="187" t="s">
        <v>391</v>
      </c>
      <c r="AW39" s="187" t="s">
        <v>392</v>
      </c>
      <c r="AX39" s="187" t="s">
        <v>393</v>
      </c>
      <c r="AY39" s="187">
        <v>77077</v>
      </c>
      <c r="AZ39" s="188">
        <v>48200000000</v>
      </c>
      <c r="BA39" s="187" t="s">
        <v>394</v>
      </c>
      <c r="BB39" s="187" t="s">
        <v>395</v>
      </c>
      <c r="BC39" s="187">
        <v>161590</v>
      </c>
      <c r="BD39" s="187">
        <v>2990</v>
      </c>
      <c r="BE39" s="187" t="s">
        <v>396</v>
      </c>
      <c r="BF39" s="187" t="s">
        <v>396</v>
      </c>
      <c r="BG39" s="187" t="s">
        <v>396</v>
      </c>
    </row>
    <row r="40" spans="1:59">
      <c r="A40" s="187">
        <v>133068</v>
      </c>
      <c r="B40" s="187">
        <v>16766971</v>
      </c>
      <c r="C40" s="187">
        <v>2018</v>
      </c>
      <c r="D40" s="187" t="s">
        <v>380</v>
      </c>
      <c r="E40" s="187">
        <v>10</v>
      </c>
      <c r="F40" s="187" t="s">
        <v>411</v>
      </c>
      <c r="G40" s="187" t="s">
        <v>382</v>
      </c>
      <c r="H40" s="187" t="s">
        <v>404</v>
      </c>
      <c r="I40" s="187" t="s">
        <v>409</v>
      </c>
      <c r="J40" s="187">
        <v>29.770060000000001</v>
      </c>
      <c r="K40" s="187">
        <v>-95.606300000000005</v>
      </c>
      <c r="L40" s="187" t="s">
        <v>385</v>
      </c>
      <c r="M40" s="187" t="s">
        <v>386</v>
      </c>
      <c r="N40" s="187" t="s">
        <v>401</v>
      </c>
      <c r="O40" s="187" t="s">
        <v>388</v>
      </c>
      <c r="P40" s="187" t="s">
        <v>342</v>
      </c>
      <c r="Q40" s="187" t="s">
        <v>103</v>
      </c>
      <c r="R40" s="187" t="s">
        <v>416</v>
      </c>
      <c r="S40" s="187">
        <v>0</v>
      </c>
      <c r="T40" s="187">
        <v>0</v>
      </c>
      <c r="U40" s="187">
        <v>0</v>
      </c>
      <c r="V40" s="187">
        <v>2</v>
      </c>
      <c r="W40" s="187">
        <v>2</v>
      </c>
      <c r="X40" s="187">
        <v>1</v>
      </c>
      <c r="Y40" s="187">
        <v>0</v>
      </c>
      <c r="Z40" s="187">
        <v>0</v>
      </c>
      <c r="AA40" s="187">
        <v>0</v>
      </c>
      <c r="AB40" s="187">
        <v>0</v>
      </c>
      <c r="AC40" s="187">
        <v>2</v>
      </c>
      <c r="AD40" s="187">
        <v>1</v>
      </c>
      <c r="AE40" s="187">
        <v>2</v>
      </c>
      <c r="AF40" s="187">
        <v>0</v>
      </c>
      <c r="AG40" s="187">
        <v>0</v>
      </c>
      <c r="AH40" s="187">
        <v>0</v>
      </c>
      <c r="AI40" s="187">
        <v>0</v>
      </c>
      <c r="AJ40" s="187">
        <v>0</v>
      </c>
      <c r="AK40" s="187">
        <v>0</v>
      </c>
      <c r="AL40" s="187">
        <v>0</v>
      </c>
      <c r="AM40" s="187">
        <v>0</v>
      </c>
      <c r="AN40" s="187">
        <v>0</v>
      </c>
      <c r="AO40" s="187">
        <v>0</v>
      </c>
      <c r="AP40" s="187">
        <v>0</v>
      </c>
      <c r="AQ40" s="187">
        <v>0</v>
      </c>
      <c r="AR40" s="187">
        <v>0</v>
      </c>
      <c r="AS40" s="187">
        <v>0</v>
      </c>
      <c r="AT40" s="187">
        <v>0</v>
      </c>
      <c r="AU40" s="187" t="s">
        <v>52</v>
      </c>
      <c r="AV40" s="187" t="s">
        <v>391</v>
      </c>
      <c r="AW40" s="187" t="s">
        <v>392</v>
      </c>
      <c r="AX40" s="187" t="s">
        <v>393</v>
      </c>
      <c r="AY40" s="187">
        <v>77079</v>
      </c>
      <c r="AZ40" s="188">
        <v>48200000000</v>
      </c>
      <c r="BA40" s="187" t="s">
        <v>394</v>
      </c>
      <c r="BB40" s="187" t="s">
        <v>395</v>
      </c>
      <c r="BC40" s="187">
        <v>162030</v>
      </c>
      <c r="BD40" s="187">
        <v>2990</v>
      </c>
      <c r="BE40" s="187" t="s">
        <v>396</v>
      </c>
      <c r="BF40" s="187" t="s">
        <v>396</v>
      </c>
      <c r="BG40" s="187" t="s">
        <v>396</v>
      </c>
    </row>
    <row r="41" spans="1:59">
      <c r="A41" s="187">
        <v>134535</v>
      </c>
      <c r="B41" s="187">
        <v>16771478</v>
      </c>
      <c r="C41" s="187">
        <v>2018</v>
      </c>
      <c r="D41" s="187" t="s">
        <v>380</v>
      </c>
      <c r="E41" s="187">
        <v>17</v>
      </c>
      <c r="F41" s="187" t="s">
        <v>397</v>
      </c>
      <c r="G41" s="187" t="s">
        <v>382</v>
      </c>
      <c r="H41" s="187" t="s">
        <v>383</v>
      </c>
      <c r="I41" s="187" t="s">
        <v>415</v>
      </c>
      <c r="J41" s="187">
        <v>29.758099999999999</v>
      </c>
      <c r="K41" s="187">
        <v>-95.606300000000005</v>
      </c>
      <c r="L41" s="187" t="s">
        <v>385</v>
      </c>
      <c r="M41" s="187" t="s">
        <v>400</v>
      </c>
      <c r="N41" s="187" t="s">
        <v>425</v>
      </c>
      <c r="O41" s="187" t="s">
        <v>388</v>
      </c>
      <c r="P41" s="187" t="s">
        <v>389</v>
      </c>
      <c r="Q41" s="187" t="s">
        <v>102</v>
      </c>
      <c r="R41" s="187" t="s">
        <v>403</v>
      </c>
      <c r="S41" s="187">
        <v>0</v>
      </c>
      <c r="T41" s="187">
        <v>0</v>
      </c>
      <c r="U41" s="187">
        <v>0</v>
      </c>
      <c r="V41" s="187">
        <v>0</v>
      </c>
      <c r="W41" s="187">
        <v>0</v>
      </c>
      <c r="X41" s="187">
        <v>2</v>
      </c>
      <c r="Y41" s="187">
        <v>0</v>
      </c>
      <c r="Z41" s="187">
        <v>0</v>
      </c>
      <c r="AA41" s="187">
        <v>0</v>
      </c>
      <c r="AB41" s="187">
        <v>0</v>
      </c>
      <c r="AC41" s="187">
        <v>0</v>
      </c>
      <c r="AD41" s="187">
        <v>2</v>
      </c>
      <c r="AE41" s="187">
        <v>0</v>
      </c>
      <c r="AF41" s="187">
        <v>0</v>
      </c>
      <c r="AG41" s="187">
        <v>0</v>
      </c>
      <c r="AH41" s="187">
        <v>0</v>
      </c>
      <c r="AI41" s="187">
        <v>0</v>
      </c>
      <c r="AJ41" s="187">
        <v>0</v>
      </c>
      <c r="AK41" s="187">
        <v>0</v>
      </c>
      <c r="AL41" s="187">
        <v>0</v>
      </c>
      <c r="AM41" s="187">
        <v>0</v>
      </c>
      <c r="AN41" s="187">
        <v>0</v>
      </c>
      <c r="AO41" s="187">
        <v>0</v>
      </c>
      <c r="AP41" s="187">
        <v>0</v>
      </c>
      <c r="AQ41" s="187">
        <v>0</v>
      </c>
      <c r="AR41" s="187">
        <v>0</v>
      </c>
      <c r="AS41" s="187">
        <v>0</v>
      </c>
      <c r="AT41" s="187">
        <v>0</v>
      </c>
      <c r="AU41" s="187" t="s">
        <v>52</v>
      </c>
      <c r="AV41" s="187" t="s">
        <v>391</v>
      </c>
      <c r="AW41" s="187" t="s">
        <v>392</v>
      </c>
      <c r="AX41" s="187" t="s">
        <v>393</v>
      </c>
      <c r="AY41" s="187">
        <v>77077</v>
      </c>
      <c r="AZ41" s="188">
        <v>48200000000</v>
      </c>
      <c r="BA41" s="187" t="s">
        <v>394</v>
      </c>
      <c r="BB41" s="187" t="s">
        <v>395</v>
      </c>
      <c r="BC41" s="187">
        <v>161590</v>
      </c>
      <c r="BD41" s="187">
        <v>2990</v>
      </c>
      <c r="BE41" s="187" t="s">
        <v>396</v>
      </c>
      <c r="BF41" s="187" t="s">
        <v>396</v>
      </c>
      <c r="BG41" s="187" t="s">
        <v>396</v>
      </c>
    </row>
    <row r="42" spans="1:59">
      <c r="A42" s="187">
        <v>144875</v>
      </c>
      <c r="B42" s="187">
        <v>16821032</v>
      </c>
      <c r="C42" s="187">
        <v>2018</v>
      </c>
      <c r="D42" s="189">
        <v>43350</v>
      </c>
      <c r="E42" s="187">
        <v>19</v>
      </c>
      <c r="F42" s="187" t="s">
        <v>397</v>
      </c>
      <c r="G42" s="187" t="s">
        <v>382</v>
      </c>
      <c r="H42" s="187" t="s">
        <v>419</v>
      </c>
      <c r="I42" s="187" t="s">
        <v>422</v>
      </c>
      <c r="J42" s="187">
        <v>29.753969999999999</v>
      </c>
      <c r="K42" s="187">
        <v>-95.605999999999995</v>
      </c>
      <c r="L42" s="187" t="s">
        <v>385</v>
      </c>
      <c r="M42" s="187" t="s">
        <v>386</v>
      </c>
      <c r="N42" s="187" t="s">
        <v>401</v>
      </c>
      <c r="O42" s="187" t="s">
        <v>388</v>
      </c>
      <c r="P42" s="187" t="s">
        <v>389</v>
      </c>
      <c r="Q42" s="187" t="s">
        <v>105</v>
      </c>
      <c r="R42" s="187" t="s">
        <v>438</v>
      </c>
      <c r="S42" s="187">
        <v>0</v>
      </c>
      <c r="T42" s="187">
        <v>0</v>
      </c>
      <c r="U42" s="187">
        <v>0</v>
      </c>
      <c r="V42" s="187">
        <v>0</v>
      </c>
      <c r="W42" s="187">
        <v>0</v>
      </c>
      <c r="X42" s="187">
        <v>1</v>
      </c>
      <c r="Y42" s="187">
        <v>1</v>
      </c>
      <c r="Z42" s="187">
        <v>0</v>
      </c>
      <c r="AA42" s="187">
        <v>0</v>
      </c>
      <c r="AB42" s="187">
        <v>0</v>
      </c>
      <c r="AC42" s="187">
        <v>0</v>
      </c>
      <c r="AD42" s="187">
        <v>1</v>
      </c>
      <c r="AE42" s="187">
        <v>0</v>
      </c>
      <c r="AF42" s="187">
        <v>1</v>
      </c>
      <c r="AG42" s="187">
        <v>0</v>
      </c>
      <c r="AH42" s="187">
        <v>0</v>
      </c>
      <c r="AI42" s="187">
        <v>0</v>
      </c>
      <c r="AJ42" s="187">
        <v>0</v>
      </c>
      <c r="AK42" s="187">
        <v>0</v>
      </c>
      <c r="AL42" s="187">
        <v>0</v>
      </c>
      <c r="AM42" s="187">
        <v>0</v>
      </c>
      <c r="AN42" s="187">
        <v>0</v>
      </c>
      <c r="AO42" s="187">
        <v>0</v>
      </c>
      <c r="AP42" s="187">
        <v>0</v>
      </c>
      <c r="AQ42" s="187">
        <v>0</v>
      </c>
      <c r="AR42" s="187">
        <v>0</v>
      </c>
      <c r="AS42" s="187">
        <v>0</v>
      </c>
      <c r="AT42" s="187">
        <v>0</v>
      </c>
      <c r="AU42" s="187" t="s">
        <v>52</v>
      </c>
      <c r="AV42" s="187" t="s">
        <v>391</v>
      </c>
      <c r="AW42" s="187" t="s">
        <v>392</v>
      </c>
      <c r="AX42" s="187" t="s">
        <v>393</v>
      </c>
      <c r="AY42" s="187">
        <v>77077</v>
      </c>
      <c r="AZ42" s="188">
        <v>48200000000</v>
      </c>
      <c r="BA42" s="187" t="s">
        <v>394</v>
      </c>
      <c r="BB42" s="187" t="s">
        <v>395</v>
      </c>
      <c r="BC42" s="187">
        <v>161370</v>
      </c>
      <c r="BD42" s="187">
        <v>2990</v>
      </c>
      <c r="BE42" s="187" t="s">
        <v>396</v>
      </c>
      <c r="BF42" s="187" t="s">
        <v>396</v>
      </c>
      <c r="BG42" s="187" t="s">
        <v>396</v>
      </c>
    </row>
    <row r="43" spans="1:59">
      <c r="A43" s="187">
        <v>146518</v>
      </c>
      <c r="B43" s="187">
        <v>16830327</v>
      </c>
      <c r="C43" s="187">
        <v>2018</v>
      </c>
      <c r="D43" s="187" t="s">
        <v>380</v>
      </c>
      <c r="E43" s="187">
        <v>17</v>
      </c>
      <c r="F43" s="187" t="s">
        <v>421</v>
      </c>
      <c r="G43" s="187" t="s">
        <v>382</v>
      </c>
      <c r="H43" s="187" t="s">
        <v>383</v>
      </c>
      <c r="I43" s="187" t="s">
        <v>415</v>
      </c>
      <c r="J43" s="187">
        <v>29.758019999999998</v>
      </c>
      <c r="K43" s="187">
        <v>-95.606300000000005</v>
      </c>
      <c r="L43" s="187" t="s">
        <v>385</v>
      </c>
      <c r="M43" s="187" t="s">
        <v>439</v>
      </c>
      <c r="N43" s="187" t="s">
        <v>418</v>
      </c>
      <c r="O43" s="187" t="s">
        <v>388</v>
      </c>
      <c r="P43" s="187" t="s">
        <v>389</v>
      </c>
      <c r="Q43" s="187" t="s">
        <v>102</v>
      </c>
      <c r="R43" s="187" t="s">
        <v>440</v>
      </c>
      <c r="S43" s="187">
        <v>0</v>
      </c>
      <c r="T43" s="187">
        <v>0</v>
      </c>
      <c r="U43" s="187">
        <v>0</v>
      </c>
      <c r="V43" s="187">
        <v>0</v>
      </c>
      <c r="W43" s="187">
        <v>0</v>
      </c>
      <c r="X43" s="187">
        <v>1</v>
      </c>
      <c r="Y43" s="187">
        <v>1</v>
      </c>
      <c r="Z43" s="187">
        <v>0</v>
      </c>
      <c r="AA43" s="187">
        <v>0</v>
      </c>
      <c r="AB43" s="187">
        <v>0</v>
      </c>
      <c r="AC43" s="187">
        <v>0</v>
      </c>
      <c r="AD43" s="187">
        <v>1</v>
      </c>
      <c r="AE43" s="187">
        <v>0</v>
      </c>
      <c r="AF43" s="187">
        <v>1</v>
      </c>
      <c r="AG43" s="187">
        <v>0</v>
      </c>
      <c r="AH43" s="187">
        <v>0</v>
      </c>
      <c r="AI43" s="187">
        <v>0</v>
      </c>
      <c r="AJ43" s="187">
        <v>0</v>
      </c>
      <c r="AK43" s="187">
        <v>0</v>
      </c>
      <c r="AL43" s="187">
        <v>0</v>
      </c>
      <c r="AM43" s="187">
        <v>0</v>
      </c>
      <c r="AN43" s="187">
        <v>0</v>
      </c>
      <c r="AO43" s="187">
        <v>0</v>
      </c>
      <c r="AP43" s="187">
        <v>0</v>
      </c>
      <c r="AQ43" s="187">
        <v>0</v>
      </c>
      <c r="AR43" s="187">
        <v>0</v>
      </c>
      <c r="AS43" s="187">
        <v>0</v>
      </c>
      <c r="AT43" s="187">
        <v>0</v>
      </c>
      <c r="AU43" s="187" t="s">
        <v>52</v>
      </c>
      <c r="AV43" s="187" t="s">
        <v>391</v>
      </c>
      <c r="AW43" s="187" t="s">
        <v>392</v>
      </c>
      <c r="AX43" s="187" t="s">
        <v>393</v>
      </c>
      <c r="AY43" s="187">
        <v>77077</v>
      </c>
      <c r="AZ43" s="188">
        <v>48200000000</v>
      </c>
      <c r="BA43" s="187" t="s">
        <v>394</v>
      </c>
      <c r="BB43" s="187" t="s">
        <v>395</v>
      </c>
      <c r="BC43" s="187">
        <v>161590</v>
      </c>
      <c r="BD43" s="187">
        <v>2990</v>
      </c>
      <c r="BE43" s="187" t="s">
        <v>396</v>
      </c>
      <c r="BF43" s="187" t="s">
        <v>396</v>
      </c>
      <c r="BG43" s="187" t="s">
        <v>396</v>
      </c>
    </row>
    <row r="44" spans="1:59">
      <c r="A44" s="187">
        <v>147159</v>
      </c>
      <c r="B44" s="187">
        <v>16833329</v>
      </c>
      <c r="C44" s="187">
        <v>2018</v>
      </c>
      <c r="D44" s="187" t="s">
        <v>380</v>
      </c>
      <c r="E44" s="187">
        <v>13</v>
      </c>
      <c r="F44" s="187" t="s">
        <v>381</v>
      </c>
      <c r="G44" s="187" t="s">
        <v>382</v>
      </c>
      <c r="H44" s="187" t="s">
        <v>419</v>
      </c>
      <c r="I44" s="187" t="s">
        <v>422</v>
      </c>
      <c r="J44" s="187">
        <v>29.753969999999999</v>
      </c>
      <c r="K44" s="187">
        <v>-95.606300000000005</v>
      </c>
      <c r="L44" s="187" t="s">
        <v>385</v>
      </c>
      <c r="M44" s="187" t="s">
        <v>386</v>
      </c>
      <c r="N44" s="187" t="s">
        <v>401</v>
      </c>
      <c r="O44" s="187" t="s">
        <v>388</v>
      </c>
      <c r="P44" s="187" t="s">
        <v>389</v>
      </c>
      <c r="Q44" s="187" t="s">
        <v>106</v>
      </c>
      <c r="R44" s="187" t="s">
        <v>438</v>
      </c>
      <c r="S44" s="187">
        <v>0</v>
      </c>
      <c r="T44" s="187">
        <v>0</v>
      </c>
      <c r="U44" s="187">
        <v>0</v>
      </c>
      <c r="V44" s="187">
        <v>0</v>
      </c>
      <c r="W44" s="187">
        <v>0</v>
      </c>
      <c r="X44" s="187">
        <v>2</v>
      </c>
      <c r="Y44" s="187">
        <v>1</v>
      </c>
      <c r="Z44" s="187">
        <v>0</v>
      </c>
      <c r="AA44" s="187">
        <v>0</v>
      </c>
      <c r="AB44" s="187">
        <v>0</v>
      </c>
      <c r="AC44" s="187">
        <v>0</v>
      </c>
      <c r="AD44" s="187">
        <v>2</v>
      </c>
      <c r="AE44" s="187">
        <v>0</v>
      </c>
      <c r="AF44" s="187">
        <v>1</v>
      </c>
      <c r="AG44" s="187">
        <v>0</v>
      </c>
      <c r="AH44" s="187">
        <v>0</v>
      </c>
      <c r="AI44" s="187">
        <v>0</v>
      </c>
      <c r="AJ44" s="187">
        <v>0</v>
      </c>
      <c r="AK44" s="187">
        <v>0</v>
      </c>
      <c r="AL44" s="187">
        <v>0</v>
      </c>
      <c r="AM44" s="187">
        <v>0</v>
      </c>
      <c r="AN44" s="187">
        <v>0</v>
      </c>
      <c r="AO44" s="187">
        <v>0</v>
      </c>
      <c r="AP44" s="187">
        <v>0</v>
      </c>
      <c r="AQ44" s="187">
        <v>0</v>
      </c>
      <c r="AR44" s="187">
        <v>0</v>
      </c>
      <c r="AS44" s="187">
        <v>0</v>
      </c>
      <c r="AT44" s="187">
        <v>0</v>
      </c>
      <c r="AU44" s="187" t="s">
        <v>52</v>
      </c>
      <c r="AV44" s="187" t="s">
        <v>391</v>
      </c>
      <c r="AW44" s="187" t="s">
        <v>392</v>
      </c>
      <c r="AX44" s="187" t="s">
        <v>393</v>
      </c>
      <c r="AY44" s="187">
        <v>77077</v>
      </c>
      <c r="AZ44" s="188">
        <v>48200000000</v>
      </c>
      <c r="BA44" s="187" t="s">
        <v>394</v>
      </c>
      <c r="BB44" s="187" t="s">
        <v>395</v>
      </c>
      <c r="BC44" s="187">
        <v>161370</v>
      </c>
      <c r="BD44" s="187">
        <v>2990</v>
      </c>
      <c r="BE44" s="187" t="s">
        <v>396</v>
      </c>
      <c r="BF44" s="187" t="s">
        <v>396</v>
      </c>
      <c r="BG44" s="187" t="s">
        <v>396</v>
      </c>
    </row>
    <row r="45" spans="1:59">
      <c r="A45" s="187">
        <v>150819</v>
      </c>
      <c r="B45" s="187">
        <v>16851798</v>
      </c>
      <c r="C45" s="187">
        <v>2018</v>
      </c>
      <c r="D45" s="187" t="s">
        <v>380</v>
      </c>
      <c r="E45" s="187">
        <v>17</v>
      </c>
      <c r="F45" s="187" t="s">
        <v>421</v>
      </c>
      <c r="G45" s="187" t="s">
        <v>430</v>
      </c>
      <c r="H45" s="187" t="s">
        <v>408</v>
      </c>
      <c r="I45" s="187" t="s">
        <v>415</v>
      </c>
      <c r="J45" s="187">
        <v>29.76999</v>
      </c>
      <c r="K45" s="187">
        <v>-95.606300000000005</v>
      </c>
      <c r="L45" s="187" t="s">
        <v>405</v>
      </c>
      <c r="M45" s="187" t="s">
        <v>386</v>
      </c>
      <c r="N45" s="187" t="s">
        <v>418</v>
      </c>
      <c r="O45" s="187" t="s">
        <v>441</v>
      </c>
      <c r="P45" s="187" t="s">
        <v>389</v>
      </c>
      <c r="Q45" s="187" t="s">
        <v>102</v>
      </c>
      <c r="R45" s="187" t="s">
        <v>416</v>
      </c>
      <c r="S45" s="187">
        <v>0</v>
      </c>
      <c r="T45" s="187">
        <v>0</v>
      </c>
      <c r="U45" s="187">
        <v>0</v>
      </c>
      <c r="V45" s="187">
        <v>0</v>
      </c>
      <c r="W45" s="187">
        <v>0</v>
      </c>
      <c r="X45" s="187">
        <v>1</v>
      </c>
      <c r="Y45" s="187">
        <v>0</v>
      </c>
      <c r="Z45" s="187">
        <v>0</v>
      </c>
      <c r="AA45" s="187">
        <v>0</v>
      </c>
      <c r="AB45" s="187">
        <v>0</v>
      </c>
      <c r="AC45" s="187">
        <v>0</v>
      </c>
      <c r="AD45" s="187">
        <v>1</v>
      </c>
      <c r="AE45" s="187">
        <v>0</v>
      </c>
      <c r="AF45" s="187">
        <v>0</v>
      </c>
      <c r="AG45" s="187">
        <v>0</v>
      </c>
      <c r="AH45" s="187">
        <v>0</v>
      </c>
      <c r="AI45" s="187">
        <v>0</v>
      </c>
      <c r="AJ45" s="187">
        <v>0</v>
      </c>
      <c r="AK45" s="187">
        <v>0</v>
      </c>
      <c r="AL45" s="187">
        <v>0</v>
      </c>
      <c r="AM45" s="187">
        <v>0</v>
      </c>
      <c r="AN45" s="187">
        <v>0</v>
      </c>
      <c r="AO45" s="187">
        <v>0</v>
      </c>
      <c r="AP45" s="187">
        <v>0</v>
      </c>
      <c r="AQ45" s="187">
        <v>0</v>
      </c>
      <c r="AR45" s="187">
        <v>0</v>
      </c>
      <c r="AS45" s="187">
        <v>0</v>
      </c>
      <c r="AT45" s="187">
        <v>0</v>
      </c>
      <c r="AU45" s="187" t="s">
        <v>52</v>
      </c>
      <c r="AV45" s="187" t="s">
        <v>391</v>
      </c>
      <c r="AW45" s="187" t="s">
        <v>392</v>
      </c>
      <c r="AX45" s="187" t="s">
        <v>393</v>
      </c>
      <c r="AY45" s="187">
        <v>77079</v>
      </c>
      <c r="AZ45" s="188">
        <v>48200000000</v>
      </c>
      <c r="BA45" s="187" t="s">
        <v>394</v>
      </c>
      <c r="BB45" s="187" t="s">
        <v>395</v>
      </c>
      <c r="BC45" s="187">
        <v>162030</v>
      </c>
      <c r="BD45" s="187">
        <v>2990</v>
      </c>
      <c r="BE45" s="187" t="s">
        <v>396</v>
      </c>
      <c r="BF45" s="187" t="s">
        <v>396</v>
      </c>
      <c r="BG45" s="187" t="s">
        <v>396</v>
      </c>
    </row>
    <row r="46" spans="1:59">
      <c r="A46" s="187">
        <v>152705</v>
      </c>
      <c r="B46" s="187">
        <v>16860159</v>
      </c>
      <c r="C46" s="187">
        <v>2019</v>
      </c>
      <c r="D46" s="187" t="s">
        <v>380</v>
      </c>
      <c r="E46" s="187">
        <v>16</v>
      </c>
      <c r="F46" s="187" t="s">
        <v>426</v>
      </c>
      <c r="G46" s="187" t="s">
        <v>430</v>
      </c>
      <c r="H46" s="187" t="s">
        <v>408</v>
      </c>
      <c r="I46" s="187" t="s">
        <v>442</v>
      </c>
      <c r="J46" s="187">
        <v>29.76999</v>
      </c>
      <c r="K46" s="187">
        <v>-95.606300000000005</v>
      </c>
      <c r="L46" s="187" t="s">
        <v>385</v>
      </c>
      <c r="M46" s="187" t="s">
        <v>386</v>
      </c>
      <c r="N46" s="187" t="s">
        <v>416</v>
      </c>
      <c r="O46" s="187" t="s">
        <v>431</v>
      </c>
      <c r="P46" s="187" t="s">
        <v>389</v>
      </c>
      <c r="Q46" s="187" t="s">
        <v>102</v>
      </c>
      <c r="R46" s="187" t="s">
        <v>433</v>
      </c>
      <c r="S46" s="187">
        <v>0</v>
      </c>
      <c r="T46" s="187">
        <v>0</v>
      </c>
      <c r="U46" s="187">
        <v>0</v>
      </c>
      <c r="V46" s="187">
        <v>0</v>
      </c>
      <c r="W46" s="187">
        <v>0</v>
      </c>
      <c r="X46" s="187">
        <v>1</v>
      </c>
      <c r="Y46" s="187">
        <v>0</v>
      </c>
      <c r="Z46" s="187">
        <v>0</v>
      </c>
      <c r="AA46" s="187">
        <v>0</v>
      </c>
      <c r="AB46" s="187">
        <v>0</v>
      </c>
      <c r="AC46" s="187">
        <v>0</v>
      </c>
      <c r="AD46" s="187">
        <v>1</v>
      </c>
      <c r="AE46" s="187">
        <v>0</v>
      </c>
      <c r="AF46" s="187">
        <v>0</v>
      </c>
      <c r="AG46" s="187">
        <v>0</v>
      </c>
      <c r="AH46" s="187">
        <v>0</v>
      </c>
      <c r="AI46" s="187">
        <v>0</v>
      </c>
      <c r="AJ46" s="187">
        <v>0</v>
      </c>
      <c r="AK46" s="187">
        <v>0</v>
      </c>
      <c r="AL46" s="187">
        <v>0</v>
      </c>
      <c r="AM46" s="187">
        <v>0</v>
      </c>
      <c r="AN46" s="187">
        <v>0</v>
      </c>
      <c r="AO46" s="187">
        <v>0</v>
      </c>
      <c r="AP46" s="187">
        <v>0</v>
      </c>
      <c r="AQ46" s="187">
        <v>0</v>
      </c>
      <c r="AR46" s="187">
        <v>0</v>
      </c>
      <c r="AS46" s="187">
        <v>0</v>
      </c>
      <c r="AT46" s="187">
        <v>0</v>
      </c>
      <c r="AU46" s="187" t="s">
        <v>52</v>
      </c>
      <c r="AV46" s="187" t="s">
        <v>391</v>
      </c>
      <c r="AW46" s="187" t="s">
        <v>392</v>
      </c>
      <c r="AX46" s="187" t="s">
        <v>393</v>
      </c>
      <c r="AY46" s="187">
        <v>77079</v>
      </c>
      <c r="AZ46" s="188">
        <v>48200000000</v>
      </c>
      <c r="BA46" s="187" t="s">
        <v>394</v>
      </c>
      <c r="BB46" s="187" t="s">
        <v>395</v>
      </c>
      <c r="BC46" s="187">
        <v>162030</v>
      </c>
      <c r="BD46" s="187">
        <v>2990</v>
      </c>
      <c r="BE46" s="187" t="s">
        <v>396</v>
      </c>
      <c r="BF46" s="187" t="s">
        <v>396</v>
      </c>
      <c r="BG46" s="187" t="s">
        <v>396</v>
      </c>
    </row>
    <row r="47" spans="1:59">
      <c r="A47" s="187">
        <v>152981</v>
      </c>
      <c r="B47" s="187">
        <v>16861557</v>
      </c>
      <c r="C47" s="187">
        <v>2019</v>
      </c>
      <c r="D47" s="187" t="s">
        <v>380</v>
      </c>
      <c r="E47" s="187">
        <v>8</v>
      </c>
      <c r="F47" s="187" t="s">
        <v>414</v>
      </c>
      <c r="G47" s="187" t="s">
        <v>382</v>
      </c>
      <c r="H47" s="187" t="s">
        <v>383</v>
      </c>
      <c r="I47" s="187" t="s">
        <v>415</v>
      </c>
      <c r="J47" s="187">
        <v>29.755410000000001</v>
      </c>
      <c r="K47" s="187">
        <v>-95.606200000000001</v>
      </c>
      <c r="L47" s="187" t="s">
        <v>399</v>
      </c>
      <c r="M47" s="187" t="s">
        <v>386</v>
      </c>
      <c r="N47" s="187" t="s">
        <v>418</v>
      </c>
      <c r="O47" s="187" t="s">
        <v>388</v>
      </c>
      <c r="P47" s="187" t="s">
        <v>389</v>
      </c>
      <c r="Q47" s="187" t="s">
        <v>102</v>
      </c>
      <c r="R47" s="187" t="s">
        <v>403</v>
      </c>
      <c r="S47" s="187">
        <v>0</v>
      </c>
      <c r="T47" s="187">
        <v>0</v>
      </c>
      <c r="U47" s="187">
        <v>0</v>
      </c>
      <c r="V47" s="187">
        <v>0</v>
      </c>
      <c r="W47" s="187">
        <v>0</v>
      </c>
      <c r="X47" s="187">
        <v>3</v>
      </c>
      <c r="Y47" s="187">
        <v>0</v>
      </c>
      <c r="Z47" s="187">
        <v>0</v>
      </c>
      <c r="AA47" s="187">
        <v>0</v>
      </c>
      <c r="AB47" s="187">
        <v>0</v>
      </c>
      <c r="AC47" s="187">
        <v>0</v>
      </c>
      <c r="AD47" s="187">
        <v>3</v>
      </c>
      <c r="AE47" s="187">
        <v>0</v>
      </c>
      <c r="AF47" s="187">
        <v>0</v>
      </c>
      <c r="AG47" s="187">
        <v>0</v>
      </c>
      <c r="AH47" s="187">
        <v>0</v>
      </c>
      <c r="AI47" s="187">
        <v>0</v>
      </c>
      <c r="AJ47" s="187">
        <v>0</v>
      </c>
      <c r="AK47" s="187">
        <v>0</v>
      </c>
      <c r="AL47" s="187">
        <v>0</v>
      </c>
      <c r="AM47" s="187">
        <v>0</v>
      </c>
      <c r="AN47" s="187">
        <v>0</v>
      </c>
      <c r="AO47" s="187">
        <v>0</v>
      </c>
      <c r="AP47" s="187">
        <v>0</v>
      </c>
      <c r="AQ47" s="187">
        <v>0</v>
      </c>
      <c r="AR47" s="187">
        <v>0</v>
      </c>
      <c r="AS47" s="187">
        <v>0</v>
      </c>
      <c r="AT47" s="187">
        <v>0</v>
      </c>
      <c r="AU47" s="187" t="s">
        <v>52</v>
      </c>
      <c r="AV47" s="187" t="s">
        <v>391</v>
      </c>
      <c r="AW47" s="187" t="s">
        <v>392</v>
      </c>
      <c r="AX47" s="187" t="s">
        <v>393</v>
      </c>
      <c r="AY47" s="187">
        <v>77077</v>
      </c>
      <c r="AZ47" s="188">
        <v>48200000000</v>
      </c>
      <c r="BA47" s="187" t="s">
        <v>394</v>
      </c>
      <c r="BB47" s="187" t="s">
        <v>395</v>
      </c>
      <c r="BC47" s="187">
        <v>161370</v>
      </c>
      <c r="BD47" s="187">
        <v>2990</v>
      </c>
      <c r="BE47" s="187" t="s">
        <v>396</v>
      </c>
      <c r="BF47" s="187" t="s">
        <v>396</v>
      </c>
      <c r="BG47" s="187" t="s">
        <v>396</v>
      </c>
    </row>
    <row r="48" spans="1:59">
      <c r="A48" s="187">
        <v>154652</v>
      </c>
      <c r="B48" s="187">
        <v>16867784</v>
      </c>
      <c r="C48" s="187">
        <v>2018</v>
      </c>
      <c r="D48" s="187" t="s">
        <v>380</v>
      </c>
      <c r="E48" s="187">
        <v>14</v>
      </c>
      <c r="F48" s="187" t="s">
        <v>426</v>
      </c>
      <c r="G48" s="187" t="s">
        <v>382</v>
      </c>
      <c r="H48" s="187" t="s">
        <v>383</v>
      </c>
      <c r="I48" s="187" t="s">
        <v>415</v>
      </c>
      <c r="J48" s="187">
        <v>29.75403</v>
      </c>
      <c r="K48" s="187">
        <v>-95.606200000000001</v>
      </c>
      <c r="L48" s="187" t="s">
        <v>405</v>
      </c>
      <c r="M48" s="187" t="s">
        <v>386</v>
      </c>
      <c r="N48" s="187" t="s">
        <v>412</v>
      </c>
      <c r="O48" s="187" t="s">
        <v>388</v>
      </c>
      <c r="P48" s="187" t="s">
        <v>389</v>
      </c>
      <c r="Q48" s="187" t="s">
        <v>106</v>
      </c>
      <c r="R48" s="187" t="s">
        <v>403</v>
      </c>
      <c r="S48" s="187">
        <v>0</v>
      </c>
      <c r="T48" s="187">
        <v>0</v>
      </c>
      <c r="U48" s="187">
        <v>0</v>
      </c>
      <c r="V48" s="187">
        <v>0</v>
      </c>
      <c r="W48" s="187">
        <v>0</v>
      </c>
      <c r="X48" s="187">
        <v>3</v>
      </c>
      <c r="Y48" s="187">
        <v>0</v>
      </c>
      <c r="Z48" s="187">
        <v>0</v>
      </c>
      <c r="AA48" s="187">
        <v>0</v>
      </c>
      <c r="AB48" s="187">
        <v>0</v>
      </c>
      <c r="AC48" s="187">
        <v>0</v>
      </c>
      <c r="AD48" s="187">
        <v>3</v>
      </c>
      <c r="AE48" s="187">
        <v>0</v>
      </c>
      <c r="AF48" s="187">
        <v>0</v>
      </c>
      <c r="AG48" s="187">
        <v>0</v>
      </c>
      <c r="AH48" s="187">
        <v>0</v>
      </c>
      <c r="AI48" s="187">
        <v>0</v>
      </c>
      <c r="AJ48" s="187">
        <v>0</v>
      </c>
      <c r="AK48" s="187">
        <v>0</v>
      </c>
      <c r="AL48" s="187">
        <v>0</v>
      </c>
      <c r="AM48" s="187">
        <v>0</v>
      </c>
      <c r="AN48" s="187">
        <v>0</v>
      </c>
      <c r="AO48" s="187">
        <v>0</v>
      </c>
      <c r="AP48" s="187">
        <v>0</v>
      </c>
      <c r="AQ48" s="187">
        <v>0</v>
      </c>
      <c r="AR48" s="187">
        <v>0</v>
      </c>
      <c r="AS48" s="187">
        <v>0</v>
      </c>
      <c r="AT48" s="187">
        <v>0</v>
      </c>
      <c r="AU48" s="187" t="s">
        <v>52</v>
      </c>
      <c r="AV48" s="187" t="s">
        <v>391</v>
      </c>
      <c r="AW48" s="187" t="s">
        <v>392</v>
      </c>
      <c r="AX48" s="187" t="s">
        <v>393</v>
      </c>
      <c r="AY48" s="187">
        <v>77077</v>
      </c>
      <c r="AZ48" s="188">
        <v>48200000000</v>
      </c>
      <c r="BA48" s="187" t="s">
        <v>394</v>
      </c>
      <c r="BB48" s="187" t="s">
        <v>395</v>
      </c>
      <c r="BC48" s="187">
        <v>161370</v>
      </c>
      <c r="BD48" s="187">
        <v>2990</v>
      </c>
      <c r="BE48" s="187" t="s">
        <v>396</v>
      </c>
      <c r="BF48" s="187" t="s">
        <v>396</v>
      </c>
      <c r="BG48" s="187" t="s">
        <v>396</v>
      </c>
    </row>
    <row r="49" spans="1:59">
      <c r="A49" s="187">
        <v>154894</v>
      </c>
      <c r="B49" s="187">
        <v>16868915</v>
      </c>
      <c r="C49" s="187">
        <v>2019</v>
      </c>
      <c r="D49" s="187" t="s">
        <v>380</v>
      </c>
      <c r="E49" s="187">
        <v>21</v>
      </c>
      <c r="F49" s="187" t="s">
        <v>381</v>
      </c>
      <c r="G49" s="187" t="s">
        <v>382</v>
      </c>
      <c r="H49" s="187" t="s">
        <v>443</v>
      </c>
      <c r="I49" s="187" t="s">
        <v>409</v>
      </c>
      <c r="J49" s="187">
        <v>29.77007</v>
      </c>
      <c r="K49" s="187">
        <v>-95.606200000000001</v>
      </c>
      <c r="L49" s="187" t="s">
        <v>399</v>
      </c>
      <c r="M49" s="187" t="s">
        <v>400</v>
      </c>
      <c r="N49" s="187" t="s">
        <v>425</v>
      </c>
      <c r="O49" s="187" t="s">
        <v>388</v>
      </c>
      <c r="P49" s="187" t="s">
        <v>389</v>
      </c>
      <c r="Q49" s="187" t="s">
        <v>102</v>
      </c>
      <c r="R49" s="187" t="s">
        <v>403</v>
      </c>
      <c r="S49" s="187">
        <v>0</v>
      </c>
      <c r="T49" s="187">
        <v>0</v>
      </c>
      <c r="U49" s="187">
        <v>0</v>
      </c>
      <c r="V49" s="187">
        <v>0</v>
      </c>
      <c r="W49" s="187">
        <v>0</v>
      </c>
      <c r="X49" s="187">
        <v>1</v>
      </c>
      <c r="Y49" s="187">
        <v>2</v>
      </c>
      <c r="Z49" s="187">
        <v>0</v>
      </c>
      <c r="AA49" s="187">
        <v>0</v>
      </c>
      <c r="AB49" s="187">
        <v>0</v>
      </c>
      <c r="AC49" s="187">
        <v>0</v>
      </c>
      <c r="AD49" s="187">
        <v>1</v>
      </c>
      <c r="AE49" s="187">
        <v>0</v>
      </c>
      <c r="AF49" s="187">
        <v>2</v>
      </c>
      <c r="AG49" s="187">
        <v>0</v>
      </c>
      <c r="AH49" s="187">
        <v>0</v>
      </c>
      <c r="AI49" s="187">
        <v>0</v>
      </c>
      <c r="AJ49" s="187">
        <v>0</v>
      </c>
      <c r="AK49" s="187">
        <v>0</v>
      </c>
      <c r="AL49" s="187">
        <v>0</v>
      </c>
      <c r="AM49" s="187">
        <v>0</v>
      </c>
      <c r="AN49" s="187">
        <v>0</v>
      </c>
      <c r="AO49" s="187">
        <v>0</v>
      </c>
      <c r="AP49" s="187">
        <v>0</v>
      </c>
      <c r="AQ49" s="187">
        <v>0</v>
      </c>
      <c r="AR49" s="187">
        <v>0</v>
      </c>
      <c r="AS49" s="187">
        <v>0</v>
      </c>
      <c r="AT49" s="187">
        <v>0</v>
      </c>
      <c r="AU49" s="187" t="s">
        <v>52</v>
      </c>
      <c r="AV49" s="187" t="s">
        <v>391</v>
      </c>
      <c r="AW49" s="187" t="s">
        <v>392</v>
      </c>
      <c r="AX49" s="187" t="s">
        <v>393</v>
      </c>
      <c r="AY49" s="187">
        <v>77079</v>
      </c>
      <c r="AZ49" s="188">
        <v>48200000000</v>
      </c>
      <c r="BA49" s="187" t="s">
        <v>394</v>
      </c>
      <c r="BB49" s="187" t="s">
        <v>395</v>
      </c>
      <c r="BC49" s="187">
        <v>162030</v>
      </c>
      <c r="BD49" s="187">
        <v>2990</v>
      </c>
      <c r="BE49" s="187" t="s">
        <v>396</v>
      </c>
      <c r="BF49" s="187" t="s">
        <v>396</v>
      </c>
      <c r="BG49" s="187" t="s">
        <v>396</v>
      </c>
    </row>
    <row r="50" spans="1:59">
      <c r="A50" s="187">
        <v>161039</v>
      </c>
      <c r="B50" s="187">
        <v>16898783</v>
      </c>
      <c r="C50" s="187">
        <v>2019</v>
      </c>
      <c r="D50" s="187" t="s">
        <v>380</v>
      </c>
      <c r="E50" s="187">
        <v>18</v>
      </c>
      <c r="F50" s="187" t="s">
        <v>381</v>
      </c>
      <c r="G50" s="187" t="s">
        <v>382</v>
      </c>
      <c r="H50" s="187" t="s">
        <v>383</v>
      </c>
      <c r="I50" s="187" t="s">
        <v>415</v>
      </c>
      <c r="J50" s="187">
        <v>29.75807</v>
      </c>
      <c r="K50" s="187">
        <v>-95.606099999999998</v>
      </c>
      <c r="L50" s="187" t="s">
        <v>385</v>
      </c>
      <c r="M50" s="187" t="s">
        <v>400</v>
      </c>
      <c r="N50" s="187" t="s">
        <v>401</v>
      </c>
      <c r="O50" s="187" t="s">
        <v>388</v>
      </c>
      <c r="P50" s="187" t="s">
        <v>402</v>
      </c>
      <c r="Q50" s="187" t="s">
        <v>103</v>
      </c>
      <c r="R50" s="187" t="s">
        <v>444</v>
      </c>
      <c r="S50" s="187">
        <v>0</v>
      </c>
      <c r="T50" s="187">
        <v>0</v>
      </c>
      <c r="U50" s="187">
        <v>1</v>
      </c>
      <c r="V50" s="187">
        <v>2</v>
      </c>
      <c r="W50" s="187">
        <v>3</v>
      </c>
      <c r="X50" s="187">
        <v>0</v>
      </c>
      <c r="Y50" s="187">
        <v>0</v>
      </c>
      <c r="Z50" s="187">
        <v>0</v>
      </c>
      <c r="AA50" s="187">
        <v>0</v>
      </c>
      <c r="AB50" s="187">
        <v>1</v>
      </c>
      <c r="AC50" s="187">
        <v>2</v>
      </c>
      <c r="AD50" s="187">
        <v>0</v>
      </c>
      <c r="AE50" s="187">
        <v>3</v>
      </c>
      <c r="AF50" s="187">
        <v>0</v>
      </c>
      <c r="AG50" s="187">
        <v>0</v>
      </c>
      <c r="AH50" s="187">
        <v>0</v>
      </c>
      <c r="AI50" s="187">
        <v>0</v>
      </c>
      <c r="AJ50" s="187">
        <v>0</v>
      </c>
      <c r="AK50" s="187">
        <v>0</v>
      </c>
      <c r="AL50" s="187">
        <v>0</v>
      </c>
      <c r="AM50" s="187">
        <v>0</v>
      </c>
      <c r="AN50" s="187">
        <v>0</v>
      </c>
      <c r="AO50" s="187">
        <v>0</v>
      </c>
      <c r="AP50" s="187">
        <v>0</v>
      </c>
      <c r="AQ50" s="187">
        <v>0</v>
      </c>
      <c r="AR50" s="187">
        <v>0</v>
      </c>
      <c r="AS50" s="187">
        <v>0</v>
      </c>
      <c r="AT50" s="187">
        <v>0</v>
      </c>
      <c r="AU50" s="187" t="s">
        <v>52</v>
      </c>
      <c r="AV50" s="187" t="s">
        <v>391</v>
      </c>
      <c r="AW50" s="187" t="s">
        <v>392</v>
      </c>
      <c r="AX50" s="187" t="s">
        <v>393</v>
      </c>
      <c r="AY50" s="187">
        <v>77077</v>
      </c>
      <c r="AZ50" s="188">
        <v>48200000000</v>
      </c>
      <c r="BA50" s="187" t="s">
        <v>394</v>
      </c>
      <c r="BB50" s="187" t="s">
        <v>395</v>
      </c>
      <c r="BC50" s="187">
        <v>161590</v>
      </c>
      <c r="BD50" s="187">
        <v>2990</v>
      </c>
      <c r="BE50" s="187" t="s">
        <v>396</v>
      </c>
      <c r="BF50" s="187" t="s">
        <v>396</v>
      </c>
      <c r="BG50" s="187" t="s">
        <v>396</v>
      </c>
    </row>
    <row r="51" spans="1:59">
      <c r="A51" s="187">
        <v>167630</v>
      </c>
      <c r="B51" s="187">
        <v>16926742</v>
      </c>
      <c r="C51" s="187">
        <v>2019</v>
      </c>
      <c r="D51" s="189">
        <v>43525</v>
      </c>
      <c r="E51" s="187">
        <v>4</v>
      </c>
      <c r="F51" s="187" t="s">
        <v>397</v>
      </c>
      <c r="G51" s="187" t="s">
        <v>382</v>
      </c>
      <c r="H51" s="187" t="s">
        <v>383</v>
      </c>
      <c r="I51" s="187" t="s">
        <v>409</v>
      </c>
      <c r="J51" s="187">
        <v>29.753969999999999</v>
      </c>
      <c r="K51" s="187">
        <v>-95.606200000000001</v>
      </c>
      <c r="L51" s="187" t="s">
        <v>399</v>
      </c>
      <c r="M51" s="187" t="s">
        <v>400</v>
      </c>
      <c r="N51" s="187" t="s">
        <v>425</v>
      </c>
      <c r="O51" s="187" t="s">
        <v>388</v>
      </c>
      <c r="P51" s="187" t="s">
        <v>389</v>
      </c>
      <c r="Q51" s="187" t="s">
        <v>103</v>
      </c>
      <c r="R51" s="187" t="s">
        <v>432</v>
      </c>
      <c r="S51" s="187">
        <v>0</v>
      </c>
      <c r="T51" s="187">
        <v>0</v>
      </c>
      <c r="U51" s="187">
        <v>0</v>
      </c>
      <c r="V51" s="187">
        <v>0</v>
      </c>
      <c r="W51" s="187">
        <v>0</v>
      </c>
      <c r="X51" s="187">
        <v>2</v>
      </c>
      <c r="Y51" s="187">
        <v>0</v>
      </c>
      <c r="Z51" s="187">
        <v>0</v>
      </c>
      <c r="AA51" s="187">
        <v>0</v>
      </c>
      <c r="AB51" s="187">
        <v>0</v>
      </c>
      <c r="AC51" s="187">
        <v>0</v>
      </c>
      <c r="AD51" s="187">
        <v>2</v>
      </c>
      <c r="AE51" s="187">
        <v>0</v>
      </c>
      <c r="AF51" s="187">
        <v>0</v>
      </c>
      <c r="AG51" s="187">
        <v>0</v>
      </c>
      <c r="AH51" s="187">
        <v>0</v>
      </c>
      <c r="AI51" s="187">
        <v>0</v>
      </c>
      <c r="AJ51" s="187">
        <v>0</v>
      </c>
      <c r="AK51" s="187">
        <v>0</v>
      </c>
      <c r="AL51" s="187">
        <v>0</v>
      </c>
      <c r="AM51" s="187">
        <v>0</v>
      </c>
      <c r="AN51" s="187">
        <v>0</v>
      </c>
      <c r="AO51" s="187">
        <v>0</v>
      </c>
      <c r="AP51" s="187">
        <v>0</v>
      </c>
      <c r="AQ51" s="187">
        <v>0</v>
      </c>
      <c r="AR51" s="187">
        <v>0</v>
      </c>
      <c r="AS51" s="187">
        <v>0</v>
      </c>
      <c r="AT51" s="187">
        <v>0</v>
      </c>
      <c r="AU51" s="187" t="s">
        <v>52</v>
      </c>
      <c r="AV51" s="187" t="s">
        <v>391</v>
      </c>
      <c r="AW51" s="187" t="s">
        <v>392</v>
      </c>
      <c r="AX51" s="187" t="s">
        <v>393</v>
      </c>
      <c r="AY51" s="187">
        <v>77077</v>
      </c>
      <c r="AZ51" s="188">
        <v>48200000000</v>
      </c>
      <c r="BA51" s="187" t="s">
        <v>394</v>
      </c>
      <c r="BB51" s="187" t="s">
        <v>395</v>
      </c>
      <c r="BC51" s="187">
        <v>161370</v>
      </c>
      <c r="BD51" s="187">
        <v>2990</v>
      </c>
      <c r="BE51" s="187" t="s">
        <v>396</v>
      </c>
      <c r="BF51" s="187" t="s">
        <v>396</v>
      </c>
      <c r="BG51" s="187" t="s">
        <v>396</v>
      </c>
    </row>
    <row r="52" spans="1:59">
      <c r="A52" s="187">
        <v>169995</v>
      </c>
      <c r="B52" s="187">
        <v>16937235</v>
      </c>
      <c r="C52" s="187">
        <v>2019</v>
      </c>
      <c r="D52" s="189">
        <v>43505</v>
      </c>
      <c r="E52" s="187">
        <v>11</v>
      </c>
      <c r="F52" s="187" t="s">
        <v>426</v>
      </c>
      <c r="G52" s="187" t="s">
        <v>382</v>
      </c>
      <c r="H52" s="187" t="s">
        <v>404</v>
      </c>
      <c r="I52" s="187" t="s">
        <v>398</v>
      </c>
      <c r="J52" s="187">
        <v>29.767219999999998</v>
      </c>
      <c r="K52" s="187">
        <v>-95.606300000000005</v>
      </c>
      <c r="L52" s="187" t="s">
        <v>405</v>
      </c>
      <c r="M52" s="187" t="s">
        <v>386</v>
      </c>
      <c r="N52" s="187" t="s">
        <v>416</v>
      </c>
      <c r="O52" s="187" t="s">
        <v>388</v>
      </c>
      <c r="P52" s="187" t="s">
        <v>389</v>
      </c>
      <c r="Q52" s="187" t="s">
        <v>102</v>
      </c>
      <c r="R52" s="187" t="s">
        <v>413</v>
      </c>
      <c r="S52" s="187">
        <v>0</v>
      </c>
      <c r="T52" s="187">
        <v>0</v>
      </c>
      <c r="U52" s="187">
        <v>0</v>
      </c>
      <c r="V52" s="187">
        <v>0</v>
      </c>
      <c r="W52" s="187">
        <v>0</v>
      </c>
      <c r="X52" s="187">
        <v>2</v>
      </c>
      <c r="Y52" s="187">
        <v>0</v>
      </c>
      <c r="Z52" s="187">
        <v>0</v>
      </c>
      <c r="AA52" s="187">
        <v>0</v>
      </c>
      <c r="AB52" s="187">
        <v>0</v>
      </c>
      <c r="AC52" s="187">
        <v>0</v>
      </c>
      <c r="AD52" s="187">
        <v>2</v>
      </c>
      <c r="AE52" s="187">
        <v>0</v>
      </c>
      <c r="AF52" s="187">
        <v>0</v>
      </c>
      <c r="AG52" s="187">
        <v>0</v>
      </c>
      <c r="AH52" s="187">
        <v>0</v>
      </c>
      <c r="AI52" s="187">
        <v>0</v>
      </c>
      <c r="AJ52" s="187">
        <v>0</v>
      </c>
      <c r="AK52" s="187">
        <v>0</v>
      </c>
      <c r="AL52" s="187">
        <v>0</v>
      </c>
      <c r="AM52" s="187">
        <v>0</v>
      </c>
      <c r="AN52" s="187">
        <v>0</v>
      </c>
      <c r="AO52" s="187">
        <v>0</v>
      </c>
      <c r="AP52" s="187">
        <v>0</v>
      </c>
      <c r="AQ52" s="187">
        <v>0</v>
      </c>
      <c r="AR52" s="187">
        <v>0</v>
      </c>
      <c r="AS52" s="187">
        <v>0</v>
      </c>
      <c r="AT52" s="187">
        <v>0</v>
      </c>
      <c r="AU52" s="187" t="s">
        <v>52</v>
      </c>
      <c r="AV52" s="187" t="s">
        <v>391</v>
      </c>
      <c r="AW52" s="187" t="s">
        <v>392</v>
      </c>
      <c r="AX52" s="187" t="s">
        <v>393</v>
      </c>
      <c r="AY52" s="187">
        <v>77079</v>
      </c>
      <c r="AZ52" s="188">
        <v>48200000000</v>
      </c>
      <c r="BA52" s="187" t="s">
        <v>394</v>
      </c>
      <c r="BB52" s="187" t="s">
        <v>395</v>
      </c>
      <c r="BC52" s="187">
        <v>161810</v>
      </c>
      <c r="BD52" s="187">
        <v>2990</v>
      </c>
      <c r="BE52" s="187" t="s">
        <v>396</v>
      </c>
      <c r="BF52" s="187" t="s">
        <v>396</v>
      </c>
      <c r="BG52" s="187" t="s">
        <v>396</v>
      </c>
    </row>
    <row r="53" spans="1:59">
      <c r="A53" s="187">
        <v>170963</v>
      </c>
      <c r="B53" s="187">
        <v>16941181</v>
      </c>
      <c r="C53" s="187">
        <v>2019</v>
      </c>
      <c r="D53" s="189">
        <v>43532</v>
      </c>
      <c r="E53" s="187">
        <v>7</v>
      </c>
      <c r="F53" s="187" t="s">
        <v>397</v>
      </c>
      <c r="G53" s="187" t="s">
        <v>382</v>
      </c>
      <c r="H53" s="187" t="s">
        <v>404</v>
      </c>
      <c r="I53" s="187" t="s">
        <v>422</v>
      </c>
      <c r="J53" s="187">
        <v>29.766670000000001</v>
      </c>
      <c r="K53" s="187">
        <v>-95.606300000000005</v>
      </c>
      <c r="L53" s="187" t="s">
        <v>405</v>
      </c>
      <c r="M53" s="187" t="s">
        <v>386</v>
      </c>
      <c r="N53" s="187" t="s">
        <v>406</v>
      </c>
      <c r="O53" s="187" t="s">
        <v>388</v>
      </c>
      <c r="P53" s="187" t="s">
        <v>420</v>
      </c>
      <c r="Q53" s="187" t="s">
        <v>103</v>
      </c>
      <c r="R53" s="187" t="s">
        <v>407</v>
      </c>
      <c r="S53" s="187">
        <v>0</v>
      </c>
      <c r="T53" s="187">
        <v>1</v>
      </c>
      <c r="U53" s="187">
        <v>0</v>
      </c>
      <c r="V53" s="187">
        <v>0</v>
      </c>
      <c r="W53" s="187">
        <v>1</v>
      </c>
      <c r="X53" s="187">
        <v>1</v>
      </c>
      <c r="Y53" s="187">
        <v>0</v>
      </c>
      <c r="Z53" s="187">
        <v>0</v>
      </c>
      <c r="AA53" s="187">
        <v>1</v>
      </c>
      <c r="AB53" s="187">
        <v>0</v>
      </c>
      <c r="AC53" s="187">
        <v>0</v>
      </c>
      <c r="AD53" s="187">
        <v>1</v>
      </c>
      <c r="AE53" s="187">
        <v>1</v>
      </c>
      <c r="AF53" s="187">
        <v>0</v>
      </c>
      <c r="AG53" s="187">
        <v>0</v>
      </c>
      <c r="AH53" s="187">
        <v>0</v>
      </c>
      <c r="AI53" s="187">
        <v>0</v>
      </c>
      <c r="AJ53" s="187">
        <v>0</v>
      </c>
      <c r="AK53" s="187">
        <v>0</v>
      </c>
      <c r="AL53" s="187">
        <v>0</v>
      </c>
      <c r="AM53" s="187">
        <v>0</v>
      </c>
      <c r="AN53" s="187">
        <v>0</v>
      </c>
      <c r="AO53" s="187">
        <v>0</v>
      </c>
      <c r="AP53" s="187">
        <v>0</v>
      </c>
      <c r="AQ53" s="187">
        <v>0</v>
      </c>
      <c r="AR53" s="187">
        <v>0</v>
      </c>
      <c r="AS53" s="187">
        <v>0</v>
      </c>
      <c r="AT53" s="187">
        <v>0</v>
      </c>
      <c r="AU53" s="187" t="s">
        <v>52</v>
      </c>
      <c r="AV53" s="187" t="s">
        <v>391</v>
      </c>
      <c r="AW53" s="187" t="s">
        <v>392</v>
      </c>
      <c r="AX53" s="187" t="s">
        <v>393</v>
      </c>
      <c r="AY53" s="187">
        <v>77079</v>
      </c>
      <c r="AZ53" s="188">
        <v>48200000000</v>
      </c>
      <c r="BA53" s="187" t="s">
        <v>394</v>
      </c>
      <c r="BB53" s="187" t="s">
        <v>395</v>
      </c>
      <c r="BC53" s="187">
        <v>161810</v>
      </c>
      <c r="BD53" s="187">
        <v>2990</v>
      </c>
      <c r="BE53" s="187" t="s">
        <v>396</v>
      </c>
      <c r="BF53" s="187" t="s">
        <v>396</v>
      </c>
      <c r="BG53" s="187" t="s">
        <v>396</v>
      </c>
    </row>
    <row r="54" spans="1:59">
      <c r="A54" s="187">
        <v>171045</v>
      </c>
      <c r="B54" s="187">
        <v>16941553</v>
      </c>
      <c r="C54" s="187">
        <v>2019</v>
      </c>
      <c r="D54" s="189">
        <v>43530</v>
      </c>
      <c r="E54" s="187">
        <v>7</v>
      </c>
      <c r="F54" s="187" t="s">
        <v>414</v>
      </c>
      <c r="G54" s="187" t="s">
        <v>382</v>
      </c>
      <c r="H54" s="187" t="s">
        <v>419</v>
      </c>
      <c r="I54" s="187" t="s">
        <v>422</v>
      </c>
      <c r="J54" s="187">
        <v>29.753969999999999</v>
      </c>
      <c r="K54" s="187">
        <v>-95.606300000000005</v>
      </c>
      <c r="L54" s="187" t="s">
        <v>385</v>
      </c>
      <c r="M54" s="187" t="s">
        <v>386</v>
      </c>
      <c r="N54" s="187" t="s">
        <v>425</v>
      </c>
      <c r="O54" s="187" t="s">
        <v>388</v>
      </c>
      <c r="P54" s="187" t="s">
        <v>342</v>
      </c>
      <c r="Q54" s="187" t="s">
        <v>102</v>
      </c>
      <c r="R54" s="187" t="s">
        <v>403</v>
      </c>
      <c r="S54" s="187">
        <v>0</v>
      </c>
      <c r="T54" s="187">
        <v>0</v>
      </c>
      <c r="U54" s="187">
        <v>0</v>
      </c>
      <c r="V54" s="187">
        <v>1</v>
      </c>
      <c r="W54" s="187">
        <v>1</v>
      </c>
      <c r="X54" s="187">
        <v>1</v>
      </c>
      <c r="Y54" s="187">
        <v>0</v>
      </c>
      <c r="Z54" s="187">
        <v>0</v>
      </c>
      <c r="AA54" s="187">
        <v>0</v>
      </c>
      <c r="AB54" s="187">
        <v>0</v>
      </c>
      <c r="AC54" s="187">
        <v>1</v>
      </c>
      <c r="AD54" s="187">
        <v>1</v>
      </c>
      <c r="AE54" s="187">
        <v>1</v>
      </c>
      <c r="AF54" s="187">
        <v>0</v>
      </c>
      <c r="AG54" s="187">
        <v>0</v>
      </c>
      <c r="AH54" s="187">
        <v>0</v>
      </c>
      <c r="AI54" s="187">
        <v>0</v>
      </c>
      <c r="AJ54" s="187">
        <v>0</v>
      </c>
      <c r="AK54" s="187">
        <v>0</v>
      </c>
      <c r="AL54" s="187">
        <v>0</v>
      </c>
      <c r="AM54" s="187">
        <v>0</v>
      </c>
      <c r="AN54" s="187">
        <v>0</v>
      </c>
      <c r="AO54" s="187">
        <v>0</v>
      </c>
      <c r="AP54" s="187">
        <v>0</v>
      </c>
      <c r="AQ54" s="187">
        <v>0</v>
      </c>
      <c r="AR54" s="187">
        <v>0</v>
      </c>
      <c r="AS54" s="187">
        <v>0</v>
      </c>
      <c r="AT54" s="187">
        <v>0</v>
      </c>
      <c r="AU54" s="187" t="s">
        <v>52</v>
      </c>
      <c r="AV54" s="187" t="s">
        <v>391</v>
      </c>
      <c r="AW54" s="187" t="s">
        <v>392</v>
      </c>
      <c r="AX54" s="187" t="s">
        <v>393</v>
      </c>
      <c r="AY54" s="187">
        <v>77077</v>
      </c>
      <c r="AZ54" s="188">
        <v>48200000000</v>
      </c>
      <c r="BA54" s="187" t="s">
        <v>394</v>
      </c>
      <c r="BB54" s="187" t="s">
        <v>395</v>
      </c>
      <c r="BC54" s="187">
        <v>161370</v>
      </c>
      <c r="BD54" s="187">
        <v>2990</v>
      </c>
      <c r="BE54" s="187" t="s">
        <v>396</v>
      </c>
      <c r="BF54" s="187" t="s">
        <v>396</v>
      </c>
      <c r="BG54" s="187" t="s">
        <v>396</v>
      </c>
    </row>
    <row r="55" spans="1:59">
      <c r="A55" s="187">
        <v>171062</v>
      </c>
      <c r="B55" s="187">
        <v>16941640</v>
      </c>
      <c r="C55" s="187">
        <v>2019</v>
      </c>
      <c r="D55" s="189">
        <v>43532</v>
      </c>
      <c r="E55" s="187">
        <v>8</v>
      </c>
      <c r="F55" s="187" t="s">
        <v>397</v>
      </c>
      <c r="G55" s="187" t="s">
        <v>382</v>
      </c>
      <c r="H55" s="187" t="s">
        <v>408</v>
      </c>
      <c r="I55" s="187" t="s">
        <v>415</v>
      </c>
      <c r="J55" s="187">
        <v>29.770060000000001</v>
      </c>
      <c r="K55" s="187">
        <v>-95.606300000000005</v>
      </c>
      <c r="L55" s="187" t="s">
        <v>405</v>
      </c>
      <c r="M55" s="187" t="s">
        <v>386</v>
      </c>
      <c r="N55" s="187" t="s">
        <v>445</v>
      </c>
      <c r="O55" s="187" t="s">
        <v>388</v>
      </c>
      <c r="P55" s="187" t="s">
        <v>342</v>
      </c>
      <c r="Q55" s="187" t="s">
        <v>103</v>
      </c>
      <c r="R55" s="187" t="s">
        <v>410</v>
      </c>
      <c r="S55" s="187">
        <v>0</v>
      </c>
      <c r="T55" s="187">
        <v>0</v>
      </c>
      <c r="U55" s="187">
        <v>0</v>
      </c>
      <c r="V55" s="187">
        <v>1</v>
      </c>
      <c r="W55" s="187">
        <v>1</v>
      </c>
      <c r="X55" s="187">
        <v>1</v>
      </c>
      <c r="Y55" s="187">
        <v>0</v>
      </c>
      <c r="Z55" s="187">
        <v>0</v>
      </c>
      <c r="AA55" s="187">
        <v>0</v>
      </c>
      <c r="AB55" s="187">
        <v>0</v>
      </c>
      <c r="AC55" s="187">
        <v>1</v>
      </c>
      <c r="AD55" s="187">
        <v>1</v>
      </c>
      <c r="AE55" s="187">
        <v>1</v>
      </c>
      <c r="AF55" s="187">
        <v>0</v>
      </c>
      <c r="AG55" s="187">
        <v>0</v>
      </c>
      <c r="AH55" s="187">
        <v>0</v>
      </c>
      <c r="AI55" s="187">
        <v>0</v>
      </c>
      <c r="AJ55" s="187">
        <v>0</v>
      </c>
      <c r="AK55" s="187">
        <v>0</v>
      </c>
      <c r="AL55" s="187">
        <v>0</v>
      </c>
      <c r="AM55" s="187">
        <v>0</v>
      </c>
      <c r="AN55" s="187">
        <v>0</v>
      </c>
      <c r="AO55" s="187">
        <v>0</v>
      </c>
      <c r="AP55" s="187">
        <v>0</v>
      </c>
      <c r="AQ55" s="187">
        <v>0</v>
      </c>
      <c r="AR55" s="187">
        <v>0</v>
      </c>
      <c r="AS55" s="187">
        <v>0</v>
      </c>
      <c r="AT55" s="187">
        <v>0</v>
      </c>
      <c r="AU55" s="187" t="s">
        <v>52</v>
      </c>
      <c r="AV55" s="187" t="s">
        <v>391</v>
      </c>
      <c r="AW55" s="187" t="s">
        <v>392</v>
      </c>
      <c r="AX55" s="187" t="s">
        <v>393</v>
      </c>
      <c r="AY55" s="187">
        <v>77079</v>
      </c>
      <c r="AZ55" s="188">
        <v>48200000000</v>
      </c>
      <c r="BA55" s="187" t="s">
        <v>394</v>
      </c>
      <c r="BB55" s="187" t="s">
        <v>395</v>
      </c>
      <c r="BC55" s="187">
        <v>162030</v>
      </c>
      <c r="BD55" s="187">
        <v>2990</v>
      </c>
      <c r="BE55" s="187" t="s">
        <v>396</v>
      </c>
      <c r="BF55" s="187" t="s">
        <v>437</v>
      </c>
      <c r="BG55" s="187" t="s">
        <v>396</v>
      </c>
    </row>
    <row r="56" spans="1:59">
      <c r="A56" s="187">
        <v>171316</v>
      </c>
      <c r="B56" s="187">
        <v>16943138</v>
      </c>
      <c r="C56" s="187">
        <v>2019</v>
      </c>
      <c r="D56" s="189">
        <v>43533</v>
      </c>
      <c r="E56" s="187">
        <v>17</v>
      </c>
      <c r="F56" s="187" t="s">
        <v>426</v>
      </c>
      <c r="G56" s="187" t="s">
        <v>382</v>
      </c>
      <c r="H56" s="187" t="s">
        <v>404</v>
      </c>
      <c r="I56" s="187" t="s">
        <v>398</v>
      </c>
      <c r="J56" s="187">
        <v>29.768249999999998</v>
      </c>
      <c r="K56" s="187">
        <v>-95.606300000000005</v>
      </c>
      <c r="L56" s="187" t="s">
        <v>385</v>
      </c>
      <c r="M56" s="187" t="s">
        <v>386</v>
      </c>
      <c r="N56" s="187" t="s">
        <v>425</v>
      </c>
      <c r="O56" s="187" t="s">
        <v>388</v>
      </c>
      <c r="P56" s="187" t="s">
        <v>402</v>
      </c>
      <c r="Q56" s="187" t="s">
        <v>103</v>
      </c>
      <c r="R56" s="187" t="s">
        <v>403</v>
      </c>
      <c r="S56" s="187">
        <v>0</v>
      </c>
      <c r="T56" s="187">
        <v>0</v>
      </c>
      <c r="U56" s="187">
        <v>1</v>
      </c>
      <c r="V56" s="187">
        <v>0</v>
      </c>
      <c r="W56" s="187">
        <v>1</v>
      </c>
      <c r="X56" s="187">
        <v>4</v>
      </c>
      <c r="Y56" s="187">
        <v>0</v>
      </c>
      <c r="Z56" s="187">
        <v>0</v>
      </c>
      <c r="AA56" s="187">
        <v>0</v>
      </c>
      <c r="AB56" s="187">
        <v>1</v>
      </c>
      <c r="AC56" s="187">
        <v>0</v>
      </c>
      <c r="AD56" s="187">
        <v>4</v>
      </c>
      <c r="AE56" s="187">
        <v>1</v>
      </c>
      <c r="AF56" s="187">
        <v>0</v>
      </c>
      <c r="AG56" s="187">
        <v>0</v>
      </c>
      <c r="AH56" s="187">
        <v>0</v>
      </c>
      <c r="AI56" s="187">
        <v>0</v>
      </c>
      <c r="AJ56" s="187">
        <v>0</v>
      </c>
      <c r="AK56" s="187">
        <v>0</v>
      </c>
      <c r="AL56" s="187">
        <v>0</v>
      </c>
      <c r="AM56" s="187">
        <v>0</v>
      </c>
      <c r="AN56" s="187">
        <v>0</v>
      </c>
      <c r="AO56" s="187">
        <v>0</v>
      </c>
      <c r="AP56" s="187">
        <v>0</v>
      </c>
      <c r="AQ56" s="187">
        <v>0</v>
      </c>
      <c r="AR56" s="187">
        <v>0</v>
      </c>
      <c r="AS56" s="187">
        <v>0</v>
      </c>
      <c r="AT56" s="187">
        <v>0</v>
      </c>
      <c r="AU56" s="187" t="s">
        <v>52</v>
      </c>
      <c r="AV56" s="187" t="s">
        <v>391</v>
      </c>
      <c r="AW56" s="187" t="s">
        <v>392</v>
      </c>
      <c r="AX56" s="187" t="s">
        <v>393</v>
      </c>
      <c r="AY56" s="187">
        <v>77079</v>
      </c>
      <c r="AZ56" s="188">
        <v>48200000000</v>
      </c>
      <c r="BA56" s="187" t="s">
        <v>394</v>
      </c>
      <c r="BB56" s="187" t="s">
        <v>395</v>
      </c>
      <c r="BC56" s="187">
        <v>161810</v>
      </c>
      <c r="BD56" s="187">
        <v>2990</v>
      </c>
      <c r="BE56" s="187" t="s">
        <v>396</v>
      </c>
      <c r="BF56" s="187" t="s">
        <v>396</v>
      </c>
      <c r="BG56" s="187" t="s">
        <v>396</v>
      </c>
    </row>
    <row r="57" spans="1:59">
      <c r="A57" s="187">
        <v>179519</v>
      </c>
      <c r="B57" s="187">
        <v>16981619</v>
      </c>
      <c r="C57" s="187">
        <v>2019</v>
      </c>
      <c r="D57" s="189">
        <v>43556</v>
      </c>
      <c r="E57" s="187">
        <v>14</v>
      </c>
      <c r="F57" s="187" t="s">
        <v>411</v>
      </c>
      <c r="G57" s="187" t="s">
        <v>382</v>
      </c>
      <c r="H57" s="187" t="s">
        <v>419</v>
      </c>
      <c r="I57" s="187" t="s">
        <v>409</v>
      </c>
      <c r="J57" s="187">
        <v>29.753979999999999</v>
      </c>
      <c r="K57" s="187">
        <v>-95.605999999999995</v>
      </c>
      <c r="L57" s="187" t="s">
        <v>405</v>
      </c>
      <c r="M57" s="187" t="s">
        <v>386</v>
      </c>
      <c r="N57" s="187" t="s">
        <v>425</v>
      </c>
      <c r="O57" s="187" t="s">
        <v>388</v>
      </c>
      <c r="P57" s="187" t="s">
        <v>389</v>
      </c>
      <c r="Q57" s="187" t="s">
        <v>102</v>
      </c>
      <c r="R57" s="187" t="s">
        <v>434</v>
      </c>
      <c r="S57" s="187">
        <v>0</v>
      </c>
      <c r="T57" s="187">
        <v>0</v>
      </c>
      <c r="U57" s="187">
        <v>0</v>
      </c>
      <c r="V57" s="187">
        <v>0</v>
      </c>
      <c r="W57" s="187">
        <v>0</v>
      </c>
      <c r="X57" s="187">
        <v>2</v>
      </c>
      <c r="Y57" s="187">
        <v>0</v>
      </c>
      <c r="Z57" s="187">
        <v>0</v>
      </c>
      <c r="AA57" s="187">
        <v>0</v>
      </c>
      <c r="AB57" s="187">
        <v>0</v>
      </c>
      <c r="AC57" s="187">
        <v>0</v>
      </c>
      <c r="AD57" s="187">
        <v>2</v>
      </c>
      <c r="AE57" s="187">
        <v>0</v>
      </c>
      <c r="AF57" s="187">
        <v>0</v>
      </c>
      <c r="AG57" s="187">
        <v>0</v>
      </c>
      <c r="AH57" s="187">
        <v>0</v>
      </c>
      <c r="AI57" s="187">
        <v>0</v>
      </c>
      <c r="AJ57" s="187">
        <v>0</v>
      </c>
      <c r="AK57" s="187">
        <v>0</v>
      </c>
      <c r="AL57" s="187">
        <v>0</v>
      </c>
      <c r="AM57" s="187">
        <v>0</v>
      </c>
      <c r="AN57" s="187">
        <v>0</v>
      </c>
      <c r="AO57" s="187">
        <v>0</v>
      </c>
      <c r="AP57" s="187">
        <v>0</v>
      </c>
      <c r="AQ57" s="187">
        <v>0</v>
      </c>
      <c r="AR57" s="187">
        <v>0</v>
      </c>
      <c r="AS57" s="187">
        <v>0</v>
      </c>
      <c r="AT57" s="187">
        <v>0</v>
      </c>
      <c r="AU57" s="187" t="s">
        <v>52</v>
      </c>
      <c r="AV57" s="187" t="s">
        <v>391</v>
      </c>
      <c r="AW57" s="187" t="s">
        <v>392</v>
      </c>
      <c r="AX57" s="187" t="s">
        <v>393</v>
      </c>
      <c r="AY57" s="187">
        <v>77077</v>
      </c>
      <c r="AZ57" s="188">
        <v>48200000000</v>
      </c>
      <c r="BA57" s="187" t="s">
        <v>394</v>
      </c>
      <c r="BB57" s="187" t="s">
        <v>395</v>
      </c>
      <c r="BC57" s="187">
        <v>161370</v>
      </c>
      <c r="BD57" s="187">
        <v>2990</v>
      </c>
      <c r="BE57" s="187" t="s">
        <v>396</v>
      </c>
      <c r="BF57" s="187" t="s">
        <v>396</v>
      </c>
      <c r="BG57" s="187" t="s">
        <v>396</v>
      </c>
    </row>
    <row r="58" spans="1:59">
      <c r="A58" s="187">
        <v>184635</v>
      </c>
      <c r="B58" s="187">
        <v>17009008</v>
      </c>
      <c r="C58" s="187">
        <v>2019</v>
      </c>
      <c r="D58" s="187" t="s">
        <v>380</v>
      </c>
      <c r="E58" s="187">
        <v>15</v>
      </c>
      <c r="F58" s="187" t="s">
        <v>421</v>
      </c>
      <c r="G58" s="187" t="s">
        <v>382</v>
      </c>
      <c r="H58" s="187" t="s">
        <v>419</v>
      </c>
      <c r="I58" s="187" t="s">
        <v>384</v>
      </c>
      <c r="J58" s="187">
        <v>29.753979999999999</v>
      </c>
      <c r="K58" s="187">
        <v>-95.605900000000005</v>
      </c>
      <c r="L58" s="187" t="s">
        <v>399</v>
      </c>
      <c r="M58" s="187" t="s">
        <v>386</v>
      </c>
      <c r="N58" s="187" t="s">
        <v>425</v>
      </c>
      <c r="O58" s="187" t="s">
        <v>388</v>
      </c>
      <c r="P58" s="187" t="s">
        <v>389</v>
      </c>
      <c r="Q58" s="187" t="s">
        <v>106</v>
      </c>
      <c r="R58" s="187" t="s">
        <v>403</v>
      </c>
      <c r="S58" s="187">
        <v>0</v>
      </c>
      <c r="T58" s="187">
        <v>0</v>
      </c>
      <c r="U58" s="187">
        <v>0</v>
      </c>
      <c r="V58" s="187">
        <v>0</v>
      </c>
      <c r="W58" s="187">
        <v>0</v>
      </c>
      <c r="X58" s="187">
        <v>3</v>
      </c>
      <c r="Y58" s="187">
        <v>0</v>
      </c>
      <c r="Z58" s="187">
        <v>0</v>
      </c>
      <c r="AA58" s="187">
        <v>0</v>
      </c>
      <c r="AB58" s="187">
        <v>0</v>
      </c>
      <c r="AC58" s="187">
        <v>0</v>
      </c>
      <c r="AD58" s="187">
        <v>3</v>
      </c>
      <c r="AE58" s="187">
        <v>0</v>
      </c>
      <c r="AF58" s="187">
        <v>0</v>
      </c>
      <c r="AG58" s="187">
        <v>0</v>
      </c>
      <c r="AH58" s="187">
        <v>0</v>
      </c>
      <c r="AI58" s="187">
        <v>0</v>
      </c>
      <c r="AJ58" s="187">
        <v>0</v>
      </c>
      <c r="AK58" s="187">
        <v>0</v>
      </c>
      <c r="AL58" s="187">
        <v>0</v>
      </c>
      <c r="AM58" s="187">
        <v>0</v>
      </c>
      <c r="AN58" s="187">
        <v>0</v>
      </c>
      <c r="AO58" s="187">
        <v>0</v>
      </c>
      <c r="AP58" s="187">
        <v>0</v>
      </c>
      <c r="AQ58" s="187">
        <v>0</v>
      </c>
      <c r="AR58" s="187">
        <v>0</v>
      </c>
      <c r="AS58" s="187">
        <v>0</v>
      </c>
      <c r="AT58" s="187">
        <v>0</v>
      </c>
      <c r="AU58" s="187" t="s">
        <v>52</v>
      </c>
      <c r="AV58" s="187" t="s">
        <v>391</v>
      </c>
      <c r="AW58" s="187" t="s">
        <v>392</v>
      </c>
      <c r="AX58" s="187" t="s">
        <v>393</v>
      </c>
      <c r="AY58" s="187">
        <v>77077</v>
      </c>
      <c r="AZ58" s="188">
        <v>48200000000</v>
      </c>
      <c r="BA58" s="187" t="s">
        <v>394</v>
      </c>
      <c r="BB58" s="187" t="s">
        <v>395</v>
      </c>
      <c r="BC58" s="187">
        <v>161370</v>
      </c>
      <c r="BD58" s="187">
        <v>2990</v>
      </c>
      <c r="BE58" s="187" t="s">
        <v>396</v>
      </c>
      <c r="BF58" s="187" t="s">
        <v>396</v>
      </c>
      <c r="BG58" s="187" t="s">
        <v>396</v>
      </c>
    </row>
    <row r="59" spans="1:59">
      <c r="A59" s="187">
        <v>186070</v>
      </c>
      <c r="B59" s="187">
        <v>17015746</v>
      </c>
      <c r="C59" s="187">
        <v>2019</v>
      </c>
      <c r="D59" s="187" t="s">
        <v>380</v>
      </c>
      <c r="E59" s="187">
        <v>18</v>
      </c>
      <c r="F59" s="187" t="s">
        <v>421</v>
      </c>
      <c r="G59" s="187" t="s">
        <v>382</v>
      </c>
      <c r="H59" s="187" t="s">
        <v>404</v>
      </c>
      <c r="I59" s="187" t="s">
        <v>415</v>
      </c>
      <c r="J59" s="187">
        <v>29.76952</v>
      </c>
      <c r="K59" s="187">
        <v>-95.606300000000005</v>
      </c>
      <c r="L59" s="187" t="s">
        <v>405</v>
      </c>
      <c r="M59" s="187" t="s">
        <v>386</v>
      </c>
      <c r="N59" s="187" t="s">
        <v>418</v>
      </c>
      <c r="O59" s="187" t="s">
        <v>388</v>
      </c>
      <c r="P59" s="187" t="s">
        <v>389</v>
      </c>
      <c r="Q59" s="187" t="s">
        <v>102</v>
      </c>
      <c r="R59" s="187" t="s">
        <v>403</v>
      </c>
      <c r="S59" s="187">
        <v>0</v>
      </c>
      <c r="T59" s="187">
        <v>0</v>
      </c>
      <c r="U59" s="187">
        <v>0</v>
      </c>
      <c r="V59" s="187">
        <v>0</v>
      </c>
      <c r="W59" s="187">
        <v>0</v>
      </c>
      <c r="X59" s="187">
        <v>1</v>
      </c>
      <c r="Y59" s="187">
        <v>1</v>
      </c>
      <c r="Z59" s="187">
        <v>0</v>
      </c>
      <c r="AA59" s="187">
        <v>0</v>
      </c>
      <c r="AB59" s="187">
        <v>0</v>
      </c>
      <c r="AC59" s="187">
        <v>0</v>
      </c>
      <c r="AD59" s="187">
        <v>1</v>
      </c>
      <c r="AE59" s="187">
        <v>0</v>
      </c>
      <c r="AF59" s="187">
        <v>1</v>
      </c>
      <c r="AG59" s="187">
        <v>0</v>
      </c>
      <c r="AH59" s="187">
        <v>0</v>
      </c>
      <c r="AI59" s="187">
        <v>0</v>
      </c>
      <c r="AJ59" s="187">
        <v>0</v>
      </c>
      <c r="AK59" s="187">
        <v>0</v>
      </c>
      <c r="AL59" s="187">
        <v>0</v>
      </c>
      <c r="AM59" s="187">
        <v>0</v>
      </c>
      <c r="AN59" s="187">
        <v>0</v>
      </c>
      <c r="AO59" s="187">
        <v>0</v>
      </c>
      <c r="AP59" s="187">
        <v>0</v>
      </c>
      <c r="AQ59" s="187">
        <v>0</v>
      </c>
      <c r="AR59" s="187">
        <v>0</v>
      </c>
      <c r="AS59" s="187">
        <v>0</v>
      </c>
      <c r="AT59" s="187">
        <v>0</v>
      </c>
      <c r="AU59" s="187" t="s">
        <v>52</v>
      </c>
      <c r="AV59" s="187" t="s">
        <v>391</v>
      </c>
      <c r="AW59" s="187" t="s">
        <v>392</v>
      </c>
      <c r="AX59" s="187" t="s">
        <v>393</v>
      </c>
      <c r="AY59" s="187">
        <v>77079</v>
      </c>
      <c r="AZ59" s="188">
        <v>48200000000</v>
      </c>
      <c r="BA59" s="187" t="s">
        <v>394</v>
      </c>
      <c r="BB59" s="187" t="s">
        <v>395</v>
      </c>
      <c r="BC59" s="187">
        <v>162030</v>
      </c>
      <c r="BD59" s="187">
        <v>2990</v>
      </c>
      <c r="BE59" s="187" t="s">
        <v>396</v>
      </c>
      <c r="BF59" s="187" t="s">
        <v>396</v>
      </c>
      <c r="BG59" s="187" t="s">
        <v>396</v>
      </c>
    </row>
    <row r="60" spans="1:59">
      <c r="A60" s="187">
        <v>190347</v>
      </c>
      <c r="B60" s="187">
        <v>17034828</v>
      </c>
      <c r="C60" s="187">
        <v>2019</v>
      </c>
      <c r="D60" s="187" t="s">
        <v>380</v>
      </c>
      <c r="E60" s="187">
        <v>11</v>
      </c>
      <c r="F60" s="187" t="s">
        <v>397</v>
      </c>
      <c r="G60" s="187" t="s">
        <v>382</v>
      </c>
      <c r="H60" s="187" t="s">
        <v>383</v>
      </c>
      <c r="I60" s="187" t="s">
        <v>384</v>
      </c>
      <c r="J60" s="187">
        <v>29.754110000000001</v>
      </c>
      <c r="K60" s="187">
        <v>-95.606200000000001</v>
      </c>
      <c r="L60" s="187" t="s">
        <v>385</v>
      </c>
      <c r="M60" s="187" t="s">
        <v>386</v>
      </c>
      <c r="N60" s="187" t="s">
        <v>418</v>
      </c>
      <c r="O60" s="187" t="s">
        <v>388</v>
      </c>
      <c r="P60" s="187" t="s">
        <v>389</v>
      </c>
      <c r="Q60" s="187" t="s">
        <v>105</v>
      </c>
      <c r="R60" s="187" t="s">
        <v>444</v>
      </c>
      <c r="S60" s="187">
        <v>0</v>
      </c>
      <c r="T60" s="187">
        <v>0</v>
      </c>
      <c r="U60" s="187">
        <v>0</v>
      </c>
      <c r="V60" s="187">
        <v>0</v>
      </c>
      <c r="W60" s="187">
        <v>0</v>
      </c>
      <c r="X60" s="187">
        <v>1</v>
      </c>
      <c r="Y60" s="187">
        <v>1</v>
      </c>
      <c r="Z60" s="187">
        <v>0</v>
      </c>
      <c r="AA60" s="187">
        <v>0</v>
      </c>
      <c r="AB60" s="187">
        <v>0</v>
      </c>
      <c r="AC60" s="187">
        <v>0</v>
      </c>
      <c r="AD60" s="187">
        <v>1</v>
      </c>
      <c r="AE60" s="187">
        <v>0</v>
      </c>
      <c r="AF60" s="187">
        <v>1</v>
      </c>
      <c r="AG60" s="187">
        <v>0</v>
      </c>
      <c r="AH60" s="187">
        <v>0</v>
      </c>
      <c r="AI60" s="187">
        <v>0</v>
      </c>
      <c r="AJ60" s="187">
        <v>0</v>
      </c>
      <c r="AK60" s="187">
        <v>0</v>
      </c>
      <c r="AL60" s="187">
        <v>0</v>
      </c>
      <c r="AM60" s="187">
        <v>0</v>
      </c>
      <c r="AN60" s="187">
        <v>0</v>
      </c>
      <c r="AO60" s="187">
        <v>0</v>
      </c>
      <c r="AP60" s="187">
        <v>0</v>
      </c>
      <c r="AQ60" s="187">
        <v>0</v>
      </c>
      <c r="AR60" s="187">
        <v>0</v>
      </c>
      <c r="AS60" s="187">
        <v>0</v>
      </c>
      <c r="AT60" s="187">
        <v>0</v>
      </c>
      <c r="AU60" s="187" t="s">
        <v>52</v>
      </c>
      <c r="AV60" s="187" t="s">
        <v>391</v>
      </c>
      <c r="AW60" s="187" t="s">
        <v>392</v>
      </c>
      <c r="AX60" s="187" t="s">
        <v>393</v>
      </c>
      <c r="AY60" s="187">
        <v>77077</v>
      </c>
      <c r="AZ60" s="188">
        <v>48200000000</v>
      </c>
      <c r="BA60" s="187" t="s">
        <v>394</v>
      </c>
      <c r="BB60" s="187" t="s">
        <v>395</v>
      </c>
      <c r="BC60" s="187">
        <v>161370</v>
      </c>
      <c r="BD60" s="187">
        <v>2990</v>
      </c>
      <c r="BE60" s="187" t="s">
        <v>396</v>
      </c>
      <c r="BF60" s="187" t="s">
        <v>396</v>
      </c>
      <c r="BG60" s="187" t="s">
        <v>396</v>
      </c>
    </row>
    <row r="61" spans="1:59">
      <c r="A61" s="187">
        <v>192582</v>
      </c>
      <c r="B61" s="187">
        <v>17045583</v>
      </c>
      <c r="C61" s="187">
        <v>2019</v>
      </c>
      <c r="D61" s="187" t="s">
        <v>380</v>
      </c>
      <c r="E61" s="187">
        <v>0</v>
      </c>
      <c r="F61" s="187" t="s">
        <v>411</v>
      </c>
      <c r="G61" s="187" t="s">
        <v>382</v>
      </c>
      <c r="H61" s="187" t="s">
        <v>404</v>
      </c>
      <c r="I61" s="187" t="s">
        <v>446</v>
      </c>
      <c r="J61" s="187">
        <v>29.76952</v>
      </c>
      <c r="K61" s="187">
        <v>-95.606300000000005</v>
      </c>
      <c r="L61" s="187" t="s">
        <v>385</v>
      </c>
      <c r="M61" s="187" t="s">
        <v>400</v>
      </c>
      <c r="N61" s="187" t="s">
        <v>425</v>
      </c>
      <c r="O61" s="187" t="s">
        <v>388</v>
      </c>
      <c r="P61" s="187" t="s">
        <v>389</v>
      </c>
      <c r="Q61" s="187" t="s">
        <v>102</v>
      </c>
      <c r="R61" s="187" t="s">
        <v>447</v>
      </c>
      <c r="S61" s="187">
        <v>0</v>
      </c>
      <c r="T61" s="187">
        <v>0</v>
      </c>
      <c r="U61" s="187">
        <v>0</v>
      </c>
      <c r="V61" s="187">
        <v>0</v>
      </c>
      <c r="W61" s="187">
        <v>0</v>
      </c>
      <c r="X61" s="187">
        <v>1</v>
      </c>
      <c r="Y61" s="187">
        <v>1</v>
      </c>
      <c r="Z61" s="187">
        <v>0</v>
      </c>
      <c r="AA61" s="187">
        <v>0</v>
      </c>
      <c r="AB61" s="187">
        <v>0</v>
      </c>
      <c r="AC61" s="187">
        <v>0</v>
      </c>
      <c r="AD61" s="187">
        <v>1</v>
      </c>
      <c r="AE61" s="187">
        <v>0</v>
      </c>
      <c r="AF61" s="187">
        <v>1</v>
      </c>
      <c r="AG61" s="187">
        <v>0</v>
      </c>
      <c r="AH61" s="187">
        <v>0</v>
      </c>
      <c r="AI61" s="187">
        <v>0</v>
      </c>
      <c r="AJ61" s="187">
        <v>0</v>
      </c>
      <c r="AK61" s="187">
        <v>0</v>
      </c>
      <c r="AL61" s="187">
        <v>0</v>
      </c>
      <c r="AM61" s="187">
        <v>0</v>
      </c>
      <c r="AN61" s="187">
        <v>0</v>
      </c>
      <c r="AO61" s="187">
        <v>0</v>
      </c>
      <c r="AP61" s="187">
        <v>0</v>
      </c>
      <c r="AQ61" s="187">
        <v>0</v>
      </c>
      <c r="AR61" s="187">
        <v>0</v>
      </c>
      <c r="AS61" s="187">
        <v>0</v>
      </c>
      <c r="AT61" s="187">
        <v>0</v>
      </c>
      <c r="AU61" s="187" t="s">
        <v>52</v>
      </c>
      <c r="AV61" s="187" t="s">
        <v>391</v>
      </c>
      <c r="AW61" s="187" t="s">
        <v>392</v>
      </c>
      <c r="AX61" s="187" t="s">
        <v>393</v>
      </c>
      <c r="AY61" s="187">
        <v>77079</v>
      </c>
      <c r="AZ61" s="188">
        <v>48200000000</v>
      </c>
      <c r="BA61" s="187" t="s">
        <v>394</v>
      </c>
      <c r="BB61" s="187" t="s">
        <v>395</v>
      </c>
      <c r="BC61" s="187">
        <v>162030</v>
      </c>
      <c r="BD61" s="187">
        <v>2990</v>
      </c>
      <c r="BE61" s="187" t="s">
        <v>396</v>
      </c>
      <c r="BF61" s="187" t="s">
        <v>396</v>
      </c>
      <c r="BG61" s="187" t="s">
        <v>396</v>
      </c>
    </row>
    <row r="62" spans="1:59">
      <c r="A62" s="187">
        <v>197131</v>
      </c>
      <c r="B62" s="187">
        <v>17066539</v>
      </c>
      <c r="C62" s="187">
        <v>2019</v>
      </c>
      <c r="D62" s="187" t="s">
        <v>380</v>
      </c>
      <c r="E62" s="187">
        <v>17</v>
      </c>
      <c r="F62" s="187" t="s">
        <v>411</v>
      </c>
      <c r="G62" s="187" t="s">
        <v>382</v>
      </c>
      <c r="H62" s="187" t="s">
        <v>404</v>
      </c>
      <c r="I62" s="187" t="s">
        <v>398</v>
      </c>
      <c r="J62" s="187">
        <v>29.766670000000001</v>
      </c>
      <c r="K62" s="187">
        <v>-95.606300000000005</v>
      </c>
      <c r="L62" s="187" t="s">
        <v>385</v>
      </c>
      <c r="M62" s="187" t="s">
        <v>386</v>
      </c>
      <c r="N62" s="187" t="s">
        <v>425</v>
      </c>
      <c r="O62" s="187" t="s">
        <v>388</v>
      </c>
      <c r="P62" s="187" t="s">
        <v>420</v>
      </c>
      <c r="Q62" s="187" t="s">
        <v>103</v>
      </c>
      <c r="R62" s="187" t="s">
        <v>444</v>
      </c>
      <c r="S62" s="187">
        <v>0</v>
      </c>
      <c r="T62" s="187">
        <v>1</v>
      </c>
      <c r="U62" s="187">
        <v>0</v>
      </c>
      <c r="V62" s="187">
        <v>0</v>
      </c>
      <c r="W62" s="187">
        <v>1</v>
      </c>
      <c r="X62" s="187">
        <v>3</v>
      </c>
      <c r="Y62" s="187">
        <v>0</v>
      </c>
      <c r="Z62" s="187">
        <v>0</v>
      </c>
      <c r="AA62" s="187">
        <v>1</v>
      </c>
      <c r="AB62" s="187">
        <v>0</v>
      </c>
      <c r="AC62" s="187">
        <v>0</v>
      </c>
      <c r="AD62" s="187">
        <v>3</v>
      </c>
      <c r="AE62" s="187">
        <v>1</v>
      </c>
      <c r="AF62" s="187">
        <v>0</v>
      </c>
      <c r="AG62" s="187">
        <v>0</v>
      </c>
      <c r="AH62" s="187">
        <v>0</v>
      </c>
      <c r="AI62" s="187">
        <v>0</v>
      </c>
      <c r="AJ62" s="187">
        <v>0</v>
      </c>
      <c r="AK62" s="187">
        <v>0</v>
      </c>
      <c r="AL62" s="187">
        <v>0</v>
      </c>
      <c r="AM62" s="187">
        <v>0</v>
      </c>
      <c r="AN62" s="187">
        <v>0</v>
      </c>
      <c r="AO62" s="187">
        <v>0</v>
      </c>
      <c r="AP62" s="187">
        <v>0</v>
      </c>
      <c r="AQ62" s="187">
        <v>0</v>
      </c>
      <c r="AR62" s="187">
        <v>0</v>
      </c>
      <c r="AS62" s="187">
        <v>0</v>
      </c>
      <c r="AT62" s="187">
        <v>0</v>
      </c>
      <c r="AU62" s="187" t="s">
        <v>52</v>
      </c>
      <c r="AV62" s="187" t="s">
        <v>391</v>
      </c>
      <c r="AW62" s="187" t="s">
        <v>392</v>
      </c>
      <c r="AX62" s="187" t="s">
        <v>393</v>
      </c>
      <c r="AY62" s="187">
        <v>77079</v>
      </c>
      <c r="AZ62" s="188">
        <v>48200000000</v>
      </c>
      <c r="BA62" s="187" t="s">
        <v>394</v>
      </c>
      <c r="BB62" s="187" t="s">
        <v>395</v>
      </c>
      <c r="BC62" s="187">
        <v>161810</v>
      </c>
      <c r="BD62" s="187">
        <v>2990</v>
      </c>
      <c r="BE62" s="187" t="s">
        <v>396</v>
      </c>
      <c r="BF62" s="187" t="s">
        <v>396</v>
      </c>
      <c r="BG62" s="187" t="s">
        <v>396</v>
      </c>
    </row>
    <row r="63" spans="1:59">
      <c r="A63" s="187">
        <v>197919</v>
      </c>
      <c r="B63" s="187">
        <v>17069996</v>
      </c>
      <c r="C63" s="187">
        <v>2019</v>
      </c>
      <c r="D63" s="189">
        <v>43593</v>
      </c>
      <c r="E63" s="187">
        <v>11</v>
      </c>
      <c r="F63" s="187" t="s">
        <v>414</v>
      </c>
      <c r="G63" s="187" t="s">
        <v>382</v>
      </c>
      <c r="H63" s="187" t="s">
        <v>383</v>
      </c>
      <c r="I63" s="187" t="s">
        <v>446</v>
      </c>
      <c r="J63" s="187">
        <v>29.758209999999998</v>
      </c>
      <c r="K63" s="187">
        <v>-95.606099999999998</v>
      </c>
      <c r="L63" s="187" t="s">
        <v>405</v>
      </c>
      <c r="M63" s="187" t="s">
        <v>386</v>
      </c>
      <c r="N63" s="187" t="s">
        <v>418</v>
      </c>
      <c r="O63" s="187" t="s">
        <v>388</v>
      </c>
      <c r="P63" s="187" t="s">
        <v>389</v>
      </c>
      <c r="Q63" s="187" t="s">
        <v>102</v>
      </c>
      <c r="R63" s="187" t="s">
        <v>390</v>
      </c>
      <c r="S63" s="187">
        <v>0</v>
      </c>
      <c r="T63" s="187">
        <v>0</v>
      </c>
      <c r="U63" s="187">
        <v>0</v>
      </c>
      <c r="V63" s="187">
        <v>0</v>
      </c>
      <c r="W63" s="187">
        <v>0</v>
      </c>
      <c r="X63" s="187">
        <v>1</v>
      </c>
      <c r="Y63" s="187">
        <v>1</v>
      </c>
      <c r="Z63" s="187">
        <v>0</v>
      </c>
      <c r="AA63" s="187">
        <v>0</v>
      </c>
      <c r="AB63" s="187">
        <v>0</v>
      </c>
      <c r="AC63" s="187">
        <v>0</v>
      </c>
      <c r="AD63" s="187">
        <v>1</v>
      </c>
      <c r="AE63" s="187">
        <v>0</v>
      </c>
      <c r="AF63" s="187">
        <v>1</v>
      </c>
      <c r="AG63" s="187">
        <v>0</v>
      </c>
      <c r="AH63" s="187">
        <v>0</v>
      </c>
      <c r="AI63" s="187">
        <v>0</v>
      </c>
      <c r="AJ63" s="187">
        <v>0</v>
      </c>
      <c r="AK63" s="187">
        <v>0</v>
      </c>
      <c r="AL63" s="187">
        <v>0</v>
      </c>
      <c r="AM63" s="187">
        <v>0</v>
      </c>
      <c r="AN63" s="187">
        <v>0</v>
      </c>
      <c r="AO63" s="187">
        <v>0</v>
      </c>
      <c r="AP63" s="187">
        <v>0</v>
      </c>
      <c r="AQ63" s="187">
        <v>0</v>
      </c>
      <c r="AR63" s="187">
        <v>0</v>
      </c>
      <c r="AS63" s="187">
        <v>0</v>
      </c>
      <c r="AT63" s="187">
        <v>0</v>
      </c>
      <c r="AU63" s="187" t="s">
        <v>52</v>
      </c>
      <c r="AV63" s="187" t="s">
        <v>391</v>
      </c>
      <c r="AW63" s="187" t="s">
        <v>392</v>
      </c>
      <c r="AX63" s="187" t="s">
        <v>393</v>
      </c>
      <c r="AY63" s="187">
        <v>77077</v>
      </c>
      <c r="AZ63" s="188">
        <v>48200000000</v>
      </c>
      <c r="BA63" s="187" t="s">
        <v>394</v>
      </c>
      <c r="BB63" s="187" t="s">
        <v>395</v>
      </c>
      <c r="BC63" s="187">
        <v>161590</v>
      </c>
      <c r="BD63" s="187">
        <v>2990</v>
      </c>
      <c r="BE63" s="187" t="s">
        <v>396</v>
      </c>
      <c r="BF63" s="187" t="s">
        <v>396</v>
      </c>
      <c r="BG63" s="187" t="s">
        <v>396</v>
      </c>
    </row>
    <row r="64" spans="1:59">
      <c r="A64" s="187">
        <v>200444</v>
      </c>
      <c r="B64" s="187">
        <v>17082035</v>
      </c>
      <c r="C64" s="187">
        <v>2019</v>
      </c>
      <c r="D64" s="187" t="s">
        <v>380</v>
      </c>
      <c r="E64" s="187">
        <v>17</v>
      </c>
      <c r="F64" s="187" t="s">
        <v>426</v>
      </c>
      <c r="G64" s="187" t="s">
        <v>382</v>
      </c>
      <c r="H64" s="187" t="s">
        <v>404</v>
      </c>
      <c r="I64" s="187" t="s">
        <v>398</v>
      </c>
      <c r="J64" s="187">
        <v>29.763030000000001</v>
      </c>
      <c r="K64" s="187">
        <v>-95.606200000000001</v>
      </c>
      <c r="L64" s="187" t="s">
        <v>405</v>
      </c>
      <c r="M64" s="187" t="s">
        <v>386</v>
      </c>
      <c r="N64" s="187" t="s">
        <v>425</v>
      </c>
      <c r="O64" s="187" t="s">
        <v>388</v>
      </c>
      <c r="P64" s="187" t="s">
        <v>389</v>
      </c>
      <c r="Q64" s="187" t="s">
        <v>103</v>
      </c>
      <c r="R64" s="187" t="s">
        <v>444</v>
      </c>
      <c r="S64" s="187">
        <v>0</v>
      </c>
      <c r="T64" s="187">
        <v>0</v>
      </c>
      <c r="U64" s="187">
        <v>0</v>
      </c>
      <c r="V64" s="187">
        <v>0</v>
      </c>
      <c r="W64" s="187">
        <v>0</v>
      </c>
      <c r="X64" s="187">
        <v>4</v>
      </c>
      <c r="Y64" s="187">
        <v>0</v>
      </c>
      <c r="Z64" s="187">
        <v>0</v>
      </c>
      <c r="AA64" s="187">
        <v>0</v>
      </c>
      <c r="AB64" s="187">
        <v>0</v>
      </c>
      <c r="AC64" s="187">
        <v>0</v>
      </c>
      <c r="AD64" s="187">
        <v>4</v>
      </c>
      <c r="AE64" s="187">
        <v>0</v>
      </c>
      <c r="AF64" s="187">
        <v>0</v>
      </c>
      <c r="AG64" s="187">
        <v>0</v>
      </c>
      <c r="AH64" s="187">
        <v>0</v>
      </c>
      <c r="AI64" s="187">
        <v>0</v>
      </c>
      <c r="AJ64" s="187">
        <v>0</v>
      </c>
      <c r="AK64" s="187">
        <v>0</v>
      </c>
      <c r="AL64" s="187">
        <v>0</v>
      </c>
      <c r="AM64" s="187">
        <v>0</v>
      </c>
      <c r="AN64" s="187">
        <v>0</v>
      </c>
      <c r="AO64" s="187">
        <v>0</v>
      </c>
      <c r="AP64" s="187">
        <v>0</v>
      </c>
      <c r="AQ64" s="187">
        <v>0</v>
      </c>
      <c r="AR64" s="187">
        <v>0</v>
      </c>
      <c r="AS64" s="187">
        <v>0</v>
      </c>
      <c r="AT64" s="187">
        <v>0</v>
      </c>
      <c r="AU64" s="187" t="s">
        <v>52</v>
      </c>
      <c r="AV64" s="187" t="s">
        <v>391</v>
      </c>
      <c r="AW64" s="187" t="s">
        <v>392</v>
      </c>
      <c r="AX64" s="187" t="s">
        <v>393</v>
      </c>
      <c r="AY64" s="187">
        <v>77079</v>
      </c>
      <c r="AZ64" s="188">
        <v>48200000000</v>
      </c>
      <c r="BA64" s="187" t="s">
        <v>394</v>
      </c>
      <c r="BB64" s="187" t="s">
        <v>395</v>
      </c>
      <c r="BC64" s="187">
        <v>161590</v>
      </c>
      <c r="BD64" s="187">
        <v>2990</v>
      </c>
      <c r="BE64" s="187" t="s">
        <v>396</v>
      </c>
      <c r="BF64" s="187" t="s">
        <v>396</v>
      </c>
      <c r="BG64" s="187" t="s">
        <v>396</v>
      </c>
    </row>
    <row r="65" spans="1:59">
      <c r="A65" s="187">
        <v>200902</v>
      </c>
      <c r="B65" s="187">
        <v>17083905</v>
      </c>
      <c r="C65" s="187">
        <v>2019</v>
      </c>
      <c r="D65" s="187" t="s">
        <v>380</v>
      </c>
      <c r="E65" s="187">
        <v>16</v>
      </c>
      <c r="F65" s="187" t="s">
        <v>414</v>
      </c>
      <c r="G65" s="187" t="s">
        <v>382</v>
      </c>
      <c r="H65" s="187" t="s">
        <v>408</v>
      </c>
      <c r="I65" s="187" t="s">
        <v>398</v>
      </c>
      <c r="J65" s="187">
        <v>29.77007</v>
      </c>
      <c r="K65" s="187">
        <v>-95.606300000000005</v>
      </c>
      <c r="L65" s="187" t="s">
        <v>385</v>
      </c>
      <c r="M65" s="187" t="s">
        <v>386</v>
      </c>
      <c r="N65" s="187" t="s">
        <v>401</v>
      </c>
      <c r="O65" s="187" t="s">
        <v>388</v>
      </c>
      <c r="P65" s="187" t="s">
        <v>389</v>
      </c>
      <c r="Q65" s="187" t="s">
        <v>105</v>
      </c>
      <c r="R65" s="187" t="s">
        <v>403</v>
      </c>
      <c r="S65" s="187">
        <v>0</v>
      </c>
      <c r="T65" s="187">
        <v>0</v>
      </c>
      <c r="U65" s="187">
        <v>0</v>
      </c>
      <c r="V65" s="187">
        <v>0</v>
      </c>
      <c r="W65" s="187">
        <v>0</v>
      </c>
      <c r="X65" s="187">
        <v>2</v>
      </c>
      <c r="Y65" s="187">
        <v>0</v>
      </c>
      <c r="Z65" s="187">
        <v>0</v>
      </c>
      <c r="AA65" s="187">
        <v>0</v>
      </c>
      <c r="AB65" s="187">
        <v>0</v>
      </c>
      <c r="AC65" s="187">
        <v>0</v>
      </c>
      <c r="AD65" s="187">
        <v>2</v>
      </c>
      <c r="AE65" s="187">
        <v>0</v>
      </c>
      <c r="AF65" s="187">
        <v>0</v>
      </c>
      <c r="AG65" s="187">
        <v>0</v>
      </c>
      <c r="AH65" s="187">
        <v>0</v>
      </c>
      <c r="AI65" s="187">
        <v>0</v>
      </c>
      <c r="AJ65" s="187">
        <v>0</v>
      </c>
      <c r="AK65" s="187">
        <v>0</v>
      </c>
      <c r="AL65" s="187">
        <v>0</v>
      </c>
      <c r="AM65" s="187">
        <v>0</v>
      </c>
      <c r="AN65" s="187">
        <v>0</v>
      </c>
      <c r="AO65" s="187">
        <v>0</v>
      </c>
      <c r="AP65" s="187">
        <v>0</v>
      </c>
      <c r="AQ65" s="187">
        <v>0</v>
      </c>
      <c r="AR65" s="187">
        <v>0</v>
      </c>
      <c r="AS65" s="187">
        <v>0</v>
      </c>
      <c r="AT65" s="187">
        <v>0</v>
      </c>
      <c r="AU65" s="187" t="s">
        <v>52</v>
      </c>
      <c r="AV65" s="187" t="s">
        <v>391</v>
      </c>
      <c r="AW65" s="187" t="s">
        <v>392</v>
      </c>
      <c r="AX65" s="187" t="s">
        <v>393</v>
      </c>
      <c r="AY65" s="187">
        <v>77079</v>
      </c>
      <c r="AZ65" s="188">
        <v>48200000000</v>
      </c>
      <c r="BA65" s="187" t="s">
        <v>394</v>
      </c>
      <c r="BB65" s="187" t="s">
        <v>395</v>
      </c>
      <c r="BC65" s="187">
        <v>162030</v>
      </c>
      <c r="BD65" s="187">
        <v>2990</v>
      </c>
      <c r="BE65" s="187" t="s">
        <v>396</v>
      </c>
      <c r="BF65" s="187" t="s">
        <v>396</v>
      </c>
      <c r="BG65" s="187" t="s">
        <v>396</v>
      </c>
    </row>
    <row r="66" spans="1:59">
      <c r="A66" s="187">
        <v>204513</v>
      </c>
      <c r="B66" s="187">
        <v>17100187</v>
      </c>
      <c r="C66" s="187">
        <v>2019</v>
      </c>
      <c r="D66" s="187" t="s">
        <v>380</v>
      </c>
      <c r="E66" s="187">
        <v>16</v>
      </c>
      <c r="F66" s="187" t="s">
        <v>397</v>
      </c>
      <c r="G66" s="187" t="s">
        <v>382</v>
      </c>
      <c r="H66" s="187" t="s">
        <v>404</v>
      </c>
      <c r="I66" s="187" t="s">
        <v>398</v>
      </c>
      <c r="J66" s="187">
        <v>29.764759999999999</v>
      </c>
      <c r="K66" s="187">
        <v>-95.606300000000005</v>
      </c>
      <c r="L66" s="187" t="s">
        <v>405</v>
      </c>
      <c r="M66" s="187" t="s">
        <v>386</v>
      </c>
      <c r="N66" s="187" t="s">
        <v>418</v>
      </c>
      <c r="O66" s="187" t="s">
        <v>388</v>
      </c>
      <c r="P66" s="187" t="s">
        <v>389</v>
      </c>
      <c r="Q66" s="187" t="s">
        <v>102</v>
      </c>
      <c r="R66" s="187" t="s">
        <v>403</v>
      </c>
      <c r="S66" s="187">
        <v>0</v>
      </c>
      <c r="T66" s="187">
        <v>0</v>
      </c>
      <c r="U66" s="187">
        <v>0</v>
      </c>
      <c r="V66" s="187">
        <v>0</v>
      </c>
      <c r="W66" s="187">
        <v>0</v>
      </c>
      <c r="X66" s="187">
        <v>1</v>
      </c>
      <c r="Y66" s="187">
        <v>0</v>
      </c>
      <c r="Z66" s="187">
        <v>0</v>
      </c>
      <c r="AA66" s="187">
        <v>0</v>
      </c>
      <c r="AB66" s="187">
        <v>0</v>
      </c>
      <c r="AC66" s="187">
        <v>0</v>
      </c>
      <c r="AD66" s="187">
        <v>1</v>
      </c>
      <c r="AE66" s="187">
        <v>0</v>
      </c>
      <c r="AF66" s="187">
        <v>0</v>
      </c>
      <c r="AG66" s="187">
        <v>0</v>
      </c>
      <c r="AH66" s="187">
        <v>0</v>
      </c>
      <c r="AI66" s="187">
        <v>0</v>
      </c>
      <c r="AJ66" s="187">
        <v>0</v>
      </c>
      <c r="AK66" s="187">
        <v>0</v>
      </c>
      <c r="AL66" s="187">
        <v>0</v>
      </c>
      <c r="AM66" s="187">
        <v>0</v>
      </c>
      <c r="AN66" s="187">
        <v>0</v>
      </c>
      <c r="AO66" s="187">
        <v>0</v>
      </c>
      <c r="AP66" s="187">
        <v>0</v>
      </c>
      <c r="AQ66" s="187">
        <v>0</v>
      </c>
      <c r="AR66" s="187">
        <v>0</v>
      </c>
      <c r="AS66" s="187">
        <v>0</v>
      </c>
      <c r="AT66" s="187">
        <v>0</v>
      </c>
      <c r="AU66" s="187" t="s">
        <v>52</v>
      </c>
      <c r="AV66" s="187" t="s">
        <v>391</v>
      </c>
      <c r="AW66" s="187" t="s">
        <v>392</v>
      </c>
      <c r="AX66" s="187" t="s">
        <v>393</v>
      </c>
      <c r="AY66" s="187">
        <v>77079</v>
      </c>
      <c r="AZ66" s="188">
        <v>48200000000</v>
      </c>
      <c r="BA66" s="187" t="s">
        <v>394</v>
      </c>
      <c r="BB66" s="187" t="s">
        <v>395</v>
      </c>
      <c r="BC66" s="187">
        <v>161810</v>
      </c>
      <c r="BD66" s="187">
        <v>2990</v>
      </c>
      <c r="BE66" s="187" t="s">
        <v>396</v>
      </c>
      <c r="BF66" s="187" t="s">
        <v>396</v>
      </c>
      <c r="BG66" s="187" t="s">
        <v>396</v>
      </c>
    </row>
    <row r="67" spans="1:59">
      <c r="A67" s="187">
        <v>205830</v>
      </c>
      <c r="B67" s="187">
        <v>17107485</v>
      </c>
      <c r="C67" s="187">
        <v>2019</v>
      </c>
      <c r="D67" s="187" t="s">
        <v>380</v>
      </c>
      <c r="E67" s="187">
        <v>19</v>
      </c>
      <c r="F67" s="187" t="s">
        <v>421</v>
      </c>
      <c r="G67" s="187" t="s">
        <v>382</v>
      </c>
      <c r="H67" s="187" t="s">
        <v>404</v>
      </c>
      <c r="I67" s="187" t="s">
        <v>398</v>
      </c>
      <c r="J67" s="187">
        <v>29.770060000000001</v>
      </c>
      <c r="K67" s="187">
        <v>-95.606300000000005</v>
      </c>
      <c r="L67" s="187" t="s">
        <v>385</v>
      </c>
      <c r="M67" s="187" t="s">
        <v>439</v>
      </c>
      <c r="N67" s="187" t="s">
        <v>401</v>
      </c>
      <c r="O67" s="187" t="s">
        <v>388</v>
      </c>
      <c r="P67" s="187" t="s">
        <v>389</v>
      </c>
      <c r="Q67" s="187" t="s">
        <v>106</v>
      </c>
      <c r="R67" s="187" t="s">
        <v>436</v>
      </c>
      <c r="S67" s="187">
        <v>0</v>
      </c>
      <c r="T67" s="187">
        <v>0</v>
      </c>
      <c r="U67" s="187">
        <v>0</v>
      </c>
      <c r="V67" s="187">
        <v>0</v>
      </c>
      <c r="W67" s="187">
        <v>0</v>
      </c>
      <c r="X67" s="187">
        <v>6</v>
      </c>
      <c r="Y67" s="187">
        <v>0</v>
      </c>
      <c r="Z67" s="187">
        <v>0</v>
      </c>
      <c r="AA67" s="187">
        <v>0</v>
      </c>
      <c r="AB67" s="187">
        <v>0</v>
      </c>
      <c r="AC67" s="187">
        <v>0</v>
      </c>
      <c r="AD67" s="187">
        <v>6</v>
      </c>
      <c r="AE67" s="187">
        <v>0</v>
      </c>
      <c r="AF67" s="187">
        <v>0</v>
      </c>
      <c r="AG67" s="187">
        <v>0</v>
      </c>
      <c r="AH67" s="187">
        <v>0</v>
      </c>
      <c r="AI67" s="187">
        <v>0</v>
      </c>
      <c r="AJ67" s="187">
        <v>0</v>
      </c>
      <c r="AK67" s="187">
        <v>0</v>
      </c>
      <c r="AL67" s="187">
        <v>0</v>
      </c>
      <c r="AM67" s="187">
        <v>0</v>
      </c>
      <c r="AN67" s="187">
        <v>0</v>
      </c>
      <c r="AO67" s="187">
        <v>0</v>
      </c>
      <c r="AP67" s="187">
        <v>0</v>
      </c>
      <c r="AQ67" s="187">
        <v>0</v>
      </c>
      <c r="AR67" s="187">
        <v>0</v>
      </c>
      <c r="AS67" s="187">
        <v>0</v>
      </c>
      <c r="AT67" s="187">
        <v>0</v>
      </c>
      <c r="AU67" s="187" t="s">
        <v>52</v>
      </c>
      <c r="AV67" s="187" t="s">
        <v>391</v>
      </c>
      <c r="AW67" s="187" t="s">
        <v>392</v>
      </c>
      <c r="AX67" s="187" t="s">
        <v>393</v>
      </c>
      <c r="AY67" s="187">
        <v>77079</v>
      </c>
      <c r="AZ67" s="188">
        <v>48200000000</v>
      </c>
      <c r="BA67" s="187" t="s">
        <v>394</v>
      </c>
      <c r="BB67" s="187" t="s">
        <v>395</v>
      </c>
      <c r="BC67" s="187">
        <v>162030</v>
      </c>
      <c r="BD67" s="187">
        <v>2990</v>
      </c>
      <c r="BE67" s="187" t="s">
        <v>396</v>
      </c>
      <c r="BF67" s="187" t="s">
        <v>396</v>
      </c>
      <c r="BG67" s="187" t="s">
        <v>396</v>
      </c>
    </row>
    <row r="68" spans="1:59">
      <c r="A68" s="187">
        <v>206356</v>
      </c>
      <c r="B68" s="187">
        <v>17110306</v>
      </c>
      <c r="C68" s="187">
        <v>2019</v>
      </c>
      <c r="D68" s="187" t="s">
        <v>380</v>
      </c>
      <c r="E68" s="187">
        <v>12</v>
      </c>
      <c r="F68" s="187" t="s">
        <v>411</v>
      </c>
      <c r="G68" s="187" t="s">
        <v>382</v>
      </c>
      <c r="H68" s="187" t="s">
        <v>383</v>
      </c>
      <c r="I68" s="187" t="s">
        <v>446</v>
      </c>
      <c r="J68" s="187">
        <v>29.753699999999998</v>
      </c>
      <c r="K68" s="187">
        <v>-95.606200000000001</v>
      </c>
      <c r="L68" s="187" t="s">
        <v>385</v>
      </c>
      <c r="M68" s="187" t="s">
        <v>386</v>
      </c>
      <c r="N68" s="187" t="s">
        <v>425</v>
      </c>
      <c r="O68" s="187" t="s">
        <v>388</v>
      </c>
      <c r="P68" s="187" t="s">
        <v>389</v>
      </c>
      <c r="Q68" s="187" t="s">
        <v>105</v>
      </c>
      <c r="R68" s="187" t="s">
        <v>413</v>
      </c>
      <c r="S68" s="187">
        <v>0</v>
      </c>
      <c r="T68" s="187">
        <v>0</v>
      </c>
      <c r="U68" s="187">
        <v>0</v>
      </c>
      <c r="V68" s="187">
        <v>0</v>
      </c>
      <c r="W68" s="187">
        <v>0</v>
      </c>
      <c r="X68" s="187">
        <v>1</v>
      </c>
      <c r="Y68" s="187">
        <v>1</v>
      </c>
      <c r="Z68" s="187">
        <v>0</v>
      </c>
      <c r="AA68" s="187">
        <v>0</v>
      </c>
      <c r="AB68" s="187">
        <v>0</v>
      </c>
      <c r="AC68" s="187">
        <v>0</v>
      </c>
      <c r="AD68" s="187">
        <v>1</v>
      </c>
      <c r="AE68" s="187">
        <v>0</v>
      </c>
      <c r="AF68" s="187">
        <v>1</v>
      </c>
      <c r="AG68" s="187">
        <v>0</v>
      </c>
      <c r="AH68" s="187">
        <v>0</v>
      </c>
      <c r="AI68" s="187">
        <v>0</v>
      </c>
      <c r="AJ68" s="187">
        <v>0</v>
      </c>
      <c r="AK68" s="187">
        <v>0</v>
      </c>
      <c r="AL68" s="187">
        <v>0</v>
      </c>
      <c r="AM68" s="187">
        <v>0</v>
      </c>
      <c r="AN68" s="187">
        <v>0</v>
      </c>
      <c r="AO68" s="187">
        <v>0</v>
      </c>
      <c r="AP68" s="187">
        <v>0</v>
      </c>
      <c r="AQ68" s="187">
        <v>0</v>
      </c>
      <c r="AR68" s="187">
        <v>0</v>
      </c>
      <c r="AS68" s="187">
        <v>0</v>
      </c>
      <c r="AT68" s="187">
        <v>0</v>
      </c>
      <c r="AU68" s="187" t="s">
        <v>52</v>
      </c>
      <c r="AV68" s="187" t="s">
        <v>391</v>
      </c>
      <c r="AW68" s="187" t="s">
        <v>392</v>
      </c>
      <c r="AX68" s="187" t="s">
        <v>393</v>
      </c>
      <c r="AY68" s="187">
        <v>77077</v>
      </c>
      <c r="AZ68" s="188">
        <v>48200000000</v>
      </c>
      <c r="BA68" s="187" t="s">
        <v>394</v>
      </c>
      <c r="BB68" s="187" t="s">
        <v>395</v>
      </c>
      <c r="BC68" s="187">
        <v>161370</v>
      </c>
      <c r="BD68" s="187">
        <v>2990</v>
      </c>
      <c r="BE68" s="187" t="s">
        <v>396</v>
      </c>
      <c r="BF68" s="187" t="s">
        <v>396</v>
      </c>
      <c r="BG68" s="187" t="s">
        <v>396</v>
      </c>
    </row>
    <row r="69" spans="1:59">
      <c r="A69" s="187">
        <v>208180</v>
      </c>
      <c r="B69" s="187">
        <v>17119803</v>
      </c>
      <c r="C69" s="187">
        <v>2019</v>
      </c>
      <c r="D69" s="187" t="s">
        <v>380</v>
      </c>
      <c r="E69" s="187">
        <v>17</v>
      </c>
      <c r="F69" s="187" t="s">
        <v>411</v>
      </c>
      <c r="G69" s="187" t="s">
        <v>382</v>
      </c>
      <c r="H69" s="187" t="s">
        <v>408</v>
      </c>
      <c r="I69" s="187" t="s">
        <v>398</v>
      </c>
      <c r="J69" s="187">
        <v>29.770060000000001</v>
      </c>
      <c r="K69" s="187">
        <v>-95.606499999999997</v>
      </c>
      <c r="L69" s="187" t="s">
        <v>405</v>
      </c>
      <c r="M69" s="187" t="s">
        <v>386</v>
      </c>
      <c r="N69" s="187" t="s">
        <v>425</v>
      </c>
      <c r="O69" s="187" t="s">
        <v>388</v>
      </c>
      <c r="P69" s="187" t="s">
        <v>342</v>
      </c>
      <c r="Q69" s="187" t="s">
        <v>105</v>
      </c>
      <c r="R69" s="187" t="s">
        <v>428</v>
      </c>
      <c r="S69" s="187">
        <v>0</v>
      </c>
      <c r="T69" s="187">
        <v>0</v>
      </c>
      <c r="U69" s="187">
        <v>0</v>
      </c>
      <c r="V69" s="187">
        <v>1</v>
      </c>
      <c r="W69" s="187">
        <v>1</v>
      </c>
      <c r="X69" s="187">
        <v>3</v>
      </c>
      <c r="Y69" s="187">
        <v>0</v>
      </c>
      <c r="Z69" s="187">
        <v>0</v>
      </c>
      <c r="AA69" s="187">
        <v>0</v>
      </c>
      <c r="AB69" s="187">
        <v>0</v>
      </c>
      <c r="AC69" s="187">
        <v>1</v>
      </c>
      <c r="AD69" s="187">
        <v>3</v>
      </c>
      <c r="AE69" s="187">
        <v>1</v>
      </c>
      <c r="AF69" s="187">
        <v>0</v>
      </c>
      <c r="AG69" s="187">
        <v>0</v>
      </c>
      <c r="AH69" s="187">
        <v>0</v>
      </c>
      <c r="AI69" s="187">
        <v>0</v>
      </c>
      <c r="AJ69" s="187">
        <v>0</v>
      </c>
      <c r="AK69" s="187">
        <v>0</v>
      </c>
      <c r="AL69" s="187">
        <v>0</v>
      </c>
      <c r="AM69" s="187">
        <v>0</v>
      </c>
      <c r="AN69" s="187">
        <v>0</v>
      </c>
      <c r="AO69" s="187">
        <v>0</v>
      </c>
      <c r="AP69" s="187">
        <v>0</v>
      </c>
      <c r="AQ69" s="187">
        <v>0</v>
      </c>
      <c r="AR69" s="187">
        <v>0</v>
      </c>
      <c r="AS69" s="187">
        <v>0</v>
      </c>
      <c r="AT69" s="187">
        <v>0</v>
      </c>
      <c r="AU69" s="187" t="s">
        <v>52</v>
      </c>
      <c r="AV69" s="187" t="s">
        <v>391</v>
      </c>
      <c r="AW69" s="187" t="s">
        <v>392</v>
      </c>
      <c r="AX69" s="187" t="s">
        <v>393</v>
      </c>
      <c r="AY69" s="187">
        <v>77079</v>
      </c>
      <c r="AZ69" s="188">
        <v>48200000000</v>
      </c>
      <c r="BA69" s="187" t="s">
        <v>394</v>
      </c>
      <c r="BB69" s="187" t="s">
        <v>395</v>
      </c>
      <c r="BC69" s="187">
        <v>162030</v>
      </c>
      <c r="BD69" s="187">
        <v>2990</v>
      </c>
      <c r="BE69" s="187" t="s">
        <v>396</v>
      </c>
      <c r="BF69" s="187" t="s">
        <v>396</v>
      </c>
      <c r="BG69" s="187" t="s">
        <v>396</v>
      </c>
    </row>
    <row r="70" spans="1:59">
      <c r="A70" s="187">
        <v>208973</v>
      </c>
      <c r="B70" s="187">
        <v>17124055</v>
      </c>
      <c r="C70" s="187">
        <v>2019</v>
      </c>
      <c r="D70" s="189">
        <v>43618</v>
      </c>
      <c r="E70" s="187">
        <v>21</v>
      </c>
      <c r="F70" s="187" t="s">
        <v>429</v>
      </c>
      <c r="G70" s="187" t="s">
        <v>382</v>
      </c>
      <c r="H70" s="187" t="s">
        <v>408</v>
      </c>
      <c r="I70" s="187" t="s">
        <v>384</v>
      </c>
      <c r="J70" s="187">
        <v>29.76999</v>
      </c>
      <c r="K70" s="187">
        <v>-95.606300000000005</v>
      </c>
      <c r="L70" s="187" t="s">
        <v>385</v>
      </c>
      <c r="M70" s="187" t="s">
        <v>400</v>
      </c>
      <c r="N70" s="187" t="s">
        <v>418</v>
      </c>
      <c r="O70" s="187" t="s">
        <v>441</v>
      </c>
      <c r="P70" s="187" t="s">
        <v>389</v>
      </c>
      <c r="Q70" s="187" t="s">
        <v>102</v>
      </c>
      <c r="R70" s="187" t="s">
        <v>433</v>
      </c>
      <c r="S70" s="187">
        <v>0</v>
      </c>
      <c r="T70" s="187">
        <v>0</v>
      </c>
      <c r="U70" s="187">
        <v>0</v>
      </c>
      <c r="V70" s="187">
        <v>0</v>
      </c>
      <c r="W70" s="187">
        <v>0</v>
      </c>
      <c r="X70" s="187">
        <v>1</v>
      </c>
      <c r="Y70" s="187">
        <v>0</v>
      </c>
      <c r="Z70" s="187">
        <v>0</v>
      </c>
      <c r="AA70" s="187">
        <v>0</v>
      </c>
      <c r="AB70" s="187">
        <v>0</v>
      </c>
      <c r="AC70" s="187">
        <v>0</v>
      </c>
      <c r="AD70" s="187">
        <v>1</v>
      </c>
      <c r="AE70" s="187">
        <v>0</v>
      </c>
      <c r="AF70" s="187">
        <v>0</v>
      </c>
      <c r="AG70" s="187">
        <v>0</v>
      </c>
      <c r="AH70" s="187">
        <v>0</v>
      </c>
      <c r="AI70" s="187">
        <v>0</v>
      </c>
      <c r="AJ70" s="187">
        <v>0</v>
      </c>
      <c r="AK70" s="187">
        <v>0</v>
      </c>
      <c r="AL70" s="187">
        <v>0</v>
      </c>
      <c r="AM70" s="187">
        <v>0</v>
      </c>
      <c r="AN70" s="187">
        <v>0</v>
      </c>
      <c r="AO70" s="187">
        <v>0</v>
      </c>
      <c r="AP70" s="187">
        <v>0</v>
      </c>
      <c r="AQ70" s="187">
        <v>0</v>
      </c>
      <c r="AR70" s="187">
        <v>0</v>
      </c>
      <c r="AS70" s="187">
        <v>0</v>
      </c>
      <c r="AT70" s="187">
        <v>0</v>
      </c>
      <c r="AU70" s="187" t="s">
        <v>52</v>
      </c>
      <c r="AV70" s="187" t="s">
        <v>391</v>
      </c>
      <c r="AW70" s="187" t="s">
        <v>392</v>
      </c>
      <c r="AX70" s="187" t="s">
        <v>393</v>
      </c>
      <c r="AY70" s="187">
        <v>77079</v>
      </c>
      <c r="AZ70" s="188">
        <v>48200000000</v>
      </c>
      <c r="BA70" s="187" t="s">
        <v>394</v>
      </c>
      <c r="BB70" s="187" t="s">
        <v>395</v>
      </c>
      <c r="BC70" s="187">
        <v>162030</v>
      </c>
      <c r="BD70" s="187">
        <v>2990</v>
      </c>
      <c r="BE70" s="187" t="s">
        <v>396</v>
      </c>
      <c r="BF70" s="187" t="s">
        <v>396</v>
      </c>
      <c r="BG70" s="187" t="s">
        <v>396</v>
      </c>
    </row>
    <row r="71" spans="1:59">
      <c r="A71" s="187">
        <v>213245</v>
      </c>
      <c r="B71" s="187">
        <v>17142937</v>
      </c>
      <c r="C71" s="187">
        <v>2019</v>
      </c>
      <c r="D71" s="187" t="s">
        <v>380</v>
      </c>
      <c r="E71" s="187">
        <v>2</v>
      </c>
      <c r="F71" s="187" t="s">
        <v>429</v>
      </c>
      <c r="G71" s="187" t="s">
        <v>382</v>
      </c>
      <c r="H71" s="187" t="s">
        <v>383</v>
      </c>
      <c r="I71" s="187" t="s">
        <v>409</v>
      </c>
      <c r="J71" s="187">
        <v>29.759530000000002</v>
      </c>
      <c r="K71" s="187">
        <v>-95.606300000000005</v>
      </c>
      <c r="L71" s="187" t="s">
        <v>385</v>
      </c>
      <c r="M71" s="187" t="s">
        <v>400</v>
      </c>
      <c r="N71" s="187" t="s">
        <v>425</v>
      </c>
      <c r="O71" s="187" t="s">
        <v>441</v>
      </c>
      <c r="P71" s="187" t="s">
        <v>402</v>
      </c>
      <c r="Q71" s="187" t="s">
        <v>102</v>
      </c>
      <c r="R71" s="187" t="s">
        <v>448</v>
      </c>
      <c r="S71" s="187">
        <v>0</v>
      </c>
      <c r="T71" s="187">
        <v>0</v>
      </c>
      <c r="U71" s="187">
        <v>2</v>
      </c>
      <c r="V71" s="187">
        <v>0</v>
      </c>
      <c r="W71" s="187">
        <v>2</v>
      </c>
      <c r="X71" s="187">
        <v>0</v>
      </c>
      <c r="Y71" s="187">
        <v>0</v>
      </c>
      <c r="Z71" s="187">
        <v>0</v>
      </c>
      <c r="AA71" s="187">
        <v>0</v>
      </c>
      <c r="AB71" s="187">
        <v>2</v>
      </c>
      <c r="AC71" s="187">
        <v>0</v>
      </c>
      <c r="AD71" s="187">
        <v>0</v>
      </c>
      <c r="AE71" s="187">
        <v>2</v>
      </c>
      <c r="AF71" s="187">
        <v>0</v>
      </c>
      <c r="AG71" s="187">
        <v>0</v>
      </c>
      <c r="AH71" s="187">
        <v>0</v>
      </c>
      <c r="AI71" s="187">
        <v>0</v>
      </c>
      <c r="AJ71" s="187">
        <v>0</v>
      </c>
      <c r="AK71" s="187">
        <v>0</v>
      </c>
      <c r="AL71" s="187">
        <v>0</v>
      </c>
      <c r="AM71" s="187">
        <v>0</v>
      </c>
      <c r="AN71" s="187">
        <v>0</v>
      </c>
      <c r="AO71" s="187">
        <v>0</v>
      </c>
      <c r="AP71" s="187">
        <v>0</v>
      </c>
      <c r="AQ71" s="187">
        <v>0</v>
      </c>
      <c r="AR71" s="187">
        <v>0</v>
      </c>
      <c r="AS71" s="187">
        <v>0</v>
      </c>
      <c r="AT71" s="187">
        <v>0</v>
      </c>
      <c r="AU71" s="187" t="s">
        <v>52</v>
      </c>
      <c r="AV71" s="187" t="s">
        <v>391</v>
      </c>
      <c r="AW71" s="187" t="s">
        <v>392</v>
      </c>
      <c r="AX71" s="187" t="s">
        <v>393</v>
      </c>
      <c r="AY71" s="187">
        <v>77077</v>
      </c>
      <c r="AZ71" s="188">
        <v>48200000000</v>
      </c>
      <c r="BA71" s="187" t="s">
        <v>394</v>
      </c>
      <c r="BB71" s="187" t="s">
        <v>395</v>
      </c>
      <c r="BC71" s="187">
        <v>161590</v>
      </c>
      <c r="BD71" s="187">
        <v>2990</v>
      </c>
      <c r="BE71" s="187" t="s">
        <v>396</v>
      </c>
      <c r="BF71" s="187" t="s">
        <v>396</v>
      </c>
      <c r="BG71" s="187" t="s">
        <v>396</v>
      </c>
    </row>
    <row r="72" spans="1:59">
      <c r="A72" s="187">
        <v>214530</v>
      </c>
      <c r="B72" s="187">
        <v>17148529</v>
      </c>
      <c r="C72" s="187">
        <v>2019</v>
      </c>
      <c r="D72" s="187" t="s">
        <v>380</v>
      </c>
      <c r="E72" s="187">
        <v>18</v>
      </c>
      <c r="F72" s="187" t="s">
        <v>414</v>
      </c>
      <c r="G72" s="187" t="s">
        <v>382</v>
      </c>
      <c r="H72" s="187" t="s">
        <v>383</v>
      </c>
      <c r="I72" s="187" t="s">
        <v>415</v>
      </c>
      <c r="J72" s="187">
        <v>29.754110000000001</v>
      </c>
      <c r="K72" s="187">
        <v>-95.606200000000001</v>
      </c>
      <c r="L72" s="187" t="s">
        <v>385</v>
      </c>
      <c r="M72" s="187" t="s">
        <v>386</v>
      </c>
      <c r="N72" s="187" t="s">
        <v>425</v>
      </c>
      <c r="O72" s="187" t="s">
        <v>388</v>
      </c>
      <c r="P72" s="187" t="s">
        <v>342</v>
      </c>
      <c r="Q72" s="187" t="s">
        <v>102</v>
      </c>
      <c r="R72" s="187" t="s">
        <v>403</v>
      </c>
      <c r="S72" s="187">
        <v>0</v>
      </c>
      <c r="T72" s="187">
        <v>0</v>
      </c>
      <c r="U72" s="187">
        <v>0</v>
      </c>
      <c r="V72" s="187">
        <v>1</v>
      </c>
      <c r="W72" s="187">
        <v>1</v>
      </c>
      <c r="X72" s="187">
        <v>0</v>
      </c>
      <c r="Y72" s="187">
        <v>1</v>
      </c>
      <c r="Z72" s="187">
        <v>0</v>
      </c>
      <c r="AA72" s="187">
        <v>0</v>
      </c>
      <c r="AB72" s="187">
        <v>0</v>
      </c>
      <c r="AC72" s="187">
        <v>1</v>
      </c>
      <c r="AD72" s="187">
        <v>0</v>
      </c>
      <c r="AE72" s="187">
        <v>1</v>
      </c>
      <c r="AF72" s="187">
        <v>1</v>
      </c>
      <c r="AG72" s="187">
        <v>0</v>
      </c>
      <c r="AH72" s="187">
        <v>0</v>
      </c>
      <c r="AI72" s="187">
        <v>0</v>
      </c>
      <c r="AJ72" s="187">
        <v>0</v>
      </c>
      <c r="AK72" s="187">
        <v>0</v>
      </c>
      <c r="AL72" s="187">
        <v>0</v>
      </c>
      <c r="AM72" s="187">
        <v>0</v>
      </c>
      <c r="AN72" s="187">
        <v>0</v>
      </c>
      <c r="AO72" s="187">
        <v>0</v>
      </c>
      <c r="AP72" s="187">
        <v>0</v>
      </c>
      <c r="AQ72" s="187">
        <v>0</v>
      </c>
      <c r="AR72" s="187">
        <v>0</v>
      </c>
      <c r="AS72" s="187">
        <v>0</v>
      </c>
      <c r="AT72" s="187">
        <v>0</v>
      </c>
      <c r="AU72" s="187" t="s">
        <v>52</v>
      </c>
      <c r="AV72" s="187" t="s">
        <v>391</v>
      </c>
      <c r="AW72" s="187" t="s">
        <v>392</v>
      </c>
      <c r="AX72" s="187" t="s">
        <v>393</v>
      </c>
      <c r="AY72" s="187">
        <v>77077</v>
      </c>
      <c r="AZ72" s="188">
        <v>48200000000</v>
      </c>
      <c r="BA72" s="187" t="s">
        <v>394</v>
      </c>
      <c r="BB72" s="187" t="s">
        <v>395</v>
      </c>
      <c r="BC72" s="187">
        <v>161370</v>
      </c>
      <c r="BD72" s="187">
        <v>2990</v>
      </c>
      <c r="BE72" s="187" t="s">
        <v>396</v>
      </c>
      <c r="BF72" s="187" t="s">
        <v>396</v>
      </c>
      <c r="BG72" s="187" t="s">
        <v>396</v>
      </c>
    </row>
    <row r="73" spans="1:59">
      <c r="A73" s="187">
        <v>216670</v>
      </c>
      <c r="B73" s="187">
        <v>17157040</v>
      </c>
      <c r="C73" s="187">
        <v>2019</v>
      </c>
      <c r="D73" s="187" t="s">
        <v>380</v>
      </c>
      <c r="E73" s="187">
        <v>16</v>
      </c>
      <c r="F73" s="187" t="s">
        <v>429</v>
      </c>
      <c r="G73" s="187" t="s">
        <v>382</v>
      </c>
      <c r="H73" s="187" t="s">
        <v>383</v>
      </c>
      <c r="I73" s="187" t="s">
        <v>398</v>
      </c>
      <c r="J73" s="187">
        <v>29.758289999999999</v>
      </c>
      <c r="K73" s="187">
        <v>-95.606300000000005</v>
      </c>
      <c r="L73" s="187" t="s">
        <v>385</v>
      </c>
      <c r="M73" s="187" t="s">
        <v>386</v>
      </c>
      <c r="N73" s="187" t="s">
        <v>425</v>
      </c>
      <c r="O73" s="187" t="s">
        <v>388</v>
      </c>
      <c r="P73" s="187" t="s">
        <v>402</v>
      </c>
      <c r="Q73" s="187" t="s">
        <v>105</v>
      </c>
      <c r="R73" s="187" t="s">
        <v>403</v>
      </c>
      <c r="S73" s="187">
        <v>0</v>
      </c>
      <c r="T73" s="187">
        <v>0</v>
      </c>
      <c r="U73" s="187">
        <v>1</v>
      </c>
      <c r="V73" s="187">
        <v>0</v>
      </c>
      <c r="W73" s="187">
        <v>1</v>
      </c>
      <c r="X73" s="187">
        <v>3</v>
      </c>
      <c r="Y73" s="187">
        <v>0</v>
      </c>
      <c r="Z73" s="187">
        <v>0</v>
      </c>
      <c r="AA73" s="187">
        <v>0</v>
      </c>
      <c r="AB73" s="187">
        <v>1</v>
      </c>
      <c r="AC73" s="187">
        <v>0</v>
      </c>
      <c r="AD73" s="187">
        <v>3</v>
      </c>
      <c r="AE73" s="187">
        <v>1</v>
      </c>
      <c r="AF73" s="187">
        <v>0</v>
      </c>
      <c r="AG73" s="187">
        <v>0</v>
      </c>
      <c r="AH73" s="187">
        <v>0</v>
      </c>
      <c r="AI73" s="187">
        <v>0</v>
      </c>
      <c r="AJ73" s="187">
        <v>0</v>
      </c>
      <c r="AK73" s="187">
        <v>0</v>
      </c>
      <c r="AL73" s="187">
        <v>0</v>
      </c>
      <c r="AM73" s="187">
        <v>0</v>
      </c>
      <c r="AN73" s="187">
        <v>0</v>
      </c>
      <c r="AO73" s="187">
        <v>0</v>
      </c>
      <c r="AP73" s="187">
        <v>0</v>
      </c>
      <c r="AQ73" s="187">
        <v>0</v>
      </c>
      <c r="AR73" s="187">
        <v>0</v>
      </c>
      <c r="AS73" s="187">
        <v>0</v>
      </c>
      <c r="AT73" s="187">
        <v>0</v>
      </c>
      <c r="AU73" s="187" t="s">
        <v>52</v>
      </c>
      <c r="AV73" s="187" t="s">
        <v>391</v>
      </c>
      <c r="AW73" s="187" t="s">
        <v>392</v>
      </c>
      <c r="AX73" s="187" t="s">
        <v>393</v>
      </c>
      <c r="AY73" s="187">
        <v>77077</v>
      </c>
      <c r="AZ73" s="188">
        <v>48200000000</v>
      </c>
      <c r="BA73" s="187" t="s">
        <v>394</v>
      </c>
      <c r="BB73" s="187" t="s">
        <v>395</v>
      </c>
      <c r="BC73" s="187">
        <v>161590</v>
      </c>
      <c r="BD73" s="187">
        <v>2990</v>
      </c>
      <c r="BE73" s="187" t="s">
        <v>396</v>
      </c>
      <c r="BF73" s="187" t="s">
        <v>396</v>
      </c>
      <c r="BG73" s="187" t="s">
        <v>396</v>
      </c>
    </row>
    <row r="74" spans="1:59">
      <c r="A74" s="187">
        <v>217662</v>
      </c>
      <c r="B74" s="187">
        <v>17161692</v>
      </c>
      <c r="C74" s="187">
        <v>2019</v>
      </c>
      <c r="D74" s="187" t="s">
        <v>380</v>
      </c>
      <c r="E74" s="187">
        <v>17</v>
      </c>
      <c r="F74" s="187" t="s">
        <v>381</v>
      </c>
      <c r="G74" s="187" t="s">
        <v>382</v>
      </c>
      <c r="H74" s="187" t="s">
        <v>419</v>
      </c>
      <c r="I74" s="187" t="s">
        <v>384</v>
      </c>
      <c r="J74" s="187">
        <v>29.753969999999999</v>
      </c>
      <c r="K74" s="187">
        <v>-95.605999999999995</v>
      </c>
      <c r="L74" s="187" t="s">
        <v>385</v>
      </c>
      <c r="M74" s="187" t="s">
        <v>386</v>
      </c>
      <c r="N74" s="187" t="s">
        <v>406</v>
      </c>
      <c r="O74" s="187" t="s">
        <v>388</v>
      </c>
      <c r="P74" s="187" t="s">
        <v>389</v>
      </c>
      <c r="Q74" s="187" t="s">
        <v>103</v>
      </c>
      <c r="R74" s="187" t="s">
        <v>432</v>
      </c>
      <c r="S74" s="187">
        <v>0</v>
      </c>
      <c r="T74" s="187">
        <v>0</v>
      </c>
      <c r="U74" s="187">
        <v>0</v>
      </c>
      <c r="V74" s="187">
        <v>0</v>
      </c>
      <c r="W74" s="187">
        <v>0</v>
      </c>
      <c r="X74" s="187">
        <v>2</v>
      </c>
      <c r="Y74" s="187">
        <v>0</v>
      </c>
      <c r="Z74" s="187">
        <v>0</v>
      </c>
      <c r="AA74" s="187">
        <v>0</v>
      </c>
      <c r="AB74" s="187">
        <v>0</v>
      </c>
      <c r="AC74" s="187">
        <v>0</v>
      </c>
      <c r="AD74" s="187">
        <v>2</v>
      </c>
      <c r="AE74" s="187">
        <v>0</v>
      </c>
      <c r="AF74" s="187">
        <v>0</v>
      </c>
      <c r="AG74" s="187">
        <v>0</v>
      </c>
      <c r="AH74" s="187">
        <v>0</v>
      </c>
      <c r="AI74" s="187">
        <v>0</v>
      </c>
      <c r="AJ74" s="187">
        <v>0</v>
      </c>
      <c r="AK74" s="187">
        <v>0</v>
      </c>
      <c r="AL74" s="187">
        <v>0</v>
      </c>
      <c r="AM74" s="187">
        <v>0</v>
      </c>
      <c r="AN74" s="187">
        <v>0</v>
      </c>
      <c r="AO74" s="187">
        <v>0</v>
      </c>
      <c r="AP74" s="187">
        <v>0</v>
      </c>
      <c r="AQ74" s="187">
        <v>0</v>
      </c>
      <c r="AR74" s="187">
        <v>0</v>
      </c>
      <c r="AS74" s="187">
        <v>0</v>
      </c>
      <c r="AT74" s="187">
        <v>0</v>
      </c>
      <c r="AU74" s="187" t="s">
        <v>52</v>
      </c>
      <c r="AV74" s="187" t="s">
        <v>391</v>
      </c>
      <c r="AW74" s="187" t="s">
        <v>392</v>
      </c>
      <c r="AX74" s="187" t="s">
        <v>393</v>
      </c>
      <c r="AY74" s="187">
        <v>77077</v>
      </c>
      <c r="AZ74" s="188">
        <v>48200000000</v>
      </c>
      <c r="BA74" s="187" t="s">
        <v>394</v>
      </c>
      <c r="BB74" s="187" t="s">
        <v>395</v>
      </c>
      <c r="BC74" s="187">
        <v>161370</v>
      </c>
      <c r="BD74" s="187">
        <v>2990</v>
      </c>
      <c r="BE74" s="187" t="s">
        <v>396</v>
      </c>
      <c r="BF74" s="187" t="s">
        <v>396</v>
      </c>
      <c r="BG74" s="187" t="s">
        <v>396</v>
      </c>
    </row>
    <row r="75" spans="1:59">
      <c r="A75" s="187">
        <v>217680</v>
      </c>
      <c r="B75" s="187">
        <v>17161793</v>
      </c>
      <c r="C75" s="187">
        <v>2019</v>
      </c>
      <c r="D75" s="189">
        <v>43647</v>
      </c>
      <c r="E75" s="187">
        <v>18</v>
      </c>
      <c r="F75" s="187" t="s">
        <v>411</v>
      </c>
      <c r="G75" s="187" t="s">
        <v>382</v>
      </c>
      <c r="H75" s="187" t="s">
        <v>404</v>
      </c>
      <c r="I75" s="187" t="s">
        <v>415</v>
      </c>
      <c r="J75" s="187">
        <v>29.767430000000001</v>
      </c>
      <c r="K75" s="187">
        <v>-95.606300000000005</v>
      </c>
      <c r="L75" s="187" t="s">
        <v>385</v>
      </c>
      <c r="M75" s="187" t="s">
        <v>386</v>
      </c>
      <c r="N75" s="187" t="s">
        <v>418</v>
      </c>
      <c r="O75" s="187" t="s">
        <v>388</v>
      </c>
      <c r="P75" s="187" t="s">
        <v>389</v>
      </c>
      <c r="Q75" s="187" t="s">
        <v>106</v>
      </c>
      <c r="R75" s="187" t="s">
        <v>390</v>
      </c>
      <c r="S75" s="187">
        <v>0</v>
      </c>
      <c r="T75" s="187">
        <v>0</v>
      </c>
      <c r="U75" s="187">
        <v>0</v>
      </c>
      <c r="V75" s="187">
        <v>0</v>
      </c>
      <c r="W75" s="187">
        <v>0</v>
      </c>
      <c r="X75" s="187">
        <v>2</v>
      </c>
      <c r="Y75" s="187">
        <v>0</v>
      </c>
      <c r="Z75" s="187">
        <v>0</v>
      </c>
      <c r="AA75" s="187">
        <v>0</v>
      </c>
      <c r="AB75" s="187">
        <v>0</v>
      </c>
      <c r="AC75" s="187">
        <v>0</v>
      </c>
      <c r="AD75" s="187">
        <v>2</v>
      </c>
      <c r="AE75" s="187">
        <v>0</v>
      </c>
      <c r="AF75" s="187">
        <v>0</v>
      </c>
      <c r="AG75" s="187">
        <v>0</v>
      </c>
      <c r="AH75" s="187">
        <v>0</v>
      </c>
      <c r="AI75" s="187">
        <v>0</v>
      </c>
      <c r="AJ75" s="187">
        <v>0</v>
      </c>
      <c r="AK75" s="187">
        <v>0</v>
      </c>
      <c r="AL75" s="187">
        <v>0</v>
      </c>
      <c r="AM75" s="187">
        <v>0</v>
      </c>
      <c r="AN75" s="187">
        <v>0</v>
      </c>
      <c r="AO75" s="187">
        <v>0</v>
      </c>
      <c r="AP75" s="187">
        <v>0</v>
      </c>
      <c r="AQ75" s="187">
        <v>0</v>
      </c>
      <c r="AR75" s="187">
        <v>0</v>
      </c>
      <c r="AS75" s="187">
        <v>0</v>
      </c>
      <c r="AT75" s="187">
        <v>0</v>
      </c>
      <c r="AU75" s="187" t="s">
        <v>52</v>
      </c>
      <c r="AV75" s="187" t="s">
        <v>391</v>
      </c>
      <c r="AW75" s="187" t="s">
        <v>392</v>
      </c>
      <c r="AX75" s="187" t="s">
        <v>393</v>
      </c>
      <c r="AY75" s="187">
        <v>77079</v>
      </c>
      <c r="AZ75" s="188">
        <v>48200000000</v>
      </c>
      <c r="BA75" s="187" t="s">
        <v>394</v>
      </c>
      <c r="BB75" s="187" t="s">
        <v>395</v>
      </c>
      <c r="BC75" s="187">
        <v>161810</v>
      </c>
      <c r="BD75" s="187">
        <v>2990</v>
      </c>
      <c r="BE75" s="187" t="s">
        <v>396</v>
      </c>
      <c r="BF75" s="187" t="s">
        <v>396</v>
      </c>
      <c r="BG75" s="187" t="s">
        <v>396</v>
      </c>
    </row>
    <row r="76" spans="1:59">
      <c r="A76" s="187">
        <v>220230</v>
      </c>
      <c r="B76" s="187">
        <v>17173451</v>
      </c>
      <c r="C76" s="187">
        <v>2019</v>
      </c>
      <c r="D76" s="189">
        <v>43651</v>
      </c>
      <c r="E76" s="187">
        <v>15</v>
      </c>
      <c r="F76" s="187" t="s">
        <v>397</v>
      </c>
      <c r="G76" s="187" t="s">
        <v>382</v>
      </c>
      <c r="H76" s="187" t="s">
        <v>404</v>
      </c>
      <c r="I76" s="187" t="s">
        <v>415</v>
      </c>
      <c r="J76" s="187">
        <v>29.770019999999999</v>
      </c>
      <c r="K76" s="187">
        <v>-95.606300000000005</v>
      </c>
      <c r="L76" s="187" t="s">
        <v>385</v>
      </c>
      <c r="M76" s="187" t="s">
        <v>386</v>
      </c>
      <c r="N76" s="187" t="s">
        <v>418</v>
      </c>
      <c r="O76" s="187" t="s">
        <v>388</v>
      </c>
      <c r="P76" s="187" t="s">
        <v>402</v>
      </c>
      <c r="Q76" s="187" t="s">
        <v>105</v>
      </c>
      <c r="R76" s="187" t="s">
        <v>424</v>
      </c>
      <c r="S76" s="187">
        <v>0</v>
      </c>
      <c r="T76" s="187">
        <v>0</v>
      </c>
      <c r="U76" s="187">
        <v>1</v>
      </c>
      <c r="V76" s="187">
        <v>0</v>
      </c>
      <c r="W76" s="187">
        <v>1</v>
      </c>
      <c r="X76" s="187">
        <v>2</v>
      </c>
      <c r="Y76" s="187">
        <v>0</v>
      </c>
      <c r="Z76" s="187">
        <v>0</v>
      </c>
      <c r="AA76" s="187">
        <v>0</v>
      </c>
      <c r="AB76" s="187">
        <v>1</v>
      </c>
      <c r="AC76" s="187">
        <v>0</v>
      </c>
      <c r="AD76" s="187">
        <v>2</v>
      </c>
      <c r="AE76" s="187">
        <v>1</v>
      </c>
      <c r="AF76" s="187">
        <v>0</v>
      </c>
      <c r="AG76" s="187">
        <v>0</v>
      </c>
      <c r="AH76" s="187">
        <v>0</v>
      </c>
      <c r="AI76" s="187">
        <v>0</v>
      </c>
      <c r="AJ76" s="187">
        <v>0</v>
      </c>
      <c r="AK76" s="187">
        <v>0</v>
      </c>
      <c r="AL76" s="187">
        <v>0</v>
      </c>
      <c r="AM76" s="187">
        <v>0</v>
      </c>
      <c r="AN76" s="187">
        <v>0</v>
      </c>
      <c r="AO76" s="187">
        <v>0</v>
      </c>
      <c r="AP76" s="187">
        <v>0</v>
      </c>
      <c r="AQ76" s="187">
        <v>0</v>
      </c>
      <c r="AR76" s="187">
        <v>0</v>
      </c>
      <c r="AS76" s="187">
        <v>0</v>
      </c>
      <c r="AT76" s="187">
        <v>0</v>
      </c>
      <c r="AU76" s="187" t="s">
        <v>52</v>
      </c>
      <c r="AV76" s="187" t="s">
        <v>391</v>
      </c>
      <c r="AW76" s="187" t="s">
        <v>392</v>
      </c>
      <c r="AX76" s="187" t="s">
        <v>393</v>
      </c>
      <c r="AY76" s="187">
        <v>77079</v>
      </c>
      <c r="AZ76" s="188">
        <v>48200000000</v>
      </c>
      <c r="BA76" s="187" t="s">
        <v>394</v>
      </c>
      <c r="BB76" s="187" t="s">
        <v>395</v>
      </c>
      <c r="BC76" s="187">
        <v>162030</v>
      </c>
      <c r="BD76" s="187">
        <v>2990</v>
      </c>
      <c r="BE76" s="187" t="s">
        <v>396</v>
      </c>
      <c r="BF76" s="187" t="s">
        <v>396</v>
      </c>
      <c r="BG76" s="187" t="s">
        <v>396</v>
      </c>
    </row>
    <row r="77" spans="1:59">
      <c r="A77" s="187">
        <v>221094</v>
      </c>
      <c r="B77" s="187">
        <v>17176955</v>
      </c>
      <c r="C77" s="187">
        <v>2019</v>
      </c>
      <c r="D77" s="189">
        <v>43655</v>
      </c>
      <c r="E77" s="187">
        <v>18</v>
      </c>
      <c r="F77" s="187" t="s">
        <v>381</v>
      </c>
      <c r="G77" s="187" t="s">
        <v>382</v>
      </c>
      <c r="H77" s="187" t="s">
        <v>404</v>
      </c>
      <c r="I77" s="187" t="s">
        <v>384</v>
      </c>
      <c r="J77" s="187">
        <v>29.764620000000001</v>
      </c>
      <c r="K77" s="187">
        <v>-95.606300000000005</v>
      </c>
      <c r="L77" s="187" t="s">
        <v>385</v>
      </c>
      <c r="M77" s="187" t="s">
        <v>386</v>
      </c>
      <c r="N77" s="187" t="s">
        <v>406</v>
      </c>
      <c r="O77" s="187" t="s">
        <v>388</v>
      </c>
      <c r="P77" s="187" t="s">
        <v>389</v>
      </c>
      <c r="Q77" s="187" t="s">
        <v>103</v>
      </c>
      <c r="R77" s="187" t="s">
        <v>407</v>
      </c>
      <c r="S77" s="187">
        <v>0</v>
      </c>
      <c r="T77" s="187">
        <v>0</v>
      </c>
      <c r="U77" s="187">
        <v>0</v>
      </c>
      <c r="V77" s="187">
        <v>0</v>
      </c>
      <c r="W77" s="187">
        <v>0</v>
      </c>
      <c r="X77" s="187">
        <v>2</v>
      </c>
      <c r="Y77" s="187">
        <v>0</v>
      </c>
      <c r="Z77" s="187">
        <v>0</v>
      </c>
      <c r="AA77" s="187">
        <v>0</v>
      </c>
      <c r="AB77" s="187">
        <v>0</v>
      </c>
      <c r="AC77" s="187">
        <v>0</v>
      </c>
      <c r="AD77" s="187">
        <v>2</v>
      </c>
      <c r="AE77" s="187">
        <v>0</v>
      </c>
      <c r="AF77" s="187">
        <v>0</v>
      </c>
      <c r="AG77" s="187">
        <v>0</v>
      </c>
      <c r="AH77" s="187">
        <v>0</v>
      </c>
      <c r="AI77" s="187">
        <v>0</v>
      </c>
      <c r="AJ77" s="187">
        <v>0</v>
      </c>
      <c r="AK77" s="187">
        <v>0</v>
      </c>
      <c r="AL77" s="187">
        <v>0</v>
      </c>
      <c r="AM77" s="187">
        <v>0</v>
      </c>
      <c r="AN77" s="187">
        <v>0</v>
      </c>
      <c r="AO77" s="187">
        <v>0</v>
      </c>
      <c r="AP77" s="187">
        <v>0</v>
      </c>
      <c r="AQ77" s="187">
        <v>0</v>
      </c>
      <c r="AR77" s="187">
        <v>0</v>
      </c>
      <c r="AS77" s="187">
        <v>0</v>
      </c>
      <c r="AT77" s="187">
        <v>0</v>
      </c>
      <c r="AU77" s="187" t="s">
        <v>52</v>
      </c>
      <c r="AV77" s="187" t="s">
        <v>391</v>
      </c>
      <c r="AW77" s="187" t="s">
        <v>392</v>
      </c>
      <c r="AX77" s="187" t="s">
        <v>393</v>
      </c>
      <c r="AY77" s="187">
        <v>77079</v>
      </c>
      <c r="AZ77" s="188">
        <v>48200000000</v>
      </c>
      <c r="BA77" s="187" t="s">
        <v>394</v>
      </c>
      <c r="BB77" s="187" t="s">
        <v>395</v>
      </c>
      <c r="BC77" s="187">
        <v>161810</v>
      </c>
      <c r="BD77" s="187">
        <v>2990</v>
      </c>
      <c r="BE77" s="187" t="s">
        <v>396</v>
      </c>
      <c r="BF77" s="187" t="s">
        <v>396</v>
      </c>
      <c r="BG77" s="187" t="s">
        <v>396</v>
      </c>
    </row>
    <row r="78" spans="1:59">
      <c r="A78" s="187">
        <v>227035</v>
      </c>
      <c r="B78" s="187">
        <v>17204181</v>
      </c>
      <c r="C78" s="187">
        <v>2019</v>
      </c>
      <c r="D78" s="187" t="s">
        <v>380</v>
      </c>
      <c r="E78" s="187">
        <v>15</v>
      </c>
      <c r="F78" s="187" t="s">
        <v>397</v>
      </c>
      <c r="G78" s="187" t="s">
        <v>382</v>
      </c>
      <c r="H78" s="187" t="s">
        <v>419</v>
      </c>
      <c r="I78" s="187" t="s">
        <v>384</v>
      </c>
      <c r="J78" s="187">
        <v>29.753969999999999</v>
      </c>
      <c r="K78" s="187">
        <v>-95.606200000000001</v>
      </c>
      <c r="L78" s="187" t="s">
        <v>385</v>
      </c>
      <c r="M78" s="187" t="s">
        <v>386</v>
      </c>
      <c r="N78" s="187" t="s">
        <v>401</v>
      </c>
      <c r="O78" s="187" t="s">
        <v>388</v>
      </c>
      <c r="P78" s="187" t="s">
        <v>389</v>
      </c>
      <c r="Q78" s="187" t="s">
        <v>103</v>
      </c>
      <c r="R78" s="187" t="s">
        <v>410</v>
      </c>
      <c r="S78" s="187">
        <v>0</v>
      </c>
      <c r="T78" s="187">
        <v>0</v>
      </c>
      <c r="U78" s="187">
        <v>0</v>
      </c>
      <c r="V78" s="187">
        <v>0</v>
      </c>
      <c r="W78" s="187">
        <v>0</v>
      </c>
      <c r="X78" s="187">
        <v>3</v>
      </c>
      <c r="Y78" s="187">
        <v>0</v>
      </c>
      <c r="Z78" s="187">
        <v>0</v>
      </c>
      <c r="AA78" s="187">
        <v>0</v>
      </c>
      <c r="AB78" s="187">
        <v>0</v>
      </c>
      <c r="AC78" s="187">
        <v>0</v>
      </c>
      <c r="AD78" s="187">
        <v>3</v>
      </c>
      <c r="AE78" s="187">
        <v>0</v>
      </c>
      <c r="AF78" s="187">
        <v>0</v>
      </c>
      <c r="AG78" s="187">
        <v>0</v>
      </c>
      <c r="AH78" s="187">
        <v>0</v>
      </c>
      <c r="AI78" s="187">
        <v>0</v>
      </c>
      <c r="AJ78" s="187">
        <v>0</v>
      </c>
      <c r="AK78" s="187">
        <v>0</v>
      </c>
      <c r="AL78" s="187">
        <v>0</v>
      </c>
      <c r="AM78" s="187">
        <v>0</v>
      </c>
      <c r="AN78" s="187">
        <v>0</v>
      </c>
      <c r="AO78" s="187">
        <v>0</v>
      </c>
      <c r="AP78" s="187">
        <v>0</v>
      </c>
      <c r="AQ78" s="187">
        <v>0</v>
      </c>
      <c r="AR78" s="187">
        <v>0</v>
      </c>
      <c r="AS78" s="187">
        <v>0</v>
      </c>
      <c r="AT78" s="187">
        <v>0</v>
      </c>
      <c r="AU78" s="187" t="s">
        <v>52</v>
      </c>
      <c r="AV78" s="187" t="s">
        <v>391</v>
      </c>
      <c r="AW78" s="187" t="s">
        <v>392</v>
      </c>
      <c r="AX78" s="187" t="s">
        <v>393</v>
      </c>
      <c r="AY78" s="187">
        <v>77077</v>
      </c>
      <c r="AZ78" s="188">
        <v>48200000000</v>
      </c>
      <c r="BA78" s="187" t="s">
        <v>394</v>
      </c>
      <c r="BB78" s="187" t="s">
        <v>395</v>
      </c>
      <c r="BC78" s="187">
        <v>161370</v>
      </c>
      <c r="BD78" s="187">
        <v>2990</v>
      </c>
      <c r="BE78" s="187" t="s">
        <v>396</v>
      </c>
      <c r="BF78" s="187" t="s">
        <v>396</v>
      </c>
      <c r="BG78" s="187" t="s">
        <v>396</v>
      </c>
    </row>
    <row r="79" spans="1:59">
      <c r="A79" s="187">
        <v>227813</v>
      </c>
      <c r="B79" s="187">
        <v>17206991</v>
      </c>
      <c r="C79" s="187">
        <v>2019</v>
      </c>
      <c r="D79" s="187" t="s">
        <v>380</v>
      </c>
      <c r="E79" s="187">
        <v>7</v>
      </c>
      <c r="F79" s="187" t="s">
        <v>421</v>
      </c>
      <c r="G79" s="187" t="s">
        <v>382</v>
      </c>
      <c r="H79" s="187" t="s">
        <v>383</v>
      </c>
      <c r="I79" s="187" t="s">
        <v>422</v>
      </c>
      <c r="J79" s="187">
        <v>29.758150000000001</v>
      </c>
      <c r="K79" s="187">
        <v>-95.606300000000005</v>
      </c>
      <c r="L79" s="187" t="s">
        <v>385</v>
      </c>
      <c r="M79" s="187" t="s">
        <v>386</v>
      </c>
      <c r="N79" s="187" t="s">
        <v>401</v>
      </c>
      <c r="O79" s="187" t="s">
        <v>388</v>
      </c>
      <c r="P79" s="187" t="s">
        <v>389</v>
      </c>
      <c r="Q79" s="187" t="s">
        <v>103</v>
      </c>
      <c r="R79" s="187" t="s">
        <v>444</v>
      </c>
      <c r="S79" s="187">
        <v>0</v>
      </c>
      <c r="T79" s="187">
        <v>0</v>
      </c>
      <c r="U79" s="187">
        <v>0</v>
      </c>
      <c r="V79" s="187">
        <v>0</v>
      </c>
      <c r="W79" s="187">
        <v>0</v>
      </c>
      <c r="X79" s="187">
        <v>2</v>
      </c>
      <c r="Y79" s="187">
        <v>0</v>
      </c>
      <c r="Z79" s="187">
        <v>0</v>
      </c>
      <c r="AA79" s="187">
        <v>0</v>
      </c>
      <c r="AB79" s="187">
        <v>0</v>
      </c>
      <c r="AC79" s="187">
        <v>0</v>
      </c>
      <c r="AD79" s="187">
        <v>2</v>
      </c>
      <c r="AE79" s="187">
        <v>0</v>
      </c>
      <c r="AF79" s="187">
        <v>0</v>
      </c>
      <c r="AG79" s="187">
        <v>0</v>
      </c>
      <c r="AH79" s="187">
        <v>0</v>
      </c>
      <c r="AI79" s="187">
        <v>0</v>
      </c>
      <c r="AJ79" s="187">
        <v>0</v>
      </c>
      <c r="AK79" s="187">
        <v>0</v>
      </c>
      <c r="AL79" s="187">
        <v>0</v>
      </c>
      <c r="AM79" s="187">
        <v>0</v>
      </c>
      <c r="AN79" s="187">
        <v>0</v>
      </c>
      <c r="AO79" s="187">
        <v>0</v>
      </c>
      <c r="AP79" s="187">
        <v>0</v>
      </c>
      <c r="AQ79" s="187">
        <v>0</v>
      </c>
      <c r="AR79" s="187">
        <v>0</v>
      </c>
      <c r="AS79" s="187">
        <v>0</v>
      </c>
      <c r="AT79" s="187">
        <v>0</v>
      </c>
      <c r="AU79" s="187" t="s">
        <v>52</v>
      </c>
      <c r="AV79" s="187" t="s">
        <v>391</v>
      </c>
      <c r="AW79" s="187" t="s">
        <v>392</v>
      </c>
      <c r="AX79" s="187" t="s">
        <v>393</v>
      </c>
      <c r="AY79" s="187">
        <v>77077</v>
      </c>
      <c r="AZ79" s="188">
        <v>48200000000</v>
      </c>
      <c r="BA79" s="187" t="s">
        <v>394</v>
      </c>
      <c r="BB79" s="187" t="s">
        <v>395</v>
      </c>
      <c r="BC79" s="187">
        <v>161590</v>
      </c>
      <c r="BD79" s="187">
        <v>2990</v>
      </c>
      <c r="BE79" s="187" t="s">
        <v>396</v>
      </c>
      <c r="BF79" s="187" t="s">
        <v>396</v>
      </c>
      <c r="BG79" s="187" t="s">
        <v>396</v>
      </c>
    </row>
    <row r="80" spans="1:59">
      <c r="A80" s="187">
        <v>229061</v>
      </c>
      <c r="B80" s="187">
        <v>17212684</v>
      </c>
      <c r="C80" s="187">
        <v>2019</v>
      </c>
      <c r="D80" s="187" t="s">
        <v>380</v>
      </c>
      <c r="E80" s="187">
        <v>18</v>
      </c>
      <c r="F80" s="187" t="s">
        <v>429</v>
      </c>
      <c r="G80" s="187" t="s">
        <v>382</v>
      </c>
      <c r="H80" s="187" t="s">
        <v>383</v>
      </c>
      <c r="I80" s="187" t="s">
        <v>415</v>
      </c>
      <c r="J80" s="187">
        <v>29.758209999999998</v>
      </c>
      <c r="K80" s="187">
        <v>-95.606300000000005</v>
      </c>
      <c r="L80" s="187" t="s">
        <v>385</v>
      </c>
      <c r="M80" s="187" t="s">
        <v>386</v>
      </c>
      <c r="N80" s="187" t="s">
        <v>425</v>
      </c>
      <c r="O80" s="187" t="s">
        <v>388</v>
      </c>
      <c r="P80" s="187" t="s">
        <v>420</v>
      </c>
      <c r="Q80" s="187" t="s">
        <v>102</v>
      </c>
      <c r="R80" s="187" t="s">
        <v>403</v>
      </c>
      <c r="S80" s="187">
        <v>0</v>
      </c>
      <c r="T80" s="187">
        <v>1</v>
      </c>
      <c r="U80" s="187">
        <v>0</v>
      </c>
      <c r="V80" s="187">
        <v>1</v>
      </c>
      <c r="W80" s="187">
        <v>2</v>
      </c>
      <c r="X80" s="187">
        <v>1</v>
      </c>
      <c r="Y80" s="187">
        <v>0</v>
      </c>
      <c r="Z80" s="187">
        <v>0</v>
      </c>
      <c r="AA80" s="187">
        <v>1</v>
      </c>
      <c r="AB80" s="187">
        <v>0</v>
      </c>
      <c r="AC80" s="187">
        <v>1</v>
      </c>
      <c r="AD80" s="187">
        <v>1</v>
      </c>
      <c r="AE80" s="187">
        <v>2</v>
      </c>
      <c r="AF80" s="187">
        <v>0</v>
      </c>
      <c r="AG80" s="187">
        <v>0</v>
      </c>
      <c r="AH80" s="187">
        <v>0</v>
      </c>
      <c r="AI80" s="187">
        <v>0</v>
      </c>
      <c r="AJ80" s="187">
        <v>0</v>
      </c>
      <c r="AK80" s="187">
        <v>0</v>
      </c>
      <c r="AL80" s="187">
        <v>0</v>
      </c>
      <c r="AM80" s="187">
        <v>0</v>
      </c>
      <c r="AN80" s="187">
        <v>0</v>
      </c>
      <c r="AO80" s="187">
        <v>0</v>
      </c>
      <c r="AP80" s="187">
        <v>0</v>
      </c>
      <c r="AQ80" s="187">
        <v>0</v>
      </c>
      <c r="AR80" s="187">
        <v>0</v>
      </c>
      <c r="AS80" s="187">
        <v>0</v>
      </c>
      <c r="AT80" s="187">
        <v>0</v>
      </c>
      <c r="AU80" s="187" t="s">
        <v>52</v>
      </c>
      <c r="AV80" s="187" t="s">
        <v>391</v>
      </c>
      <c r="AW80" s="187" t="s">
        <v>392</v>
      </c>
      <c r="AX80" s="187" t="s">
        <v>393</v>
      </c>
      <c r="AY80" s="187">
        <v>77077</v>
      </c>
      <c r="AZ80" s="188">
        <v>48200000000</v>
      </c>
      <c r="BA80" s="187" t="s">
        <v>394</v>
      </c>
      <c r="BB80" s="187" t="s">
        <v>395</v>
      </c>
      <c r="BC80" s="187">
        <v>161590</v>
      </c>
      <c r="BD80" s="187">
        <v>2990</v>
      </c>
      <c r="BE80" s="187" t="s">
        <v>396</v>
      </c>
      <c r="BF80" s="187" t="s">
        <v>396</v>
      </c>
      <c r="BG80" s="187" t="s">
        <v>396</v>
      </c>
    </row>
    <row r="81" spans="1:59">
      <c r="A81" s="187">
        <v>230500</v>
      </c>
      <c r="B81" s="187">
        <v>17219128</v>
      </c>
      <c r="C81" s="187">
        <v>2019</v>
      </c>
      <c r="D81" s="189">
        <v>43683</v>
      </c>
      <c r="E81" s="187">
        <v>13</v>
      </c>
      <c r="F81" s="187" t="s">
        <v>381</v>
      </c>
      <c r="G81" s="187" t="s">
        <v>382</v>
      </c>
      <c r="H81" s="187" t="s">
        <v>383</v>
      </c>
      <c r="I81" s="187" t="s">
        <v>398</v>
      </c>
      <c r="J81" s="187">
        <v>29.753699999999998</v>
      </c>
      <c r="K81" s="187">
        <v>-95.606200000000001</v>
      </c>
      <c r="L81" s="187" t="s">
        <v>385</v>
      </c>
      <c r="M81" s="187" t="s">
        <v>386</v>
      </c>
      <c r="N81" s="187" t="s">
        <v>425</v>
      </c>
      <c r="O81" s="187" t="s">
        <v>388</v>
      </c>
      <c r="P81" s="187" t="s">
        <v>342</v>
      </c>
      <c r="Q81" s="187" t="s">
        <v>102</v>
      </c>
      <c r="R81" s="187" t="s">
        <v>403</v>
      </c>
      <c r="S81" s="187">
        <v>0</v>
      </c>
      <c r="T81" s="187">
        <v>0</v>
      </c>
      <c r="U81" s="187">
        <v>0</v>
      </c>
      <c r="V81" s="187">
        <v>1</v>
      </c>
      <c r="W81" s="187">
        <v>1</v>
      </c>
      <c r="X81" s="187">
        <v>2</v>
      </c>
      <c r="Y81" s="187">
        <v>0</v>
      </c>
      <c r="Z81" s="187">
        <v>0</v>
      </c>
      <c r="AA81" s="187">
        <v>0</v>
      </c>
      <c r="AB81" s="187">
        <v>0</v>
      </c>
      <c r="AC81" s="187">
        <v>1</v>
      </c>
      <c r="AD81" s="187">
        <v>2</v>
      </c>
      <c r="AE81" s="187">
        <v>1</v>
      </c>
      <c r="AF81" s="187">
        <v>0</v>
      </c>
      <c r="AG81" s="187">
        <v>0</v>
      </c>
      <c r="AH81" s="187">
        <v>0</v>
      </c>
      <c r="AI81" s="187">
        <v>0</v>
      </c>
      <c r="AJ81" s="187">
        <v>0</v>
      </c>
      <c r="AK81" s="187">
        <v>0</v>
      </c>
      <c r="AL81" s="187">
        <v>0</v>
      </c>
      <c r="AM81" s="187">
        <v>0</v>
      </c>
      <c r="AN81" s="187">
        <v>0</v>
      </c>
      <c r="AO81" s="187">
        <v>0</v>
      </c>
      <c r="AP81" s="187">
        <v>0</v>
      </c>
      <c r="AQ81" s="187">
        <v>0</v>
      </c>
      <c r="AR81" s="187">
        <v>0</v>
      </c>
      <c r="AS81" s="187">
        <v>0</v>
      </c>
      <c r="AT81" s="187">
        <v>0</v>
      </c>
      <c r="AU81" s="187" t="s">
        <v>52</v>
      </c>
      <c r="AV81" s="187" t="s">
        <v>391</v>
      </c>
      <c r="AW81" s="187" t="s">
        <v>392</v>
      </c>
      <c r="AX81" s="187" t="s">
        <v>393</v>
      </c>
      <c r="AY81" s="187">
        <v>77077</v>
      </c>
      <c r="AZ81" s="188">
        <v>48200000000</v>
      </c>
      <c r="BA81" s="187" t="s">
        <v>394</v>
      </c>
      <c r="BB81" s="187" t="s">
        <v>395</v>
      </c>
      <c r="BC81" s="187">
        <v>161370</v>
      </c>
      <c r="BD81" s="187">
        <v>2990</v>
      </c>
      <c r="BE81" s="187" t="s">
        <v>396</v>
      </c>
      <c r="BF81" s="187" t="s">
        <v>396</v>
      </c>
      <c r="BG81" s="187" t="s">
        <v>396</v>
      </c>
    </row>
    <row r="82" spans="1:59">
      <c r="A82" s="187">
        <v>232270</v>
      </c>
      <c r="B82" s="187">
        <v>17226274</v>
      </c>
      <c r="C82" s="187">
        <v>2019</v>
      </c>
      <c r="D82" s="187" t="s">
        <v>380</v>
      </c>
      <c r="E82" s="187">
        <v>13</v>
      </c>
      <c r="F82" s="187" t="s">
        <v>426</v>
      </c>
      <c r="G82" s="187" t="s">
        <v>382</v>
      </c>
      <c r="H82" s="187" t="s">
        <v>383</v>
      </c>
      <c r="I82" s="187" t="s">
        <v>398</v>
      </c>
      <c r="J82" s="187">
        <v>29.75489</v>
      </c>
      <c r="K82" s="187">
        <v>-95.606200000000001</v>
      </c>
      <c r="L82" s="187" t="s">
        <v>385</v>
      </c>
      <c r="M82" s="187" t="s">
        <v>386</v>
      </c>
      <c r="N82" s="187" t="s">
        <v>418</v>
      </c>
      <c r="O82" s="187" t="s">
        <v>388</v>
      </c>
      <c r="P82" s="187" t="s">
        <v>389</v>
      </c>
      <c r="Q82" s="187" t="s">
        <v>102</v>
      </c>
      <c r="R82" s="187" t="s">
        <v>444</v>
      </c>
      <c r="S82" s="187">
        <v>0</v>
      </c>
      <c r="T82" s="187">
        <v>0</v>
      </c>
      <c r="U82" s="187">
        <v>0</v>
      </c>
      <c r="V82" s="187">
        <v>0</v>
      </c>
      <c r="W82" s="187">
        <v>0</v>
      </c>
      <c r="X82" s="187">
        <v>2</v>
      </c>
      <c r="Y82" s="187">
        <v>1</v>
      </c>
      <c r="Z82" s="187">
        <v>0</v>
      </c>
      <c r="AA82" s="187">
        <v>0</v>
      </c>
      <c r="AB82" s="187">
        <v>0</v>
      </c>
      <c r="AC82" s="187">
        <v>0</v>
      </c>
      <c r="AD82" s="187">
        <v>2</v>
      </c>
      <c r="AE82" s="187">
        <v>0</v>
      </c>
      <c r="AF82" s="187">
        <v>1</v>
      </c>
      <c r="AG82" s="187">
        <v>0</v>
      </c>
      <c r="AH82" s="187">
        <v>0</v>
      </c>
      <c r="AI82" s="187">
        <v>0</v>
      </c>
      <c r="AJ82" s="187">
        <v>0</v>
      </c>
      <c r="AK82" s="187">
        <v>0</v>
      </c>
      <c r="AL82" s="187">
        <v>0</v>
      </c>
      <c r="AM82" s="187">
        <v>0</v>
      </c>
      <c r="AN82" s="187">
        <v>0</v>
      </c>
      <c r="AO82" s="187">
        <v>0</v>
      </c>
      <c r="AP82" s="187">
        <v>0</v>
      </c>
      <c r="AQ82" s="187">
        <v>0</v>
      </c>
      <c r="AR82" s="187">
        <v>0</v>
      </c>
      <c r="AS82" s="187">
        <v>0</v>
      </c>
      <c r="AT82" s="187">
        <v>0</v>
      </c>
      <c r="AU82" s="187" t="s">
        <v>52</v>
      </c>
      <c r="AV82" s="187" t="s">
        <v>391</v>
      </c>
      <c r="AW82" s="187" t="s">
        <v>392</v>
      </c>
      <c r="AX82" s="187" t="s">
        <v>393</v>
      </c>
      <c r="AY82" s="187">
        <v>77077</v>
      </c>
      <c r="AZ82" s="188">
        <v>48200000000</v>
      </c>
      <c r="BA82" s="187" t="s">
        <v>394</v>
      </c>
      <c r="BB82" s="187" t="s">
        <v>395</v>
      </c>
      <c r="BC82" s="187">
        <v>161370</v>
      </c>
      <c r="BD82" s="187">
        <v>2990</v>
      </c>
      <c r="BE82" s="187" t="s">
        <v>396</v>
      </c>
      <c r="BF82" s="187" t="s">
        <v>396</v>
      </c>
      <c r="BG82" s="187" t="s">
        <v>396</v>
      </c>
    </row>
    <row r="83" spans="1:59">
      <c r="A83" s="187">
        <v>236873</v>
      </c>
      <c r="B83" s="187">
        <v>17246738</v>
      </c>
      <c r="C83" s="187">
        <v>2019</v>
      </c>
      <c r="D83" s="187" t="s">
        <v>380</v>
      </c>
      <c r="E83" s="187">
        <v>1</v>
      </c>
      <c r="F83" s="187" t="s">
        <v>414</v>
      </c>
      <c r="G83" s="187" t="s">
        <v>382</v>
      </c>
      <c r="H83" s="187" t="s">
        <v>383</v>
      </c>
      <c r="I83" s="187" t="s">
        <v>415</v>
      </c>
      <c r="J83" s="187">
        <v>29.75817</v>
      </c>
      <c r="K83" s="187">
        <v>-95.606300000000005</v>
      </c>
      <c r="L83" s="187" t="s">
        <v>385</v>
      </c>
      <c r="M83" s="187" t="s">
        <v>400</v>
      </c>
      <c r="N83" s="187" t="s">
        <v>401</v>
      </c>
      <c r="O83" s="187" t="s">
        <v>388</v>
      </c>
      <c r="P83" s="187" t="s">
        <v>402</v>
      </c>
      <c r="Q83" s="187" t="s">
        <v>106</v>
      </c>
      <c r="R83" s="187" t="s">
        <v>403</v>
      </c>
      <c r="S83" s="187">
        <v>0</v>
      </c>
      <c r="T83" s="187">
        <v>0</v>
      </c>
      <c r="U83" s="187">
        <v>1</v>
      </c>
      <c r="V83" s="187">
        <v>0</v>
      </c>
      <c r="W83" s="187">
        <v>1</v>
      </c>
      <c r="X83" s="187">
        <v>1</v>
      </c>
      <c r="Y83" s="187">
        <v>0</v>
      </c>
      <c r="Z83" s="187">
        <v>0</v>
      </c>
      <c r="AA83" s="187">
        <v>0</v>
      </c>
      <c r="AB83" s="187">
        <v>1</v>
      </c>
      <c r="AC83" s="187">
        <v>0</v>
      </c>
      <c r="AD83" s="187">
        <v>1</v>
      </c>
      <c r="AE83" s="187">
        <v>1</v>
      </c>
      <c r="AF83" s="187">
        <v>0</v>
      </c>
      <c r="AG83" s="187">
        <v>0</v>
      </c>
      <c r="AH83" s="187">
        <v>0</v>
      </c>
      <c r="AI83" s="187">
        <v>0</v>
      </c>
      <c r="AJ83" s="187">
        <v>0</v>
      </c>
      <c r="AK83" s="187">
        <v>0</v>
      </c>
      <c r="AL83" s="187">
        <v>0</v>
      </c>
      <c r="AM83" s="187">
        <v>0</v>
      </c>
      <c r="AN83" s="187">
        <v>0</v>
      </c>
      <c r="AO83" s="187">
        <v>0</v>
      </c>
      <c r="AP83" s="187">
        <v>0</v>
      </c>
      <c r="AQ83" s="187">
        <v>0</v>
      </c>
      <c r="AR83" s="187">
        <v>0</v>
      </c>
      <c r="AS83" s="187">
        <v>0</v>
      </c>
      <c r="AT83" s="187">
        <v>0</v>
      </c>
      <c r="AU83" s="187" t="s">
        <v>52</v>
      </c>
      <c r="AV83" s="187" t="s">
        <v>391</v>
      </c>
      <c r="AW83" s="187" t="s">
        <v>392</v>
      </c>
      <c r="AX83" s="187" t="s">
        <v>393</v>
      </c>
      <c r="AY83" s="187">
        <v>77077</v>
      </c>
      <c r="AZ83" s="188">
        <v>48200000000</v>
      </c>
      <c r="BA83" s="187" t="s">
        <v>394</v>
      </c>
      <c r="BB83" s="187" t="s">
        <v>395</v>
      </c>
      <c r="BC83" s="187">
        <v>161590</v>
      </c>
      <c r="BD83" s="187">
        <v>2990</v>
      </c>
      <c r="BE83" s="187" t="s">
        <v>396</v>
      </c>
      <c r="BF83" s="187" t="s">
        <v>396</v>
      </c>
      <c r="BG83" s="187" t="s">
        <v>396</v>
      </c>
    </row>
    <row r="84" spans="1:59">
      <c r="A84" s="187">
        <v>238576</v>
      </c>
      <c r="B84" s="187">
        <v>17254498</v>
      </c>
      <c r="C84" s="187">
        <v>2019</v>
      </c>
      <c r="D84" s="187" t="s">
        <v>380</v>
      </c>
      <c r="E84" s="187">
        <v>18</v>
      </c>
      <c r="F84" s="187" t="s">
        <v>411</v>
      </c>
      <c r="G84" s="187" t="s">
        <v>382</v>
      </c>
      <c r="H84" s="187" t="s">
        <v>404</v>
      </c>
      <c r="I84" s="187" t="s">
        <v>422</v>
      </c>
      <c r="J84" s="187">
        <v>29.76979</v>
      </c>
      <c r="K84" s="187">
        <v>-95.606300000000005</v>
      </c>
      <c r="L84" s="187" t="s">
        <v>385</v>
      </c>
      <c r="M84" s="187" t="s">
        <v>386</v>
      </c>
      <c r="N84" s="187" t="s">
        <v>425</v>
      </c>
      <c r="O84" s="187" t="s">
        <v>388</v>
      </c>
      <c r="P84" s="187" t="s">
        <v>389</v>
      </c>
      <c r="Q84" s="187" t="s">
        <v>105</v>
      </c>
      <c r="R84" s="187" t="s">
        <v>428</v>
      </c>
      <c r="S84" s="187">
        <v>0</v>
      </c>
      <c r="T84" s="187">
        <v>0</v>
      </c>
      <c r="U84" s="187">
        <v>0</v>
      </c>
      <c r="V84" s="187">
        <v>0</v>
      </c>
      <c r="W84" s="187">
        <v>0</v>
      </c>
      <c r="X84" s="187">
        <v>2</v>
      </c>
      <c r="Y84" s="187">
        <v>0</v>
      </c>
      <c r="Z84" s="187">
        <v>0</v>
      </c>
      <c r="AA84" s="187">
        <v>0</v>
      </c>
      <c r="AB84" s="187">
        <v>0</v>
      </c>
      <c r="AC84" s="187">
        <v>0</v>
      </c>
      <c r="AD84" s="187">
        <v>2</v>
      </c>
      <c r="AE84" s="187">
        <v>0</v>
      </c>
      <c r="AF84" s="187">
        <v>0</v>
      </c>
      <c r="AG84" s="187">
        <v>0</v>
      </c>
      <c r="AH84" s="187">
        <v>0</v>
      </c>
      <c r="AI84" s="187">
        <v>0</v>
      </c>
      <c r="AJ84" s="187">
        <v>0</v>
      </c>
      <c r="AK84" s="187">
        <v>0</v>
      </c>
      <c r="AL84" s="187">
        <v>0</v>
      </c>
      <c r="AM84" s="187">
        <v>0</v>
      </c>
      <c r="AN84" s="187">
        <v>0</v>
      </c>
      <c r="AO84" s="187">
        <v>0</v>
      </c>
      <c r="AP84" s="187">
        <v>0</v>
      </c>
      <c r="AQ84" s="187">
        <v>0</v>
      </c>
      <c r="AR84" s="187">
        <v>0</v>
      </c>
      <c r="AS84" s="187">
        <v>0</v>
      </c>
      <c r="AT84" s="187">
        <v>0</v>
      </c>
      <c r="AU84" s="187" t="s">
        <v>52</v>
      </c>
      <c r="AV84" s="187" t="s">
        <v>391</v>
      </c>
      <c r="AW84" s="187" t="s">
        <v>392</v>
      </c>
      <c r="AX84" s="187" t="s">
        <v>393</v>
      </c>
      <c r="AY84" s="187">
        <v>77079</v>
      </c>
      <c r="AZ84" s="188">
        <v>48200000000</v>
      </c>
      <c r="BA84" s="187" t="s">
        <v>394</v>
      </c>
      <c r="BB84" s="187" t="s">
        <v>395</v>
      </c>
      <c r="BC84" s="187">
        <v>162030</v>
      </c>
      <c r="BD84" s="187">
        <v>2990</v>
      </c>
      <c r="BE84" s="187" t="s">
        <v>396</v>
      </c>
      <c r="BF84" s="187" t="s">
        <v>396</v>
      </c>
      <c r="BG84" s="187" t="s">
        <v>396</v>
      </c>
    </row>
    <row r="85" spans="1:59">
      <c r="A85" s="187">
        <v>245078</v>
      </c>
      <c r="B85" s="187">
        <v>17283387</v>
      </c>
      <c r="C85" s="187">
        <v>2019</v>
      </c>
      <c r="D85" s="187" t="s">
        <v>380</v>
      </c>
      <c r="E85" s="187">
        <v>10</v>
      </c>
      <c r="F85" s="187" t="s">
        <v>421</v>
      </c>
      <c r="G85" s="187" t="s">
        <v>382</v>
      </c>
      <c r="H85" s="187" t="s">
        <v>383</v>
      </c>
      <c r="I85" s="187" t="s">
        <v>415</v>
      </c>
      <c r="J85" s="187">
        <v>29.753969999999999</v>
      </c>
      <c r="K85" s="187">
        <v>-95.606200000000001</v>
      </c>
      <c r="L85" s="187" t="s">
        <v>385</v>
      </c>
      <c r="M85" s="187" t="s">
        <v>386</v>
      </c>
      <c r="N85" s="187" t="s">
        <v>416</v>
      </c>
      <c r="O85" s="187" t="s">
        <v>388</v>
      </c>
      <c r="P85" s="187" t="s">
        <v>389</v>
      </c>
      <c r="Q85" s="187" t="s">
        <v>103</v>
      </c>
      <c r="R85" s="187" t="s">
        <v>432</v>
      </c>
      <c r="S85" s="187">
        <v>0</v>
      </c>
      <c r="T85" s="187">
        <v>0</v>
      </c>
      <c r="U85" s="187">
        <v>0</v>
      </c>
      <c r="V85" s="187">
        <v>0</v>
      </c>
      <c r="W85" s="187">
        <v>0</v>
      </c>
      <c r="X85" s="187">
        <v>3</v>
      </c>
      <c r="Y85" s="187">
        <v>0</v>
      </c>
      <c r="Z85" s="187">
        <v>0</v>
      </c>
      <c r="AA85" s="187">
        <v>0</v>
      </c>
      <c r="AB85" s="187">
        <v>0</v>
      </c>
      <c r="AC85" s="187">
        <v>0</v>
      </c>
      <c r="AD85" s="187">
        <v>3</v>
      </c>
      <c r="AE85" s="187">
        <v>0</v>
      </c>
      <c r="AF85" s="187">
        <v>0</v>
      </c>
      <c r="AG85" s="187">
        <v>0</v>
      </c>
      <c r="AH85" s="187">
        <v>0</v>
      </c>
      <c r="AI85" s="187">
        <v>0</v>
      </c>
      <c r="AJ85" s="187">
        <v>0</v>
      </c>
      <c r="AK85" s="187">
        <v>0</v>
      </c>
      <c r="AL85" s="187">
        <v>0</v>
      </c>
      <c r="AM85" s="187">
        <v>0</v>
      </c>
      <c r="AN85" s="187">
        <v>0</v>
      </c>
      <c r="AO85" s="187">
        <v>0</v>
      </c>
      <c r="AP85" s="187">
        <v>0</v>
      </c>
      <c r="AQ85" s="187">
        <v>0</v>
      </c>
      <c r="AR85" s="187">
        <v>0</v>
      </c>
      <c r="AS85" s="187">
        <v>0</v>
      </c>
      <c r="AT85" s="187">
        <v>0</v>
      </c>
      <c r="AU85" s="187" t="s">
        <v>52</v>
      </c>
      <c r="AV85" s="187" t="s">
        <v>391</v>
      </c>
      <c r="AW85" s="187" t="s">
        <v>392</v>
      </c>
      <c r="AX85" s="187" t="s">
        <v>393</v>
      </c>
      <c r="AY85" s="187">
        <v>77077</v>
      </c>
      <c r="AZ85" s="188">
        <v>48200000000</v>
      </c>
      <c r="BA85" s="187" t="s">
        <v>394</v>
      </c>
      <c r="BB85" s="187" t="s">
        <v>395</v>
      </c>
      <c r="BC85" s="187">
        <v>161370</v>
      </c>
      <c r="BD85" s="187">
        <v>2990</v>
      </c>
      <c r="BE85" s="187" t="s">
        <v>396</v>
      </c>
      <c r="BF85" s="187" t="s">
        <v>396</v>
      </c>
      <c r="BG85" s="187" t="s">
        <v>396</v>
      </c>
    </row>
    <row r="86" spans="1:59">
      <c r="A86" s="187">
        <v>245662</v>
      </c>
      <c r="B86" s="187">
        <v>17286305</v>
      </c>
      <c r="C86" s="187">
        <v>2019</v>
      </c>
      <c r="D86" s="189">
        <v>43712</v>
      </c>
      <c r="E86" s="187">
        <v>17</v>
      </c>
      <c r="F86" s="187" t="s">
        <v>414</v>
      </c>
      <c r="G86" s="187" t="s">
        <v>382</v>
      </c>
      <c r="H86" s="187" t="s">
        <v>383</v>
      </c>
      <c r="I86" s="187" t="s">
        <v>409</v>
      </c>
      <c r="J86" s="187">
        <v>29.754110000000001</v>
      </c>
      <c r="K86" s="187">
        <v>-95.606200000000001</v>
      </c>
      <c r="L86" s="187" t="s">
        <v>385</v>
      </c>
      <c r="M86" s="187" t="s">
        <v>386</v>
      </c>
      <c r="N86" s="187" t="s">
        <v>425</v>
      </c>
      <c r="O86" s="187" t="s">
        <v>388</v>
      </c>
      <c r="P86" s="187" t="s">
        <v>389</v>
      </c>
      <c r="Q86" s="187" t="s">
        <v>102</v>
      </c>
      <c r="R86" s="187" t="s">
        <v>390</v>
      </c>
      <c r="S86" s="187">
        <v>0</v>
      </c>
      <c r="T86" s="187">
        <v>0</v>
      </c>
      <c r="U86" s="187">
        <v>0</v>
      </c>
      <c r="V86" s="187">
        <v>0</v>
      </c>
      <c r="W86" s="187">
        <v>0</v>
      </c>
      <c r="X86" s="187">
        <v>3</v>
      </c>
      <c r="Y86" s="187">
        <v>0</v>
      </c>
      <c r="Z86" s="187">
        <v>0</v>
      </c>
      <c r="AA86" s="187">
        <v>0</v>
      </c>
      <c r="AB86" s="187">
        <v>0</v>
      </c>
      <c r="AC86" s="187">
        <v>0</v>
      </c>
      <c r="AD86" s="187">
        <v>3</v>
      </c>
      <c r="AE86" s="187">
        <v>0</v>
      </c>
      <c r="AF86" s="187">
        <v>0</v>
      </c>
      <c r="AG86" s="187">
        <v>0</v>
      </c>
      <c r="AH86" s="187">
        <v>0</v>
      </c>
      <c r="AI86" s="187">
        <v>0</v>
      </c>
      <c r="AJ86" s="187">
        <v>0</v>
      </c>
      <c r="AK86" s="187">
        <v>0</v>
      </c>
      <c r="AL86" s="187">
        <v>0</v>
      </c>
      <c r="AM86" s="187">
        <v>0</v>
      </c>
      <c r="AN86" s="187">
        <v>0</v>
      </c>
      <c r="AO86" s="187">
        <v>0</v>
      </c>
      <c r="AP86" s="187">
        <v>0</v>
      </c>
      <c r="AQ86" s="187">
        <v>0</v>
      </c>
      <c r="AR86" s="187">
        <v>0</v>
      </c>
      <c r="AS86" s="187">
        <v>0</v>
      </c>
      <c r="AT86" s="187">
        <v>0</v>
      </c>
      <c r="AU86" s="187" t="s">
        <v>52</v>
      </c>
      <c r="AV86" s="187" t="s">
        <v>391</v>
      </c>
      <c r="AW86" s="187" t="s">
        <v>392</v>
      </c>
      <c r="AX86" s="187" t="s">
        <v>393</v>
      </c>
      <c r="AY86" s="187">
        <v>77077</v>
      </c>
      <c r="AZ86" s="188">
        <v>48200000000</v>
      </c>
      <c r="BA86" s="187" t="s">
        <v>394</v>
      </c>
      <c r="BB86" s="187" t="s">
        <v>395</v>
      </c>
      <c r="BC86" s="187">
        <v>161370</v>
      </c>
      <c r="BD86" s="187">
        <v>2990</v>
      </c>
      <c r="BE86" s="187" t="s">
        <v>396</v>
      </c>
      <c r="BF86" s="187" t="s">
        <v>396</v>
      </c>
      <c r="BG86" s="187" t="s">
        <v>396</v>
      </c>
    </row>
    <row r="87" spans="1:59">
      <c r="A87" s="187">
        <v>248905</v>
      </c>
      <c r="B87" s="187">
        <v>17300856</v>
      </c>
      <c r="C87" s="187">
        <v>2019</v>
      </c>
      <c r="D87" s="187" t="s">
        <v>380</v>
      </c>
      <c r="E87" s="187">
        <v>11</v>
      </c>
      <c r="F87" s="187" t="s">
        <v>426</v>
      </c>
      <c r="G87" s="187" t="s">
        <v>382</v>
      </c>
      <c r="H87" s="187" t="s">
        <v>383</v>
      </c>
      <c r="I87" s="187" t="s">
        <v>415</v>
      </c>
      <c r="J87" s="187">
        <v>29.754249999999999</v>
      </c>
      <c r="K87" s="187">
        <v>-95.606200000000001</v>
      </c>
      <c r="L87" s="187" t="s">
        <v>385</v>
      </c>
      <c r="M87" s="187" t="s">
        <v>386</v>
      </c>
      <c r="N87" s="187" t="s">
        <v>425</v>
      </c>
      <c r="O87" s="187" t="s">
        <v>388</v>
      </c>
      <c r="P87" s="187" t="s">
        <v>389</v>
      </c>
      <c r="Q87" s="187" t="s">
        <v>102</v>
      </c>
      <c r="R87" s="187" t="s">
        <v>390</v>
      </c>
      <c r="S87" s="187">
        <v>0</v>
      </c>
      <c r="T87" s="187">
        <v>0</v>
      </c>
      <c r="U87" s="187">
        <v>0</v>
      </c>
      <c r="V87" s="187">
        <v>0</v>
      </c>
      <c r="W87" s="187">
        <v>0</v>
      </c>
      <c r="X87" s="187">
        <v>2</v>
      </c>
      <c r="Y87" s="187">
        <v>0</v>
      </c>
      <c r="Z87" s="187">
        <v>0</v>
      </c>
      <c r="AA87" s="187">
        <v>0</v>
      </c>
      <c r="AB87" s="187">
        <v>0</v>
      </c>
      <c r="AC87" s="187">
        <v>0</v>
      </c>
      <c r="AD87" s="187">
        <v>2</v>
      </c>
      <c r="AE87" s="187">
        <v>0</v>
      </c>
      <c r="AF87" s="187">
        <v>0</v>
      </c>
      <c r="AG87" s="187">
        <v>0</v>
      </c>
      <c r="AH87" s="187">
        <v>0</v>
      </c>
      <c r="AI87" s="187">
        <v>0</v>
      </c>
      <c r="AJ87" s="187">
        <v>0</v>
      </c>
      <c r="AK87" s="187">
        <v>0</v>
      </c>
      <c r="AL87" s="187">
        <v>0</v>
      </c>
      <c r="AM87" s="187">
        <v>0</v>
      </c>
      <c r="AN87" s="187">
        <v>0</v>
      </c>
      <c r="AO87" s="187">
        <v>0</v>
      </c>
      <c r="AP87" s="187">
        <v>0</v>
      </c>
      <c r="AQ87" s="187">
        <v>0</v>
      </c>
      <c r="AR87" s="187">
        <v>0</v>
      </c>
      <c r="AS87" s="187">
        <v>0</v>
      </c>
      <c r="AT87" s="187">
        <v>0</v>
      </c>
      <c r="AU87" s="187" t="s">
        <v>52</v>
      </c>
      <c r="AV87" s="187" t="s">
        <v>391</v>
      </c>
      <c r="AW87" s="187" t="s">
        <v>392</v>
      </c>
      <c r="AX87" s="187" t="s">
        <v>393</v>
      </c>
      <c r="AY87" s="187">
        <v>77077</v>
      </c>
      <c r="AZ87" s="188">
        <v>48200000000</v>
      </c>
      <c r="BA87" s="187" t="s">
        <v>394</v>
      </c>
      <c r="BB87" s="187" t="s">
        <v>395</v>
      </c>
      <c r="BC87" s="187">
        <v>161370</v>
      </c>
      <c r="BD87" s="187">
        <v>2990</v>
      </c>
      <c r="BE87" s="187" t="s">
        <v>396</v>
      </c>
      <c r="BF87" s="187" t="s">
        <v>396</v>
      </c>
      <c r="BG87" s="187" t="s">
        <v>396</v>
      </c>
    </row>
    <row r="88" spans="1:59">
      <c r="A88" s="187">
        <v>249403</v>
      </c>
      <c r="B88" s="187">
        <v>17303012</v>
      </c>
      <c r="C88" s="187">
        <v>2019</v>
      </c>
      <c r="D88" s="187" t="s">
        <v>380</v>
      </c>
      <c r="E88" s="187">
        <v>16</v>
      </c>
      <c r="F88" s="187" t="s">
        <v>397</v>
      </c>
      <c r="G88" s="187" t="s">
        <v>382</v>
      </c>
      <c r="H88" s="187" t="s">
        <v>404</v>
      </c>
      <c r="I88" s="187" t="s">
        <v>398</v>
      </c>
      <c r="J88" s="187">
        <v>29.76886</v>
      </c>
      <c r="K88" s="187">
        <v>-95.606300000000005</v>
      </c>
      <c r="L88" s="187" t="s">
        <v>405</v>
      </c>
      <c r="M88" s="187" t="s">
        <v>386</v>
      </c>
      <c r="N88" s="187" t="s">
        <v>425</v>
      </c>
      <c r="O88" s="187" t="s">
        <v>388</v>
      </c>
      <c r="P88" s="187" t="s">
        <v>342</v>
      </c>
      <c r="Q88" s="187" t="s">
        <v>102</v>
      </c>
      <c r="R88" s="187" t="s">
        <v>403</v>
      </c>
      <c r="S88" s="187">
        <v>0</v>
      </c>
      <c r="T88" s="187">
        <v>0</v>
      </c>
      <c r="U88" s="187">
        <v>0</v>
      </c>
      <c r="V88" s="187">
        <v>1</v>
      </c>
      <c r="W88" s="187">
        <v>1</v>
      </c>
      <c r="X88" s="187">
        <v>1</v>
      </c>
      <c r="Y88" s="187">
        <v>0</v>
      </c>
      <c r="Z88" s="187">
        <v>0</v>
      </c>
      <c r="AA88" s="187">
        <v>0</v>
      </c>
      <c r="AB88" s="187">
        <v>0</v>
      </c>
      <c r="AC88" s="187">
        <v>1</v>
      </c>
      <c r="AD88" s="187">
        <v>1</v>
      </c>
      <c r="AE88" s="187">
        <v>1</v>
      </c>
      <c r="AF88" s="187">
        <v>0</v>
      </c>
      <c r="AG88" s="187">
        <v>0</v>
      </c>
      <c r="AH88" s="187">
        <v>0</v>
      </c>
      <c r="AI88" s="187">
        <v>0</v>
      </c>
      <c r="AJ88" s="187">
        <v>0</v>
      </c>
      <c r="AK88" s="187">
        <v>0</v>
      </c>
      <c r="AL88" s="187">
        <v>0</v>
      </c>
      <c r="AM88" s="187">
        <v>0</v>
      </c>
      <c r="AN88" s="187">
        <v>0</v>
      </c>
      <c r="AO88" s="187">
        <v>0</v>
      </c>
      <c r="AP88" s="187">
        <v>0</v>
      </c>
      <c r="AQ88" s="187">
        <v>0</v>
      </c>
      <c r="AR88" s="187">
        <v>0</v>
      </c>
      <c r="AS88" s="187">
        <v>0</v>
      </c>
      <c r="AT88" s="187">
        <v>0</v>
      </c>
      <c r="AU88" s="187" t="s">
        <v>52</v>
      </c>
      <c r="AV88" s="187" t="s">
        <v>391</v>
      </c>
      <c r="AW88" s="187" t="s">
        <v>392</v>
      </c>
      <c r="AX88" s="187" t="s">
        <v>393</v>
      </c>
      <c r="AY88" s="187">
        <v>77079</v>
      </c>
      <c r="AZ88" s="188">
        <v>48200000000</v>
      </c>
      <c r="BA88" s="187" t="s">
        <v>394</v>
      </c>
      <c r="BB88" s="187" t="s">
        <v>395</v>
      </c>
      <c r="BC88" s="187">
        <v>161810</v>
      </c>
      <c r="BD88" s="187">
        <v>2990</v>
      </c>
      <c r="BE88" s="187" t="s">
        <v>396</v>
      </c>
      <c r="BF88" s="187" t="s">
        <v>396</v>
      </c>
      <c r="BG88" s="187" t="s">
        <v>396</v>
      </c>
    </row>
    <row r="89" spans="1:59">
      <c r="A89" s="187">
        <v>249921</v>
      </c>
      <c r="B89" s="187">
        <v>17305823</v>
      </c>
      <c r="C89" s="187">
        <v>2019</v>
      </c>
      <c r="D89" s="187" t="s">
        <v>380</v>
      </c>
      <c r="E89" s="187">
        <v>16</v>
      </c>
      <c r="F89" s="187" t="s">
        <v>411</v>
      </c>
      <c r="G89" s="187" t="s">
        <v>382</v>
      </c>
      <c r="H89" s="187" t="s">
        <v>383</v>
      </c>
      <c r="I89" s="187" t="s">
        <v>409</v>
      </c>
      <c r="J89" s="187">
        <v>29.753699999999998</v>
      </c>
      <c r="K89" s="187">
        <v>-95.606200000000001</v>
      </c>
      <c r="L89" s="187" t="s">
        <v>385</v>
      </c>
      <c r="M89" s="187" t="s">
        <v>386</v>
      </c>
      <c r="N89" s="187" t="s">
        <v>425</v>
      </c>
      <c r="O89" s="187" t="s">
        <v>388</v>
      </c>
      <c r="P89" s="187" t="s">
        <v>389</v>
      </c>
      <c r="Q89" s="187" t="s">
        <v>102</v>
      </c>
      <c r="R89" s="187" t="s">
        <v>403</v>
      </c>
      <c r="S89" s="187">
        <v>0</v>
      </c>
      <c r="T89" s="187">
        <v>0</v>
      </c>
      <c r="U89" s="187">
        <v>0</v>
      </c>
      <c r="V89" s="187">
        <v>0</v>
      </c>
      <c r="W89" s="187">
        <v>0</v>
      </c>
      <c r="X89" s="187">
        <v>3</v>
      </c>
      <c r="Y89" s="187">
        <v>1</v>
      </c>
      <c r="Z89" s="187">
        <v>0</v>
      </c>
      <c r="AA89" s="187">
        <v>0</v>
      </c>
      <c r="AB89" s="187">
        <v>0</v>
      </c>
      <c r="AC89" s="187">
        <v>0</v>
      </c>
      <c r="AD89" s="187">
        <v>3</v>
      </c>
      <c r="AE89" s="187">
        <v>0</v>
      </c>
      <c r="AF89" s="187">
        <v>1</v>
      </c>
      <c r="AG89" s="187">
        <v>0</v>
      </c>
      <c r="AH89" s="187">
        <v>0</v>
      </c>
      <c r="AI89" s="187">
        <v>0</v>
      </c>
      <c r="AJ89" s="187">
        <v>0</v>
      </c>
      <c r="AK89" s="187">
        <v>0</v>
      </c>
      <c r="AL89" s="187">
        <v>0</v>
      </c>
      <c r="AM89" s="187">
        <v>0</v>
      </c>
      <c r="AN89" s="187">
        <v>0</v>
      </c>
      <c r="AO89" s="187">
        <v>0</v>
      </c>
      <c r="AP89" s="187">
        <v>0</v>
      </c>
      <c r="AQ89" s="187">
        <v>0</v>
      </c>
      <c r="AR89" s="187">
        <v>0</v>
      </c>
      <c r="AS89" s="187">
        <v>0</v>
      </c>
      <c r="AT89" s="187">
        <v>0</v>
      </c>
      <c r="AU89" s="187" t="s">
        <v>52</v>
      </c>
      <c r="AV89" s="187" t="s">
        <v>391</v>
      </c>
      <c r="AW89" s="187" t="s">
        <v>392</v>
      </c>
      <c r="AX89" s="187" t="s">
        <v>393</v>
      </c>
      <c r="AY89" s="187">
        <v>77077</v>
      </c>
      <c r="AZ89" s="188">
        <v>48200000000</v>
      </c>
      <c r="BA89" s="187" t="s">
        <v>394</v>
      </c>
      <c r="BB89" s="187" t="s">
        <v>395</v>
      </c>
      <c r="BC89" s="187">
        <v>161370</v>
      </c>
      <c r="BD89" s="187">
        <v>2990</v>
      </c>
      <c r="BE89" s="187" t="s">
        <v>396</v>
      </c>
      <c r="BF89" s="187" t="s">
        <v>396</v>
      </c>
      <c r="BG89" s="187" t="s">
        <v>396</v>
      </c>
    </row>
    <row r="90" spans="1:59">
      <c r="A90" s="187">
        <v>253269</v>
      </c>
      <c r="B90" s="187">
        <v>17320781</v>
      </c>
      <c r="C90" s="187">
        <v>2019</v>
      </c>
      <c r="D90" s="187" t="s">
        <v>380</v>
      </c>
      <c r="E90" s="187">
        <v>16</v>
      </c>
      <c r="F90" s="187" t="s">
        <v>426</v>
      </c>
      <c r="G90" s="187" t="s">
        <v>382</v>
      </c>
      <c r="H90" s="187" t="s">
        <v>383</v>
      </c>
      <c r="I90" s="187" t="s">
        <v>409</v>
      </c>
      <c r="J90" s="187">
        <v>29.75535</v>
      </c>
      <c r="K90" s="187">
        <v>-95.606200000000001</v>
      </c>
      <c r="L90" s="187" t="s">
        <v>385</v>
      </c>
      <c r="M90" s="187" t="s">
        <v>386</v>
      </c>
      <c r="N90" s="187" t="s">
        <v>425</v>
      </c>
      <c r="O90" s="187" t="s">
        <v>388</v>
      </c>
      <c r="P90" s="187" t="s">
        <v>389</v>
      </c>
      <c r="Q90" s="187" t="s">
        <v>102</v>
      </c>
      <c r="R90" s="187" t="s">
        <v>433</v>
      </c>
      <c r="S90" s="187">
        <v>0</v>
      </c>
      <c r="T90" s="187">
        <v>0</v>
      </c>
      <c r="U90" s="187">
        <v>0</v>
      </c>
      <c r="V90" s="187">
        <v>0</v>
      </c>
      <c r="W90" s="187">
        <v>0</v>
      </c>
      <c r="X90" s="187">
        <v>4</v>
      </c>
      <c r="Y90" s="187">
        <v>0</v>
      </c>
      <c r="Z90" s="187">
        <v>0</v>
      </c>
      <c r="AA90" s="187">
        <v>0</v>
      </c>
      <c r="AB90" s="187">
        <v>0</v>
      </c>
      <c r="AC90" s="187">
        <v>0</v>
      </c>
      <c r="AD90" s="187">
        <v>4</v>
      </c>
      <c r="AE90" s="187">
        <v>0</v>
      </c>
      <c r="AF90" s="187">
        <v>0</v>
      </c>
      <c r="AG90" s="187">
        <v>0</v>
      </c>
      <c r="AH90" s="187">
        <v>0</v>
      </c>
      <c r="AI90" s="187">
        <v>0</v>
      </c>
      <c r="AJ90" s="187">
        <v>0</v>
      </c>
      <c r="AK90" s="187">
        <v>0</v>
      </c>
      <c r="AL90" s="187">
        <v>0</v>
      </c>
      <c r="AM90" s="187">
        <v>0</v>
      </c>
      <c r="AN90" s="187">
        <v>0</v>
      </c>
      <c r="AO90" s="187">
        <v>0</v>
      </c>
      <c r="AP90" s="187">
        <v>0</v>
      </c>
      <c r="AQ90" s="187">
        <v>0</v>
      </c>
      <c r="AR90" s="187">
        <v>0</v>
      </c>
      <c r="AS90" s="187">
        <v>0</v>
      </c>
      <c r="AT90" s="187">
        <v>0</v>
      </c>
      <c r="AU90" s="187" t="s">
        <v>52</v>
      </c>
      <c r="AV90" s="187" t="s">
        <v>391</v>
      </c>
      <c r="AW90" s="187" t="s">
        <v>392</v>
      </c>
      <c r="AX90" s="187" t="s">
        <v>393</v>
      </c>
      <c r="AY90" s="187">
        <v>77077</v>
      </c>
      <c r="AZ90" s="188">
        <v>48200000000</v>
      </c>
      <c r="BA90" s="187" t="s">
        <v>394</v>
      </c>
      <c r="BB90" s="187" t="s">
        <v>395</v>
      </c>
      <c r="BC90" s="187">
        <v>161370</v>
      </c>
      <c r="BD90" s="187">
        <v>2990</v>
      </c>
      <c r="BE90" s="187" t="s">
        <v>396</v>
      </c>
      <c r="BF90" s="187" t="s">
        <v>396</v>
      </c>
      <c r="BG90" s="187" t="s">
        <v>396</v>
      </c>
    </row>
    <row r="91" spans="1:59">
      <c r="A91" s="187">
        <v>253863</v>
      </c>
      <c r="B91" s="187">
        <v>17323453</v>
      </c>
      <c r="C91" s="187">
        <v>2019</v>
      </c>
      <c r="D91" s="187" t="s">
        <v>380</v>
      </c>
      <c r="E91" s="187">
        <v>14</v>
      </c>
      <c r="F91" s="187" t="s">
        <v>426</v>
      </c>
      <c r="G91" s="187" t="s">
        <v>382</v>
      </c>
      <c r="H91" s="187" t="s">
        <v>419</v>
      </c>
      <c r="I91" s="187" t="s">
        <v>422</v>
      </c>
      <c r="J91" s="187">
        <v>29.753979999999999</v>
      </c>
      <c r="K91" s="187">
        <v>-95.605900000000005</v>
      </c>
      <c r="L91" s="187" t="s">
        <v>405</v>
      </c>
      <c r="M91" s="187" t="s">
        <v>386</v>
      </c>
      <c r="N91" s="187" t="s">
        <v>425</v>
      </c>
      <c r="O91" s="187" t="s">
        <v>388</v>
      </c>
      <c r="P91" s="187" t="s">
        <v>389</v>
      </c>
      <c r="Q91" s="187" t="s">
        <v>102</v>
      </c>
      <c r="R91" s="187" t="s">
        <v>444</v>
      </c>
      <c r="S91" s="187">
        <v>0</v>
      </c>
      <c r="T91" s="187">
        <v>0</v>
      </c>
      <c r="U91" s="187">
        <v>0</v>
      </c>
      <c r="V91" s="187">
        <v>0</v>
      </c>
      <c r="W91" s="187">
        <v>0</v>
      </c>
      <c r="X91" s="187">
        <v>1</v>
      </c>
      <c r="Y91" s="187">
        <v>1</v>
      </c>
      <c r="Z91" s="187">
        <v>0</v>
      </c>
      <c r="AA91" s="187">
        <v>0</v>
      </c>
      <c r="AB91" s="187">
        <v>0</v>
      </c>
      <c r="AC91" s="187">
        <v>0</v>
      </c>
      <c r="AD91" s="187">
        <v>1</v>
      </c>
      <c r="AE91" s="187">
        <v>0</v>
      </c>
      <c r="AF91" s="187">
        <v>1</v>
      </c>
      <c r="AG91" s="187">
        <v>0</v>
      </c>
      <c r="AH91" s="187">
        <v>0</v>
      </c>
      <c r="AI91" s="187">
        <v>0</v>
      </c>
      <c r="AJ91" s="187">
        <v>0</v>
      </c>
      <c r="AK91" s="187">
        <v>0</v>
      </c>
      <c r="AL91" s="187">
        <v>0</v>
      </c>
      <c r="AM91" s="187">
        <v>0</v>
      </c>
      <c r="AN91" s="187">
        <v>0</v>
      </c>
      <c r="AO91" s="187">
        <v>0</v>
      </c>
      <c r="AP91" s="187">
        <v>0</v>
      </c>
      <c r="AQ91" s="187">
        <v>0</v>
      </c>
      <c r="AR91" s="187">
        <v>0</v>
      </c>
      <c r="AS91" s="187">
        <v>0</v>
      </c>
      <c r="AT91" s="187">
        <v>0</v>
      </c>
      <c r="AU91" s="187" t="s">
        <v>52</v>
      </c>
      <c r="AV91" s="187" t="s">
        <v>391</v>
      </c>
      <c r="AW91" s="187" t="s">
        <v>392</v>
      </c>
      <c r="AX91" s="187" t="s">
        <v>393</v>
      </c>
      <c r="AY91" s="187">
        <v>77077</v>
      </c>
      <c r="AZ91" s="188">
        <v>48200000000</v>
      </c>
      <c r="BA91" s="187" t="s">
        <v>394</v>
      </c>
      <c r="BB91" s="187" t="s">
        <v>395</v>
      </c>
      <c r="BC91" s="187">
        <v>161370</v>
      </c>
      <c r="BD91" s="187">
        <v>2990</v>
      </c>
      <c r="BE91" s="187" t="s">
        <v>396</v>
      </c>
      <c r="BF91" s="187" t="s">
        <v>396</v>
      </c>
      <c r="BG91" s="187" t="s">
        <v>396</v>
      </c>
    </row>
    <row r="92" spans="1:59">
      <c r="A92" s="187">
        <v>254362</v>
      </c>
      <c r="B92" s="187">
        <v>17326161</v>
      </c>
      <c r="C92" s="187">
        <v>2019</v>
      </c>
      <c r="D92" s="187" t="s">
        <v>380</v>
      </c>
      <c r="E92" s="187">
        <v>10</v>
      </c>
      <c r="F92" s="187" t="s">
        <v>397</v>
      </c>
      <c r="G92" s="187" t="s">
        <v>382</v>
      </c>
      <c r="H92" s="187" t="s">
        <v>383</v>
      </c>
      <c r="I92" s="187" t="s">
        <v>398</v>
      </c>
      <c r="J92" s="187">
        <v>29.753969999999999</v>
      </c>
      <c r="K92" s="187">
        <v>-95.606200000000001</v>
      </c>
      <c r="L92" s="187" t="s">
        <v>385</v>
      </c>
      <c r="M92" s="187" t="s">
        <v>386</v>
      </c>
      <c r="N92" s="187" t="s">
        <v>401</v>
      </c>
      <c r="O92" s="187" t="s">
        <v>388</v>
      </c>
      <c r="P92" s="187" t="s">
        <v>389</v>
      </c>
      <c r="Q92" s="187" t="s">
        <v>103</v>
      </c>
      <c r="R92" s="187" t="s">
        <v>410</v>
      </c>
      <c r="S92" s="187">
        <v>0</v>
      </c>
      <c r="T92" s="187">
        <v>0</v>
      </c>
      <c r="U92" s="187">
        <v>0</v>
      </c>
      <c r="V92" s="187">
        <v>0</v>
      </c>
      <c r="W92" s="187">
        <v>0</v>
      </c>
      <c r="X92" s="187">
        <v>1</v>
      </c>
      <c r="Y92" s="187">
        <v>1</v>
      </c>
      <c r="Z92" s="187">
        <v>0</v>
      </c>
      <c r="AA92" s="187">
        <v>0</v>
      </c>
      <c r="AB92" s="187">
        <v>0</v>
      </c>
      <c r="AC92" s="187">
        <v>0</v>
      </c>
      <c r="AD92" s="187">
        <v>1</v>
      </c>
      <c r="AE92" s="187">
        <v>0</v>
      </c>
      <c r="AF92" s="187">
        <v>1</v>
      </c>
      <c r="AG92" s="187">
        <v>0</v>
      </c>
      <c r="AH92" s="187">
        <v>0</v>
      </c>
      <c r="AI92" s="187">
        <v>0</v>
      </c>
      <c r="AJ92" s="187">
        <v>0</v>
      </c>
      <c r="AK92" s="187">
        <v>0</v>
      </c>
      <c r="AL92" s="187">
        <v>0</v>
      </c>
      <c r="AM92" s="187">
        <v>0</v>
      </c>
      <c r="AN92" s="187">
        <v>0</v>
      </c>
      <c r="AO92" s="187">
        <v>0</v>
      </c>
      <c r="AP92" s="187">
        <v>0</v>
      </c>
      <c r="AQ92" s="187">
        <v>0</v>
      </c>
      <c r="AR92" s="187">
        <v>0</v>
      </c>
      <c r="AS92" s="187">
        <v>0</v>
      </c>
      <c r="AT92" s="187">
        <v>0</v>
      </c>
      <c r="AU92" s="187" t="s">
        <v>52</v>
      </c>
      <c r="AV92" s="187" t="s">
        <v>391</v>
      </c>
      <c r="AW92" s="187" t="s">
        <v>392</v>
      </c>
      <c r="AX92" s="187" t="s">
        <v>393</v>
      </c>
      <c r="AY92" s="187">
        <v>77077</v>
      </c>
      <c r="AZ92" s="188">
        <v>48200000000</v>
      </c>
      <c r="BA92" s="187" t="s">
        <v>394</v>
      </c>
      <c r="BB92" s="187" t="s">
        <v>395</v>
      </c>
      <c r="BC92" s="187">
        <v>161370</v>
      </c>
      <c r="BD92" s="187">
        <v>2990</v>
      </c>
      <c r="BE92" s="187" t="s">
        <v>396</v>
      </c>
      <c r="BF92" s="187" t="s">
        <v>396</v>
      </c>
      <c r="BG92" s="187" t="s">
        <v>396</v>
      </c>
    </row>
    <row r="93" spans="1:59">
      <c r="A93" s="187">
        <v>255949</v>
      </c>
      <c r="B93" s="187">
        <v>17332965</v>
      </c>
      <c r="C93" s="187">
        <v>2019</v>
      </c>
      <c r="D93" s="187" t="s">
        <v>380</v>
      </c>
      <c r="E93" s="187">
        <v>11</v>
      </c>
      <c r="F93" s="187" t="s">
        <v>411</v>
      </c>
      <c r="G93" s="187" t="s">
        <v>382</v>
      </c>
      <c r="H93" s="187" t="s">
        <v>419</v>
      </c>
      <c r="I93" s="187" t="s">
        <v>422</v>
      </c>
      <c r="J93" s="187">
        <v>29.753969999999999</v>
      </c>
      <c r="K93" s="187">
        <v>-95.606099999999998</v>
      </c>
      <c r="L93" s="187" t="s">
        <v>385</v>
      </c>
      <c r="M93" s="187" t="s">
        <v>386</v>
      </c>
      <c r="N93" s="187" t="s">
        <v>418</v>
      </c>
      <c r="O93" s="187" t="s">
        <v>388</v>
      </c>
      <c r="P93" s="187" t="s">
        <v>389</v>
      </c>
      <c r="Q93" s="187" t="s">
        <v>102</v>
      </c>
      <c r="R93" s="187" t="s">
        <v>440</v>
      </c>
      <c r="S93" s="187">
        <v>0</v>
      </c>
      <c r="T93" s="187">
        <v>0</v>
      </c>
      <c r="U93" s="187">
        <v>0</v>
      </c>
      <c r="V93" s="187">
        <v>0</v>
      </c>
      <c r="W93" s="187">
        <v>0</v>
      </c>
      <c r="X93" s="187">
        <v>2</v>
      </c>
      <c r="Y93" s="187">
        <v>0</v>
      </c>
      <c r="Z93" s="187">
        <v>0</v>
      </c>
      <c r="AA93" s="187">
        <v>0</v>
      </c>
      <c r="AB93" s="187">
        <v>0</v>
      </c>
      <c r="AC93" s="187">
        <v>0</v>
      </c>
      <c r="AD93" s="187">
        <v>2</v>
      </c>
      <c r="AE93" s="187">
        <v>0</v>
      </c>
      <c r="AF93" s="187">
        <v>0</v>
      </c>
      <c r="AG93" s="187">
        <v>0</v>
      </c>
      <c r="AH93" s="187">
        <v>0</v>
      </c>
      <c r="AI93" s="187">
        <v>0</v>
      </c>
      <c r="AJ93" s="187">
        <v>0</v>
      </c>
      <c r="AK93" s="187">
        <v>0</v>
      </c>
      <c r="AL93" s="187">
        <v>0</v>
      </c>
      <c r="AM93" s="187">
        <v>0</v>
      </c>
      <c r="AN93" s="187">
        <v>0</v>
      </c>
      <c r="AO93" s="187">
        <v>0</v>
      </c>
      <c r="AP93" s="187">
        <v>0</v>
      </c>
      <c r="AQ93" s="187">
        <v>0</v>
      </c>
      <c r="AR93" s="187">
        <v>0</v>
      </c>
      <c r="AS93" s="187">
        <v>0</v>
      </c>
      <c r="AT93" s="187">
        <v>0</v>
      </c>
      <c r="AU93" s="187" t="s">
        <v>52</v>
      </c>
      <c r="AV93" s="187" t="s">
        <v>391</v>
      </c>
      <c r="AW93" s="187" t="s">
        <v>392</v>
      </c>
      <c r="AX93" s="187" t="s">
        <v>393</v>
      </c>
      <c r="AY93" s="187">
        <v>77077</v>
      </c>
      <c r="AZ93" s="188">
        <v>48200000000</v>
      </c>
      <c r="BA93" s="187" t="s">
        <v>394</v>
      </c>
      <c r="BB93" s="187" t="s">
        <v>395</v>
      </c>
      <c r="BC93" s="187">
        <v>161370</v>
      </c>
      <c r="BD93" s="187">
        <v>2990</v>
      </c>
      <c r="BE93" s="187" t="s">
        <v>396</v>
      </c>
      <c r="BF93" s="187" t="s">
        <v>396</v>
      </c>
      <c r="BG93" s="187" t="s">
        <v>396</v>
      </c>
    </row>
    <row r="94" spans="1:59">
      <c r="A94" s="187">
        <v>260363</v>
      </c>
      <c r="B94" s="187">
        <v>17352077</v>
      </c>
      <c r="C94" s="187">
        <v>2019</v>
      </c>
      <c r="D94" s="187" t="s">
        <v>380</v>
      </c>
      <c r="E94" s="187">
        <v>11</v>
      </c>
      <c r="F94" s="187" t="s">
        <v>421</v>
      </c>
      <c r="G94" s="187" t="s">
        <v>382</v>
      </c>
      <c r="H94" s="187" t="s">
        <v>404</v>
      </c>
      <c r="I94" s="187" t="s">
        <v>398</v>
      </c>
      <c r="J94" s="187">
        <v>29.768280000000001</v>
      </c>
      <c r="K94" s="187">
        <v>-95.606300000000005</v>
      </c>
      <c r="L94" s="187" t="s">
        <v>385</v>
      </c>
      <c r="M94" s="187" t="s">
        <v>386</v>
      </c>
      <c r="N94" s="187" t="s">
        <v>412</v>
      </c>
      <c r="O94" s="187" t="s">
        <v>388</v>
      </c>
      <c r="P94" s="187" t="s">
        <v>420</v>
      </c>
      <c r="Q94" s="187" t="s">
        <v>102</v>
      </c>
      <c r="R94" s="187" t="s">
        <v>417</v>
      </c>
      <c r="S94" s="187">
        <v>0</v>
      </c>
      <c r="T94" s="187">
        <v>1</v>
      </c>
      <c r="U94" s="187">
        <v>0</v>
      </c>
      <c r="V94" s="187">
        <v>0</v>
      </c>
      <c r="W94" s="187">
        <v>1</v>
      </c>
      <c r="X94" s="187">
        <v>1</v>
      </c>
      <c r="Y94" s="187">
        <v>0</v>
      </c>
      <c r="Z94" s="187">
        <v>0</v>
      </c>
      <c r="AA94" s="187">
        <v>1</v>
      </c>
      <c r="AB94" s="187">
        <v>0</v>
      </c>
      <c r="AC94" s="187">
        <v>0</v>
      </c>
      <c r="AD94" s="187">
        <v>1</v>
      </c>
      <c r="AE94" s="187">
        <v>1</v>
      </c>
      <c r="AF94" s="187">
        <v>0</v>
      </c>
      <c r="AG94" s="187">
        <v>0</v>
      </c>
      <c r="AH94" s="187">
        <v>0</v>
      </c>
      <c r="AI94" s="187">
        <v>0</v>
      </c>
      <c r="AJ94" s="187">
        <v>0</v>
      </c>
      <c r="AK94" s="187">
        <v>0</v>
      </c>
      <c r="AL94" s="187">
        <v>0</v>
      </c>
      <c r="AM94" s="187">
        <v>0</v>
      </c>
      <c r="AN94" s="187">
        <v>0</v>
      </c>
      <c r="AO94" s="187">
        <v>0</v>
      </c>
      <c r="AP94" s="187">
        <v>0</v>
      </c>
      <c r="AQ94" s="187">
        <v>0</v>
      </c>
      <c r="AR94" s="187">
        <v>0</v>
      </c>
      <c r="AS94" s="187">
        <v>0</v>
      </c>
      <c r="AT94" s="187">
        <v>0</v>
      </c>
      <c r="AU94" s="187" t="s">
        <v>52</v>
      </c>
      <c r="AV94" s="187" t="s">
        <v>391</v>
      </c>
      <c r="AW94" s="187" t="s">
        <v>392</v>
      </c>
      <c r="AX94" s="187" t="s">
        <v>393</v>
      </c>
      <c r="AY94" s="187">
        <v>77079</v>
      </c>
      <c r="AZ94" s="188">
        <v>48200000000</v>
      </c>
      <c r="BA94" s="187" t="s">
        <v>394</v>
      </c>
      <c r="BB94" s="187" t="s">
        <v>395</v>
      </c>
      <c r="BC94" s="187">
        <v>161810</v>
      </c>
      <c r="BD94" s="187">
        <v>2990</v>
      </c>
      <c r="BE94" s="187" t="s">
        <v>396</v>
      </c>
      <c r="BF94" s="187" t="s">
        <v>396</v>
      </c>
      <c r="BG94" s="187" t="s">
        <v>396</v>
      </c>
    </row>
    <row r="95" spans="1:59">
      <c r="A95" s="187">
        <v>268399</v>
      </c>
      <c r="B95" s="187">
        <v>17388076</v>
      </c>
      <c r="C95" s="187">
        <v>2019</v>
      </c>
      <c r="D95" s="187" t="s">
        <v>380</v>
      </c>
      <c r="E95" s="187">
        <v>17</v>
      </c>
      <c r="F95" s="187" t="s">
        <v>397</v>
      </c>
      <c r="G95" s="187" t="s">
        <v>382</v>
      </c>
      <c r="H95" s="187" t="s">
        <v>383</v>
      </c>
      <c r="I95" s="187" t="s">
        <v>398</v>
      </c>
      <c r="J95" s="187">
        <v>29.75807</v>
      </c>
      <c r="K95" s="187">
        <v>-95.606099999999998</v>
      </c>
      <c r="L95" s="187" t="s">
        <v>385</v>
      </c>
      <c r="M95" s="187" t="s">
        <v>386</v>
      </c>
      <c r="N95" s="187" t="s">
        <v>412</v>
      </c>
      <c r="O95" s="187" t="s">
        <v>388</v>
      </c>
      <c r="P95" s="187" t="s">
        <v>389</v>
      </c>
      <c r="Q95" s="187" t="s">
        <v>103</v>
      </c>
      <c r="R95" s="187" t="s">
        <v>433</v>
      </c>
      <c r="S95" s="187">
        <v>0</v>
      </c>
      <c r="T95" s="187">
        <v>0</v>
      </c>
      <c r="U95" s="187">
        <v>0</v>
      </c>
      <c r="V95" s="187">
        <v>0</v>
      </c>
      <c r="W95" s="187">
        <v>0</v>
      </c>
      <c r="X95" s="187">
        <v>2</v>
      </c>
      <c r="Y95" s="187">
        <v>0</v>
      </c>
      <c r="Z95" s="187">
        <v>0</v>
      </c>
      <c r="AA95" s="187">
        <v>0</v>
      </c>
      <c r="AB95" s="187">
        <v>0</v>
      </c>
      <c r="AC95" s="187">
        <v>0</v>
      </c>
      <c r="AD95" s="187">
        <v>2</v>
      </c>
      <c r="AE95" s="187">
        <v>0</v>
      </c>
      <c r="AF95" s="187">
        <v>0</v>
      </c>
      <c r="AG95" s="187">
        <v>0</v>
      </c>
      <c r="AH95" s="187">
        <v>0</v>
      </c>
      <c r="AI95" s="187">
        <v>0</v>
      </c>
      <c r="AJ95" s="187">
        <v>0</v>
      </c>
      <c r="AK95" s="187">
        <v>0</v>
      </c>
      <c r="AL95" s="187">
        <v>0</v>
      </c>
      <c r="AM95" s="187">
        <v>0</v>
      </c>
      <c r="AN95" s="187">
        <v>0</v>
      </c>
      <c r="AO95" s="187">
        <v>0</v>
      </c>
      <c r="AP95" s="187">
        <v>0</v>
      </c>
      <c r="AQ95" s="187">
        <v>0</v>
      </c>
      <c r="AR95" s="187">
        <v>0</v>
      </c>
      <c r="AS95" s="187">
        <v>0</v>
      </c>
      <c r="AT95" s="187">
        <v>0</v>
      </c>
      <c r="AU95" s="187" t="s">
        <v>52</v>
      </c>
      <c r="AV95" s="187" t="s">
        <v>391</v>
      </c>
      <c r="AW95" s="187" t="s">
        <v>392</v>
      </c>
      <c r="AX95" s="187" t="s">
        <v>393</v>
      </c>
      <c r="AY95" s="187">
        <v>77077</v>
      </c>
      <c r="AZ95" s="188">
        <v>48200000000</v>
      </c>
      <c r="BA95" s="187" t="s">
        <v>394</v>
      </c>
      <c r="BB95" s="187" t="s">
        <v>395</v>
      </c>
      <c r="BC95" s="187">
        <v>161590</v>
      </c>
      <c r="BD95" s="187">
        <v>2990</v>
      </c>
      <c r="BE95" s="187" t="s">
        <v>396</v>
      </c>
      <c r="BF95" s="187" t="s">
        <v>396</v>
      </c>
      <c r="BG95" s="187" t="s">
        <v>396</v>
      </c>
    </row>
    <row r="96" spans="1:59">
      <c r="A96" s="187">
        <v>269554</v>
      </c>
      <c r="B96" s="187">
        <v>17393091</v>
      </c>
      <c r="C96" s="187">
        <v>2019</v>
      </c>
      <c r="D96" s="187" t="s">
        <v>380</v>
      </c>
      <c r="E96" s="187">
        <v>8</v>
      </c>
      <c r="F96" s="187" t="s">
        <v>421</v>
      </c>
      <c r="G96" s="187" t="s">
        <v>382</v>
      </c>
      <c r="H96" s="187" t="s">
        <v>404</v>
      </c>
      <c r="I96" s="187" t="s">
        <v>398</v>
      </c>
      <c r="J96" s="187">
        <v>29.762560000000001</v>
      </c>
      <c r="K96" s="187">
        <v>-95.606300000000005</v>
      </c>
      <c r="L96" s="187" t="s">
        <v>385</v>
      </c>
      <c r="M96" s="187" t="s">
        <v>386</v>
      </c>
      <c r="N96" s="187" t="s">
        <v>425</v>
      </c>
      <c r="O96" s="187" t="s">
        <v>388</v>
      </c>
      <c r="P96" s="187" t="s">
        <v>389</v>
      </c>
      <c r="Q96" s="187" t="s">
        <v>102</v>
      </c>
      <c r="R96" s="187" t="s">
        <v>390</v>
      </c>
      <c r="S96" s="187">
        <v>0</v>
      </c>
      <c r="T96" s="187">
        <v>0</v>
      </c>
      <c r="U96" s="187">
        <v>0</v>
      </c>
      <c r="V96" s="187">
        <v>0</v>
      </c>
      <c r="W96" s="187">
        <v>0</v>
      </c>
      <c r="X96" s="187">
        <v>1</v>
      </c>
      <c r="Y96" s="187">
        <v>2</v>
      </c>
      <c r="Z96" s="187">
        <v>0</v>
      </c>
      <c r="AA96" s="187">
        <v>0</v>
      </c>
      <c r="AB96" s="187">
        <v>0</v>
      </c>
      <c r="AC96" s="187">
        <v>0</v>
      </c>
      <c r="AD96" s="187">
        <v>1</v>
      </c>
      <c r="AE96" s="187">
        <v>0</v>
      </c>
      <c r="AF96" s="187">
        <v>2</v>
      </c>
      <c r="AG96" s="187">
        <v>0</v>
      </c>
      <c r="AH96" s="187">
        <v>0</v>
      </c>
      <c r="AI96" s="187">
        <v>0</v>
      </c>
      <c r="AJ96" s="187">
        <v>0</v>
      </c>
      <c r="AK96" s="187">
        <v>0</v>
      </c>
      <c r="AL96" s="187">
        <v>0</v>
      </c>
      <c r="AM96" s="187">
        <v>0</v>
      </c>
      <c r="AN96" s="187">
        <v>0</v>
      </c>
      <c r="AO96" s="187">
        <v>0</v>
      </c>
      <c r="AP96" s="187">
        <v>0</v>
      </c>
      <c r="AQ96" s="187">
        <v>0</v>
      </c>
      <c r="AR96" s="187">
        <v>0</v>
      </c>
      <c r="AS96" s="187">
        <v>0</v>
      </c>
      <c r="AT96" s="187">
        <v>0</v>
      </c>
      <c r="AU96" s="187" t="s">
        <v>52</v>
      </c>
      <c r="AV96" s="187" t="s">
        <v>391</v>
      </c>
      <c r="AW96" s="187" t="s">
        <v>392</v>
      </c>
      <c r="AX96" s="187" t="s">
        <v>393</v>
      </c>
      <c r="AY96" s="187">
        <v>77079</v>
      </c>
      <c r="AZ96" s="188">
        <v>48200000000</v>
      </c>
      <c r="BA96" s="187" t="s">
        <v>394</v>
      </c>
      <c r="BB96" s="187" t="s">
        <v>395</v>
      </c>
      <c r="BC96" s="187">
        <v>161590</v>
      </c>
      <c r="BD96" s="187">
        <v>2990</v>
      </c>
      <c r="BE96" s="187" t="s">
        <v>396</v>
      </c>
      <c r="BF96" s="187" t="s">
        <v>396</v>
      </c>
      <c r="BG96" s="187" t="s">
        <v>396</v>
      </c>
    </row>
    <row r="97" spans="1:59">
      <c r="A97" s="187">
        <v>271686</v>
      </c>
      <c r="B97" s="187">
        <v>17402071</v>
      </c>
      <c r="C97" s="187">
        <v>2019</v>
      </c>
      <c r="D97" s="187" t="s">
        <v>380</v>
      </c>
      <c r="E97" s="187">
        <v>10</v>
      </c>
      <c r="F97" s="187" t="s">
        <v>381</v>
      </c>
      <c r="G97" s="187" t="s">
        <v>382</v>
      </c>
      <c r="H97" s="187" t="s">
        <v>383</v>
      </c>
      <c r="I97" s="187" t="s">
        <v>398</v>
      </c>
      <c r="J97" s="187">
        <v>29.758050000000001</v>
      </c>
      <c r="K97" s="187">
        <v>-95.606099999999998</v>
      </c>
      <c r="L97" s="187" t="s">
        <v>405</v>
      </c>
      <c r="M97" s="187" t="s">
        <v>386</v>
      </c>
      <c r="N97" s="187" t="s">
        <v>425</v>
      </c>
      <c r="O97" s="187" t="s">
        <v>388</v>
      </c>
      <c r="P97" s="187" t="s">
        <v>342</v>
      </c>
      <c r="Q97" s="187" t="s">
        <v>106</v>
      </c>
      <c r="R97" s="187" t="s">
        <v>449</v>
      </c>
      <c r="S97" s="187">
        <v>0</v>
      </c>
      <c r="T97" s="187">
        <v>0</v>
      </c>
      <c r="U97" s="187">
        <v>0</v>
      </c>
      <c r="V97" s="187">
        <v>1</v>
      </c>
      <c r="W97" s="187">
        <v>1</v>
      </c>
      <c r="X97" s="187">
        <v>2</v>
      </c>
      <c r="Y97" s="187">
        <v>0</v>
      </c>
      <c r="Z97" s="187">
        <v>0</v>
      </c>
      <c r="AA97" s="187">
        <v>0</v>
      </c>
      <c r="AB97" s="187">
        <v>0</v>
      </c>
      <c r="AC97" s="187">
        <v>1</v>
      </c>
      <c r="AD97" s="187">
        <v>2</v>
      </c>
      <c r="AE97" s="187">
        <v>1</v>
      </c>
      <c r="AF97" s="187">
        <v>0</v>
      </c>
      <c r="AG97" s="187">
        <v>0</v>
      </c>
      <c r="AH97" s="187">
        <v>0</v>
      </c>
      <c r="AI97" s="187">
        <v>0</v>
      </c>
      <c r="AJ97" s="187">
        <v>0</v>
      </c>
      <c r="AK97" s="187">
        <v>0</v>
      </c>
      <c r="AL97" s="187">
        <v>0</v>
      </c>
      <c r="AM97" s="187">
        <v>0</v>
      </c>
      <c r="AN97" s="187">
        <v>0</v>
      </c>
      <c r="AO97" s="187">
        <v>0</v>
      </c>
      <c r="AP97" s="187">
        <v>0</v>
      </c>
      <c r="AQ97" s="187">
        <v>0</v>
      </c>
      <c r="AR97" s="187">
        <v>0</v>
      </c>
      <c r="AS97" s="187">
        <v>0</v>
      </c>
      <c r="AT97" s="187">
        <v>0</v>
      </c>
      <c r="AU97" s="187" t="s">
        <v>52</v>
      </c>
      <c r="AV97" s="187" t="s">
        <v>391</v>
      </c>
      <c r="AW97" s="187" t="s">
        <v>392</v>
      </c>
      <c r="AX97" s="187" t="s">
        <v>393</v>
      </c>
      <c r="AY97" s="187">
        <v>77077</v>
      </c>
      <c r="AZ97" s="188">
        <v>48200000000</v>
      </c>
      <c r="BA97" s="187" t="s">
        <v>394</v>
      </c>
      <c r="BB97" s="187" t="s">
        <v>395</v>
      </c>
      <c r="BC97" s="187">
        <v>161590</v>
      </c>
      <c r="BD97" s="187">
        <v>2990</v>
      </c>
      <c r="BE97" s="187" t="s">
        <v>396</v>
      </c>
      <c r="BF97" s="187" t="s">
        <v>396</v>
      </c>
      <c r="BG97" s="187" t="s">
        <v>396</v>
      </c>
    </row>
    <row r="98" spans="1:59">
      <c r="A98" s="187">
        <v>272363</v>
      </c>
      <c r="B98" s="187">
        <v>17405520</v>
      </c>
      <c r="C98" s="187">
        <v>2019</v>
      </c>
      <c r="D98" s="187" t="s">
        <v>380</v>
      </c>
      <c r="E98" s="187">
        <v>16</v>
      </c>
      <c r="F98" s="187" t="s">
        <v>429</v>
      </c>
      <c r="G98" s="187" t="s">
        <v>382</v>
      </c>
      <c r="H98" s="187" t="s">
        <v>404</v>
      </c>
      <c r="I98" s="187" t="s">
        <v>409</v>
      </c>
      <c r="J98" s="187">
        <v>29.768969999999999</v>
      </c>
      <c r="K98" s="187">
        <v>-95.606300000000005</v>
      </c>
      <c r="L98" s="187" t="s">
        <v>385</v>
      </c>
      <c r="M98" s="187" t="s">
        <v>386</v>
      </c>
      <c r="N98" s="187" t="s">
        <v>418</v>
      </c>
      <c r="O98" s="187" t="s">
        <v>388</v>
      </c>
      <c r="P98" s="187" t="s">
        <v>389</v>
      </c>
      <c r="Q98" s="187" t="s">
        <v>102</v>
      </c>
      <c r="R98" s="187" t="s">
        <v>413</v>
      </c>
      <c r="S98" s="187">
        <v>0</v>
      </c>
      <c r="T98" s="187">
        <v>0</v>
      </c>
      <c r="U98" s="187">
        <v>0</v>
      </c>
      <c r="V98" s="187">
        <v>0</v>
      </c>
      <c r="W98" s="187">
        <v>0</v>
      </c>
      <c r="X98" s="187">
        <v>2</v>
      </c>
      <c r="Y98" s="187">
        <v>0</v>
      </c>
      <c r="Z98" s="187">
        <v>0</v>
      </c>
      <c r="AA98" s="187">
        <v>0</v>
      </c>
      <c r="AB98" s="187">
        <v>0</v>
      </c>
      <c r="AC98" s="187">
        <v>0</v>
      </c>
      <c r="AD98" s="187">
        <v>2</v>
      </c>
      <c r="AE98" s="187">
        <v>0</v>
      </c>
      <c r="AF98" s="187">
        <v>0</v>
      </c>
      <c r="AG98" s="187">
        <v>0</v>
      </c>
      <c r="AH98" s="187">
        <v>0</v>
      </c>
      <c r="AI98" s="187">
        <v>0</v>
      </c>
      <c r="AJ98" s="187">
        <v>0</v>
      </c>
      <c r="AK98" s="187">
        <v>0</v>
      </c>
      <c r="AL98" s="187">
        <v>0</v>
      </c>
      <c r="AM98" s="187">
        <v>0</v>
      </c>
      <c r="AN98" s="187">
        <v>0</v>
      </c>
      <c r="AO98" s="187">
        <v>0</v>
      </c>
      <c r="AP98" s="187">
        <v>0</v>
      </c>
      <c r="AQ98" s="187">
        <v>0</v>
      </c>
      <c r="AR98" s="187">
        <v>0</v>
      </c>
      <c r="AS98" s="187">
        <v>0</v>
      </c>
      <c r="AT98" s="187">
        <v>0</v>
      </c>
      <c r="AU98" s="187" t="s">
        <v>52</v>
      </c>
      <c r="AV98" s="187" t="s">
        <v>391</v>
      </c>
      <c r="AW98" s="187" t="s">
        <v>392</v>
      </c>
      <c r="AX98" s="187" t="s">
        <v>393</v>
      </c>
      <c r="AY98" s="187">
        <v>77079</v>
      </c>
      <c r="AZ98" s="188">
        <v>48200000000</v>
      </c>
      <c r="BA98" s="187" t="s">
        <v>394</v>
      </c>
      <c r="BB98" s="187" t="s">
        <v>395</v>
      </c>
      <c r="BC98" s="187">
        <v>161810</v>
      </c>
      <c r="BD98" s="187">
        <v>2990</v>
      </c>
      <c r="BE98" s="187" t="s">
        <v>396</v>
      </c>
      <c r="BF98" s="187" t="s">
        <v>396</v>
      </c>
      <c r="BG98" s="187" t="s">
        <v>396</v>
      </c>
    </row>
    <row r="99" spans="1:59">
      <c r="A99" s="187">
        <v>274314</v>
      </c>
      <c r="B99" s="187">
        <v>17414664</v>
      </c>
      <c r="C99" s="187">
        <v>2019</v>
      </c>
      <c r="D99" s="187" t="s">
        <v>380</v>
      </c>
      <c r="E99" s="187">
        <v>14</v>
      </c>
      <c r="F99" s="187" t="s">
        <v>411</v>
      </c>
      <c r="G99" s="187" t="s">
        <v>382</v>
      </c>
      <c r="H99" s="187" t="s">
        <v>383</v>
      </c>
      <c r="I99" s="187" t="s">
        <v>398</v>
      </c>
      <c r="J99" s="187">
        <v>29.758289999999999</v>
      </c>
      <c r="K99" s="187">
        <v>-95.606300000000005</v>
      </c>
      <c r="L99" s="187" t="s">
        <v>385</v>
      </c>
      <c r="M99" s="187" t="s">
        <v>386</v>
      </c>
      <c r="N99" s="187" t="s">
        <v>418</v>
      </c>
      <c r="O99" s="187" t="s">
        <v>388</v>
      </c>
      <c r="P99" s="187" t="s">
        <v>389</v>
      </c>
      <c r="Q99" s="187" t="s">
        <v>102</v>
      </c>
      <c r="R99" s="187" t="s">
        <v>403</v>
      </c>
      <c r="S99" s="187">
        <v>0</v>
      </c>
      <c r="T99" s="187">
        <v>0</v>
      </c>
      <c r="U99" s="187">
        <v>0</v>
      </c>
      <c r="V99" s="187">
        <v>0</v>
      </c>
      <c r="W99" s="187">
        <v>0</v>
      </c>
      <c r="X99" s="187">
        <v>3</v>
      </c>
      <c r="Y99" s="187">
        <v>0</v>
      </c>
      <c r="Z99" s="187">
        <v>0</v>
      </c>
      <c r="AA99" s="187">
        <v>0</v>
      </c>
      <c r="AB99" s="187">
        <v>0</v>
      </c>
      <c r="AC99" s="187">
        <v>0</v>
      </c>
      <c r="AD99" s="187">
        <v>3</v>
      </c>
      <c r="AE99" s="187">
        <v>0</v>
      </c>
      <c r="AF99" s="187">
        <v>0</v>
      </c>
      <c r="AG99" s="187">
        <v>0</v>
      </c>
      <c r="AH99" s="187">
        <v>0</v>
      </c>
      <c r="AI99" s="187">
        <v>0</v>
      </c>
      <c r="AJ99" s="187">
        <v>0</v>
      </c>
      <c r="AK99" s="187">
        <v>0</v>
      </c>
      <c r="AL99" s="187">
        <v>0</v>
      </c>
      <c r="AM99" s="187">
        <v>0</v>
      </c>
      <c r="AN99" s="187">
        <v>0</v>
      </c>
      <c r="AO99" s="187">
        <v>0</v>
      </c>
      <c r="AP99" s="187">
        <v>0</v>
      </c>
      <c r="AQ99" s="187">
        <v>0</v>
      </c>
      <c r="AR99" s="187">
        <v>0</v>
      </c>
      <c r="AS99" s="187">
        <v>0</v>
      </c>
      <c r="AT99" s="187">
        <v>0</v>
      </c>
      <c r="AU99" s="187" t="s">
        <v>52</v>
      </c>
      <c r="AV99" s="187" t="s">
        <v>391</v>
      </c>
      <c r="AW99" s="187" t="s">
        <v>392</v>
      </c>
      <c r="AX99" s="187" t="s">
        <v>393</v>
      </c>
      <c r="AY99" s="187">
        <v>77077</v>
      </c>
      <c r="AZ99" s="188">
        <v>48200000000</v>
      </c>
      <c r="BA99" s="187" t="s">
        <v>394</v>
      </c>
      <c r="BB99" s="187" t="s">
        <v>395</v>
      </c>
      <c r="BC99" s="187">
        <v>161590</v>
      </c>
      <c r="BD99" s="187">
        <v>2990</v>
      </c>
      <c r="BE99" s="187" t="s">
        <v>396</v>
      </c>
      <c r="BF99" s="187" t="s">
        <v>396</v>
      </c>
      <c r="BG99" s="187" t="s">
        <v>396</v>
      </c>
    </row>
    <row r="100" spans="1:59">
      <c r="A100" s="187">
        <v>274482</v>
      </c>
      <c r="B100" s="187">
        <v>17415288</v>
      </c>
      <c r="C100" s="187">
        <v>2019</v>
      </c>
      <c r="D100" s="187" t="s">
        <v>380</v>
      </c>
      <c r="E100" s="187">
        <v>20</v>
      </c>
      <c r="F100" s="187" t="s">
        <v>429</v>
      </c>
      <c r="G100" s="187" t="s">
        <v>382</v>
      </c>
      <c r="H100" s="187" t="s">
        <v>404</v>
      </c>
      <c r="I100" s="187" t="s">
        <v>422</v>
      </c>
      <c r="J100" s="187">
        <v>29.770060000000001</v>
      </c>
      <c r="K100" s="187">
        <v>-95.606300000000005</v>
      </c>
      <c r="L100" s="187" t="s">
        <v>405</v>
      </c>
      <c r="M100" s="187" t="s">
        <v>450</v>
      </c>
      <c r="N100" s="187" t="s">
        <v>412</v>
      </c>
      <c r="O100" s="187" t="s">
        <v>388</v>
      </c>
      <c r="P100" s="187" t="s">
        <v>389</v>
      </c>
      <c r="Q100" s="187" t="s">
        <v>106</v>
      </c>
      <c r="R100" s="187" t="s">
        <v>433</v>
      </c>
      <c r="S100" s="187">
        <v>0</v>
      </c>
      <c r="T100" s="187">
        <v>0</v>
      </c>
      <c r="U100" s="187">
        <v>0</v>
      </c>
      <c r="V100" s="187">
        <v>0</v>
      </c>
      <c r="W100" s="187">
        <v>0</v>
      </c>
      <c r="X100" s="187">
        <v>3</v>
      </c>
      <c r="Y100" s="187">
        <v>0</v>
      </c>
      <c r="Z100" s="187">
        <v>0</v>
      </c>
      <c r="AA100" s="187">
        <v>0</v>
      </c>
      <c r="AB100" s="187">
        <v>0</v>
      </c>
      <c r="AC100" s="187">
        <v>0</v>
      </c>
      <c r="AD100" s="187">
        <v>3</v>
      </c>
      <c r="AE100" s="187">
        <v>0</v>
      </c>
      <c r="AF100" s="187">
        <v>0</v>
      </c>
      <c r="AG100" s="187">
        <v>0</v>
      </c>
      <c r="AH100" s="187">
        <v>0</v>
      </c>
      <c r="AI100" s="187">
        <v>0</v>
      </c>
      <c r="AJ100" s="187">
        <v>0</v>
      </c>
      <c r="AK100" s="187">
        <v>0</v>
      </c>
      <c r="AL100" s="187">
        <v>0</v>
      </c>
      <c r="AM100" s="187">
        <v>0</v>
      </c>
      <c r="AN100" s="187">
        <v>0</v>
      </c>
      <c r="AO100" s="187">
        <v>0</v>
      </c>
      <c r="AP100" s="187">
        <v>0</v>
      </c>
      <c r="AQ100" s="187">
        <v>0</v>
      </c>
      <c r="AR100" s="187">
        <v>0</v>
      </c>
      <c r="AS100" s="187">
        <v>0</v>
      </c>
      <c r="AT100" s="187">
        <v>0</v>
      </c>
      <c r="AU100" s="187" t="s">
        <v>52</v>
      </c>
      <c r="AV100" s="187" t="s">
        <v>391</v>
      </c>
      <c r="AW100" s="187" t="s">
        <v>392</v>
      </c>
      <c r="AX100" s="187" t="s">
        <v>393</v>
      </c>
      <c r="AY100" s="187">
        <v>77079</v>
      </c>
      <c r="AZ100" s="188">
        <v>48200000000</v>
      </c>
      <c r="BA100" s="187" t="s">
        <v>394</v>
      </c>
      <c r="BB100" s="187" t="s">
        <v>395</v>
      </c>
      <c r="BC100" s="187">
        <v>162030</v>
      </c>
      <c r="BD100" s="187">
        <v>2990</v>
      </c>
      <c r="BE100" s="187" t="s">
        <v>396</v>
      </c>
      <c r="BF100" s="187" t="s">
        <v>396</v>
      </c>
      <c r="BG100" s="187" t="s">
        <v>396</v>
      </c>
    </row>
    <row r="101" spans="1:59">
      <c r="A101" s="187">
        <v>276779</v>
      </c>
      <c r="B101" s="187">
        <v>17425080</v>
      </c>
      <c r="C101" s="187">
        <v>2019</v>
      </c>
      <c r="D101" s="187" t="s">
        <v>380</v>
      </c>
      <c r="E101" s="187">
        <v>16</v>
      </c>
      <c r="F101" s="187" t="s">
        <v>411</v>
      </c>
      <c r="G101" s="187" t="s">
        <v>382</v>
      </c>
      <c r="H101" s="187" t="s">
        <v>404</v>
      </c>
      <c r="I101" s="187" t="s">
        <v>422</v>
      </c>
      <c r="J101" s="187">
        <v>29.76979</v>
      </c>
      <c r="K101" s="187">
        <v>-95.606300000000005</v>
      </c>
      <c r="L101" s="187" t="s">
        <v>385</v>
      </c>
      <c r="M101" s="187" t="s">
        <v>386</v>
      </c>
      <c r="N101" s="187" t="s">
        <v>425</v>
      </c>
      <c r="O101" s="187" t="s">
        <v>388</v>
      </c>
      <c r="P101" s="187" t="s">
        <v>389</v>
      </c>
      <c r="Q101" s="187" t="s">
        <v>105</v>
      </c>
      <c r="R101" s="187" t="s">
        <v>416</v>
      </c>
      <c r="S101" s="187">
        <v>0</v>
      </c>
      <c r="T101" s="187">
        <v>0</v>
      </c>
      <c r="U101" s="187">
        <v>0</v>
      </c>
      <c r="V101" s="187">
        <v>0</v>
      </c>
      <c r="W101" s="187">
        <v>0</v>
      </c>
      <c r="X101" s="187">
        <v>5</v>
      </c>
      <c r="Y101" s="187">
        <v>0</v>
      </c>
      <c r="Z101" s="187">
        <v>0</v>
      </c>
      <c r="AA101" s="187">
        <v>0</v>
      </c>
      <c r="AB101" s="187">
        <v>0</v>
      </c>
      <c r="AC101" s="187">
        <v>0</v>
      </c>
      <c r="AD101" s="187">
        <v>5</v>
      </c>
      <c r="AE101" s="187">
        <v>0</v>
      </c>
      <c r="AF101" s="187">
        <v>0</v>
      </c>
      <c r="AG101" s="187">
        <v>0</v>
      </c>
      <c r="AH101" s="187">
        <v>0</v>
      </c>
      <c r="AI101" s="187">
        <v>0</v>
      </c>
      <c r="AJ101" s="187">
        <v>0</v>
      </c>
      <c r="AK101" s="187">
        <v>0</v>
      </c>
      <c r="AL101" s="187">
        <v>0</v>
      </c>
      <c r="AM101" s="187">
        <v>0</v>
      </c>
      <c r="AN101" s="187">
        <v>0</v>
      </c>
      <c r="AO101" s="187">
        <v>0</v>
      </c>
      <c r="AP101" s="187">
        <v>0</v>
      </c>
      <c r="AQ101" s="187">
        <v>0</v>
      </c>
      <c r="AR101" s="187">
        <v>0</v>
      </c>
      <c r="AS101" s="187">
        <v>0</v>
      </c>
      <c r="AT101" s="187">
        <v>0</v>
      </c>
      <c r="AU101" s="187" t="s">
        <v>52</v>
      </c>
      <c r="AV101" s="187" t="s">
        <v>391</v>
      </c>
      <c r="AW101" s="187" t="s">
        <v>392</v>
      </c>
      <c r="AX101" s="187" t="s">
        <v>393</v>
      </c>
      <c r="AY101" s="187">
        <v>77079</v>
      </c>
      <c r="AZ101" s="188">
        <v>48200000000</v>
      </c>
      <c r="BA101" s="187" t="s">
        <v>394</v>
      </c>
      <c r="BB101" s="187" t="s">
        <v>395</v>
      </c>
      <c r="BC101" s="187">
        <v>162030</v>
      </c>
      <c r="BD101" s="187">
        <v>2990</v>
      </c>
      <c r="BE101" s="187" t="s">
        <v>396</v>
      </c>
      <c r="BF101" s="187" t="s">
        <v>396</v>
      </c>
      <c r="BG101" s="187" t="s">
        <v>396</v>
      </c>
    </row>
    <row r="102" spans="1:59">
      <c r="A102" s="187">
        <v>279896</v>
      </c>
      <c r="B102" s="187">
        <v>17438650</v>
      </c>
      <c r="C102" s="187">
        <v>2019</v>
      </c>
      <c r="D102" s="187" t="s">
        <v>380</v>
      </c>
      <c r="E102" s="187">
        <v>14</v>
      </c>
      <c r="F102" s="187" t="s">
        <v>381</v>
      </c>
      <c r="G102" s="187" t="s">
        <v>382</v>
      </c>
      <c r="H102" s="187" t="s">
        <v>404</v>
      </c>
      <c r="I102" s="187" t="s">
        <v>422</v>
      </c>
      <c r="J102" s="187">
        <v>29.768689999999999</v>
      </c>
      <c r="K102" s="187">
        <v>-95.606300000000005</v>
      </c>
      <c r="L102" s="187" t="s">
        <v>385</v>
      </c>
      <c r="M102" s="187" t="s">
        <v>386</v>
      </c>
      <c r="N102" s="187" t="s">
        <v>425</v>
      </c>
      <c r="O102" s="187" t="s">
        <v>388</v>
      </c>
      <c r="P102" s="187" t="s">
        <v>389</v>
      </c>
      <c r="Q102" s="187" t="s">
        <v>105</v>
      </c>
      <c r="R102" s="187" t="s">
        <v>424</v>
      </c>
      <c r="S102" s="187">
        <v>0</v>
      </c>
      <c r="T102" s="187">
        <v>0</v>
      </c>
      <c r="U102" s="187">
        <v>0</v>
      </c>
      <c r="V102" s="187">
        <v>0</v>
      </c>
      <c r="W102" s="187">
        <v>0</v>
      </c>
      <c r="X102" s="187">
        <v>2</v>
      </c>
      <c r="Y102" s="187">
        <v>0</v>
      </c>
      <c r="Z102" s="187">
        <v>0</v>
      </c>
      <c r="AA102" s="187">
        <v>0</v>
      </c>
      <c r="AB102" s="187">
        <v>0</v>
      </c>
      <c r="AC102" s="187">
        <v>0</v>
      </c>
      <c r="AD102" s="187">
        <v>2</v>
      </c>
      <c r="AE102" s="187">
        <v>0</v>
      </c>
      <c r="AF102" s="187">
        <v>0</v>
      </c>
      <c r="AG102" s="187">
        <v>0</v>
      </c>
      <c r="AH102" s="187">
        <v>0</v>
      </c>
      <c r="AI102" s="187">
        <v>0</v>
      </c>
      <c r="AJ102" s="187">
        <v>0</v>
      </c>
      <c r="AK102" s="187">
        <v>0</v>
      </c>
      <c r="AL102" s="187">
        <v>0</v>
      </c>
      <c r="AM102" s="187">
        <v>0</v>
      </c>
      <c r="AN102" s="187">
        <v>0</v>
      </c>
      <c r="AO102" s="187">
        <v>0</v>
      </c>
      <c r="AP102" s="187">
        <v>0</v>
      </c>
      <c r="AQ102" s="187">
        <v>0</v>
      </c>
      <c r="AR102" s="187">
        <v>0</v>
      </c>
      <c r="AS102" s="187">
        <v>0</v>
      </c>
      <c r="AT102" s="187">
        <v>0</v>
      </c>
      <c r="AU102" s="187" t="s">
        <v>52</v>
      </c>
      <c r="AV102" s="187" t="s">
        <v>391</v>
      </c>
      <c r="AW102" s="187" t="s">
        <v>392</v>
      </c>
      <c r="AX102" s="187" t="s">
        <v>393</v>
      </c>
      <c r="AY102" s="187">
        <v>77079</v>
      </c>
      <c r="AZ102" s="188">
        <v>48200000000</v>
      </c>
      <c r="BA102" s="187" t="s">
        <v>394</v>
      </c>
      <c r="BB102" s="187" t="s">
        <v>395</v>
      </c>
      <c r="BC102" s="187">
        <v>161810</v>
      </c>
      <c r="BD102" s="187">
        <v>2990</v>
      </c>
      <c r="BE102" s="187" t="s">
        <v>396</v>
      </c>
      <c r="BF102" s="187" t="s">
        <v>396</v>
      </c>
      <c r="BG102" s="187" t="s">
        <v>396</v>
      </c>
    </row>
    <row r="103" spans="1:59">
      <c r="A103" s="187">
        <v>283224</v>
      </c>
      <c r="B103" s="187">
        <v>17454159</v>
      </c>
      <c r="C103" s="187">
        <v>2019</v>
      </c>
      <c r="D103" s="187" t="s">
        <v>380</v>
      </c>
      <c r="E103" s="187">
        <v>7</v>
      </c>
      <c r="F103" s="187" t="s">
        <v>414</v>
      </c>
      <c r="G103" s="187" t="s">
        <v>382</v>
      </c>
      <c r="H103" s="187" t="s">
        <v>451</v>
      </c>
      <c r="I103" s="187" t="s">
        <v>422</v>
      </c>
      <c r="J103" s="187">
        <v>29.763100000000001</v>
      </c>
      <c r="K103" s="187">
        <v>-95.606200000000001</v>
      </c>
      <c r="L103" s="187" t="s">
        <v>385</v>
      </c>
      <c r="M103" s="187" t="s">
        <v>386</v>
      </c>
      <c r="N103" s="187" t="s">
        <v>406</v>
      </c>
      <c r="O103" s="187" t="s">
        <v>388</v>
      </c>
      <c r="P103" s="187" t="s">
        <v>342</v>
      </c>
      <c r="Q103" s="187" t="s">
        <v>103</v>
      </c>
      <c r="R103" s="187" t="s">
        <v>407</v>
      </c>
      <c r="S103" s="187">
        <v>0</v>
      </c>
      <c r="T103" s="187">
        <v>0</v>
      </c>
      <c r="U103" s="187">
        <v>0</v>
      </c>
      <c r="V103" s="187">
        <v>1</v>
      </c>
      <c r="W103" s="187">
        <v>1</v>
      </c>
      <c r="X103" s="187">
        <v>1</v>
      </c>
      <c r="Y103" s="187">
        <v>0</v>
      </c>
      <c r="Z103" s="187">
        <v>0</v>
      </c>
      <c r="AA103" s="187">
        <v>0</v>
      </c>
      <c r="AB103" s="187">
        <v>0</v>
      </c>
      <c r="AC103" s="187">
        <v>1</v>
      </c>
      <c r="AD103" s="187">
        <v>1</v>
      </c>
      <c r="AE103" s="187">
        <v>1</v>
      </c>
      <c r="AF103" s="187">
        <v>0</v>
      </c>
      <c r="AG103" s="187">
        <v>0</v>
      </c>
      <c r="AH103" s="187">
        <v>0</v>
      </c>
      <c r="AI103" s="187">
        <v>0</v>
      </c>
      <c r="AJ103" s="187">
        <v>0</v>
      </c>
      <c r="AK103" s="187">
        <v>0</v>
      </c>
      <c r="AL103" s="187">
        <v>0</v>
      </c>
      <c r="AM103" s="187">
        <v>0</v>
      </c>
      <c r="AN103" s="187">
        <v>0</v>
      </c>
      <c r="AO103" s="187">
        <v>0</v>
      </c>
      <c r="AP103" s="187">
        <v>0</v>
      </c>
      <c r="AQ103" s="187">
        <v>0</v>
      </c>
      <c r="AR103" s="187">
        <v>0</v>
      </c>
      <c r="AS103" s="187">
        <v>0</v>
      </c>
      <c r="AT103" s="187">
        <v>0</v>
      </c>
      <c r="AU103" s="187" t="s">
        <v>52</v>
      </c>
      <c r="AV103" s="187" t="s">
        <v>391</v>
      </c>
      <c r="AW103" s="187" t="s">
        <v>392</v>
      </c>
      <c r="AX103" s="187" t="s">
        <v>393</v>
      </c>
      <c r="AY103" s="187">
        <v>77079</v>
      </c>
      <c r="AZ103" s="188">
        <v>48200000000</v>
      </c>
      <c r="BA103" s="187" t="s">
        <v>394</v>
      </c>
      <c r="BB103" s="187" t="s">
        <v>395</v>
      </c>
      <c r="BC103" s="187">
        <v>161590</v>
      </c>
      <c r="BD103" s="187">
        <v>2990</v>
      </c>
      <c r="BE103" s="187" t="s">
        <v>396</v>
      </c>
      <c r="BF103" s="187" t="s">
        <v>396</v>
      </c>
      <c r="BG103" s="187" t="s">
        <v>396</v>
      </c>
    </row>
    <row r="104" spans="1:59">
      <c r="A104" s="187">
        <v>285720</v>
      </c>
      <c r="B104" s="187">
        <v>17463849</v>
      </c>
      <c r="C104" s="187">
        <v>2018</v>
      </c>
      <c r="D104" s="187" t="s">
        <v>380</v>
      </c>
      <c r="E104" s="187">
        <v>19</v>
      </c>
      <c r="F104" s="187" t="s">
        <v>397</v>
      </c>
      <c r="G104" s="187" t="s">
        <v>382</v>
      </c>
      <c r="H104" s="187" t="s">
        <v>452</v>
      </c>
      <c r="I104" s="187" t="s">
        <v>415</v>
      </c>
      <c r="J104" s="187">
        <v>29.758150000000001</v>
      </c>
      <c r="K104" s="187">
        <v>-95.606300000000005</v>
      </c>
      <c r="L104" s="187" t="s">
        <v>385</v>
      </c>
      <c r="M104" s="187" t="s">
        <v>450</v>
      </c>
      <c r="N104" s="187" t="s">
        <v>412</v>
      </c>
      <c r="O104" s="187" t="s">
        <v>388</v>
      </c>
      <c r="P104" s="187" t="s">
        <v>389</v>
      </c>
      <c r="Q104" s="187" t="s">
        <v>103</v>
      </c>
      <c r="R104" s="187" t="s">
        <v>410</v>
      </c>
      <c r="S104" s="187">
        <v>0</v>
      </c>
      <c r="T104" s="187">
        <v>0</v>
      </c>
      <c r="U104" s="187">
        <v>0</v>
      </c>
      <c r="V104" s="187">
        <v>0</v>
      </c>
      <c r="W104" s="187">
        <v>0</v>
      </c>
      <c r="X104" s="187">
        <v>3</v>
      </c>
      <c r="Y104" s="187">
        <v>0</v>
      </c>
      <c r="Z104" s="187">
        <v>0</v>
      </c>
      <c r="AA104" s="187">
        <v>0</v>
      </c>
      <c r="AB104" s="187">
        <v>0</v>
      </c>
      <c r="AC104" s="187">
        <v>0</v>
      </c>
      <c r="AD104" s="187">
        <v>3</v>
      </c>
      <c r="AE104" s="187">
        <v>0</v>
      </c>
      <c r="AF104" s="187">
        <v>0</v>
      </c>
      <c r="AG104" s="187">
        <v>0</v>
      </c>
      <c r="AH104" s="187">
        <v>0</v>
      </c>
      <c r="AI104" s="187">
        <v>0</v>
      </c>
      <c r="AJ104" s="187">
        <v>0</v>
      </c>
      <c r="AK104" s="187">
        <v>0</v>
      </c>
      <c r="AL104" s="187">
        <v>0</v>
      </c>
      <c r="AM104" s="187">
        <v>0</v>
      </c>
      <c r="AN104" s="187">
        <v>0</v>
      </c>
      <c r="AO104" s="187">
        <v>0</v>
      </c>
      <c r="AP104" s="187">
        <v>0</v>
      </c>
      <c r="AQ104" s="187">
        <v>0</v>
      </c>
      <c r="AR104" s="187">
        <v>0</v>
      </c>
      <c r="AS104" s="187">
        <v>0</v>
      </c>
      <c r="AT104" s="187">
        <v>0</v>
      </c>
      <c r="AU104" s="187" t="s">
        <v>52</v>
      </c>
      <c r="AV104" s="187" t="s">
        <v>391</v>
      </c>
      <c r="AW104" s="187" t="s">
        <v>392</v>
      </c>
      <c r="AX104" s="187" t="s">
        <v>393</v>
      </c>
      <c r="AY104" s="187">
        <v>77077</v>
      </c>
      <c r="AZ104" s="188">
        <v>48200000000</v>
      </c>
      <c r="BA104" s="187" t="s">
        <v>394</v>
      </c>
      <c r="BB104" s="187" t="s">
        <v>395</v>
      </c>
      <c r="BC104" s="187">
        <v>161590</v>
      </c>
      <c r="BD104" s="187">
        <v>2990</v>
      </c>
      <c r="BE104" s="187" t="s">
        <v>396</v>
      </c>
      <c r="BF104" s="187" t="s">
        <v>396</v>
      </c>
      <c r="BG104" s="187" t="s">
        <v>396</v>
      </c>
    </row>
    <row r="105" spans="1:59">
      <c r="A105" s="187">
        <v>285724</v>
      </c>
      <c r="B105" s="187">
        <v>17463864</v>
      </c>
      <c r="C105" s="187">
        <v>2018</v>
      </c>
      <c r="D105" s="187" t="s">
        <v>380</v>
      </c>
      <c r="E105" s="187">
        <v>15</v>
      </c>
      <c r="F105" s="187" t="s">
        <v>397</v>
      </c>
      <c r="G105" s="187" t="s">
        <v>382</v>
      </c>
      <c r="H105" s="187" t="s">
        <v>408</v>
      </c>
      <c r="I105" s="187" t="s">
        <v>384</v>
      </c>
      <c r="J105" s="187">
        <v>29.770060000000001</v>
      </c>
      <c r="K105" s="187">
        <v>-95.606300000000005</v>
      </c>
      <c r="L105" s="187" t="s">
        <v>399</v>
      </c>
      <c r="M105" s="187" t="s">
        <v>386</v>
      </c>
      <c r="N105" s="187" t="s">
        <v>401</v>
      </c>
      <c r="O105" s="187" t="s">
        <v>388</v>
      </c>
      <c r="P105" s="187" t="s">
        <v>389</v>
      </c>
      <c r="Q105" s="187" t="s">
        <v>103</v>
      </c>
      <c r="R105" s="187" t="s">
        <v>453</v>
      </c>
      <c r="S105" s="187">
        <v>0</v>
      </c>
      <c r="T105" s="187">
        <v>0</v>
      </c>
      <c r="U105" s="187">
        <v>0</v>
      </c>
      <c r="V105" s="187">
        <v>0</v>
      </c>
      <c r="W105" s="187">
        <v>0</v>
      </c>
      <c r="X105" s="187">
        <v>3</v>
      </c>
      <c r="Y105" s="187">
        <v>0</v>
      </c>
      <c r="Z105" s="187">
        <v>0</v>
      </c>
      <c r="AA105" s="187">
        <v>0</v>
      </c>
      <c r="AB105" s="187">
        <v>0</v>
      </c>
      <c r="AC105" s="187">
        <v>0</v>
      </c>
      <c r="AD105" s="187">
        <v>3</v>
      </c>
      <c r="AE105" s="187">
        <v>0</v>
      </c>
      <c r="AF105" s="187">
        <v>0</v>
      </c>
      <c r="AG105" s="187">
        <v>0</v>
      </c>
      <c r="AH105" s="187">
        <v>0</v>
      </c>
      <c r="AI105" s="187">
        <v>0</v>
      </c>
      <c r="AJ105" s="187">
        <v>0</v>
      </c>
      <c r="AK105" s="187">
        <v>0</v>
      </c>
      <c r="AL105" s="187">
        <v>0</v>
      </c>
      <c r="AM105" s="187">
        <v>0</v>
      </c>
      <c r="AN105" s="187">
        <v>0</v>
      </c>
      <c r="AO105" s="187">
        <v>0</v>
      </c>
      <c r="AP105" s="187">
        <v>0</v>
      </c>
      <c r="AQ105" s="187">
        <v>0</v>
      </c>
      <c r="AR105" s="187">
        <v>0</v>
      </c>
      <c r="AS105" s="187">
        <v>0</v>
      </c>
      <c r="AT105" s="187">
        <v>0</v>
      </c>
      <c r="AU105" s="187" t="s">
        <v>52</v>
      </c>
      <c r="AV105" s="187" t="s">
        <v>391</v>
      </c>
      <c r="AW105" s="187" t="s">
        <v>392</v>
      </c>
      <c r="AX105" s="187" t="s">
        <v>393</v>
      </c>
      <c r="AY105" s="187">
        <v>77079</v>
      </c>
      <c r="AZ105" s="188">
        <v>48200000000</v>
      </c>
      <c r="BA105" s="187" t="s">
        <v>394</v>
      </c>
      <c r="BB105" s="187" t="s">
        <v>395</v>
      </c>
      <c r="BC105" s="187">
        <v>162030</v>
      </c>
      <c r="BD105" s="187">
        <v>2990</v>
      </c>
      <c r="BE105" s="187" t="s">
        <v>396</v>
      </c>
      <c r="BF105" s="187" t="s">
        <v>396</v>
      </c>
      <c r="BG105" s="187" t="s">
        <v>396</v>
      </c>
    </row>
    <row r="106" spans="1:59">
      <c r="A106" s="187">
        <v>286926</v>
      </c>
      <c r="B106" s="187">
        <v>17468871</v>
      </c>
      <c r="C106" s="187">
        <v>2019</v>
      </c>
      <c r="D106" s="187" t="s">
        <v>380</v>
      </c>
      <c r="E106" s="187">
        <v>14</v>
      </c>
      <c r="F106" s="187" t="s">
        <v>381</v>
      </c>
      <c r="G106" s="187" t="s">
        <v>382</v>
      </c>
      <c r="H106" s="187" t="s">
        <v>419</v>
      </c>
      <c r="I106" s="187" t="s">
        <v>415</v>
      </c>
      <c r="J106" s="187">
        <v>29.753969999999999</v>
      </c>
      <c r="K106" s="187">
        <v>-95.606200000000001</v>
      </c>
      <c r="L106" s="187" t="s">
        <v>385</v>
      </c>
      <c r="M106" s="187" t="s">
        <v>386</v>
      </c>
      <c r="N106" s="187" t="s">
        <v>425</v>
      </c>
      <c r="O106" s="187" t="s">
        <v>441</v>
      </c>
      <c r="P106" s="187" t="s">
        <v>402</v>
      </c>
      <c r="Q106" s="187" t="s">
        <v>102</v>
      </c>
      <c r="R106" s="187" t="s">
        <v>416</v>
      </c>
      <c r="S106" s="187">
        <v>0</v>
      </c>
      <c r="T106" s="187">
        <v>0</v>
      </c>
      <c r="U106" s="187">
        <v>2</v>
      </c>
      <c r="V106" s="187">
        <v>0</v>
      </c>
      <c r="W106" s="187">
        <v>2</v>
      </c>
      <c r="X106" s="187">
        <v>2</v>
      </c>
      <c r="Y106" s="187">
        <v>0</v>
      </c>
      <c r="Z106" s="187">
        <v>0</v>
      </c>
      <c r="AA106" s="187">
        <v>0</v>
      </c>
      <c r="AB106" s="187">
        <v>2</v>
      </c>
      <c r="AC106" s="187">
        <v>0</v>
      </c>
      <c r="AD106" s="187">
        <v>2</v>
      </c>
      <c r="AE106" s="187">
        <v>2</v>
      </c>
      <c r="AF106" s="187">
        <v>0</v>
      </c>
      <c r="AG106" s="187">
        <v>0</v>
      </c>
      <c r="AH106" s="187">
        <v>0</v>
      </c>
      <c r="AI106" s="187">
        <v>0</v>
      </c>
      <c r="AJ106" s="187">
        <v>0</v>
      </c>
      <c r="AK106" s="187">
        <v>0</v>
      </c>
      <c r="AL106" s="187">
        <v>0</v>
      </c>
      <c r="AM106" s="187">
        <v>0</v>
      </c>
      <c r="AN106" s="187">
        <v>0</v>
      </c>
      <c r="AO106" s="187">
        <v>0</v>
      </c>
      <c r="AP106" s="187">
        <v>0</v>
      </c>
      <c r="AQ106" s="187">
        <v>0</v>
      </c>
      <c r="AR106" s="187">
        <v>0</v>
      </c>
      <c r="AS106" s="187">
        <v>0</v>
      </c>
      <c r="AT106" s="187">
        <v>0</v>
      </c>
      <c r="AU106" s="187" t="s">
        <v>52</v>
      </c>
      <c r="AV106" s="187" t="s">
        <v>391</v>
      </c>
      <c r="AW106" s="187" t="s">
        <v>392</v>
      </c>
      <c r="AX106" s="187" t="s">
        <v>393</v>
      </c>
      <c r="AY106" s="187">
        <v>77077</v>
      </c>
      <c r="AZ106" s="188">
        <v>48200000000</v>
      </c>
      <c r="BA106" s="187" t="s">
        <v>394</v>
      </c>
      <c r="BB106" s="187" t="s">
        <v>395</v>
      </c>
      <c r="BC106" s="187">
        <v>161370</v>
      </c>
      <c r="BD106" s="187">
        <v>2990</v>
      </c>
      <c r="BE106" s="187" t="s">
        <v>396</v>
      </c>
      <c r="BF106" s="187" t="s">
        <v>396</v>
      </c>
      <c r="BG106" s="187" t="s">
        <v>396</v>
      </c>
    </row>
    <row r="107" spans="1:59">
      <c r="A107" s="187">
        <v>287119</v>
      </c>
      <c r="B107" s="187">
        <v>17470023</v>
      </c>
      <c r="C107" s="187">
        <v>2018</v>
      </c>
      <c r="D107" s="187" t="s">
        <v>380</v>
      </c>
      <c r="E107" s="187">
        <v>11</v>
      </c>
      <c r="F107" s="187" t="s">
        <v>414</v>
      </c>
      <c r="G107" s="187" t="s">
        <v>382</v>
      </c>
      <c r="H107" s="187" t="s">
        <v>404</v>
      </c>
      <c r="I107" s="187" t="s">
        <v>384</v>
      </c>
      <c r="J107" s="187">
        <v>29.767430000000001</v>
      </c>
      <c r="K107" s="187">
        <v>-95.606300000000005</v>
      </c>
      <c r="L107" s="187" t="s">
        <v>399</v>
      </c>
      <c r="M107" s="187" t="s">
        <v>386</v>
      </c>
      <c r="N107" s="187" t="s">
        <v>406</v>
      </c>
      <c r="O107" s="187" t="s">
        <v>388</v>
      </c>
      <c r="P107" s="187" t="s">
        <v>389</v>
      </c>
      <c r="Q107" s="187" t="s">
        <v>103</v>
      </c>
      <c r="R107" s="187" t="s">
        <v>444</v>
      </c>
      <c r="S107" s="187">
        <v>0</v>
      </c>
      <c r="T107" s="187">
        <v>0</v>
      </c>
      <c r="U107" s="187">
        <v>0</v>
      </c>
      <c r="V107" s="187">
        <v>0</v>
      </c>
      <c r="W107" s="187">
        <v>0</v>
      </c>
      <c r="X107" s="187">
        <v>3</v>
      </c>
      <c r="Y107" s="187">
        <v>0</v>
      </c>
      <c r="Z107" s="187">
        <v>0</v>
      </c>
      <c r="AA107" s="187">
        <v>0</v>
      </c>
      <c r="AB107" s="187">
        <v>0</v>
      </c>
      <c r="AC107" s="187">
        <v>0</v>
      </c>
      <c r="AD107" s="187">
        <v>3</v>
      </c>
      <c r="AE107" s="187">
        <v>0</v>
      </c>
      <c r="AF107" s="187">
        <v>0</v>
      </c>
      <c r="AG107" s="187">
        <v>0</v>
      </c>
      <c r="AH107" s="187">
        <v>0</v>
      </c>
      <c r="AI107" s="187">
        <v>0</v>
      </c>
      <c r="AJ107" s="187">
        <v>0</v>
      </c>
      <c r="AK107" s="187">
        <v>0</v>
      </c>
      <c r="AL107" s="187">
        <v>0</v>
      </c>
      <c r="AM107" s="187">
        <v>0</v>
      </c>
      <c r="AN107" s="187">
        <v>0</v>
      </c>
      <c r="AO107" s="187">
        <v>0</v>
      </c>
      <c r="AP107" s="187">
        <v>0</v>
      </c>
      <c r="AQ107" s="187">
        <v>0</v>
      </c>
      <c r="AR107" s="187">
        <v>0</v>
      </c>
      <c r="AS107" s="187">
        <v>0</v>
      </c>
      <c r="AT107" s="187">
        <v>0</v>
      </c>
      <c r="AU107" s="187" t="s">
        <v>52</v>
      </c>
      <c r="AV107" s="187" t="s">
        <v>391</v>
      </c>
      <c r="AW107" s="187" t="s">
        <v>392</v>
      </c>
      <c r="AX107" s="187" t="s">
        <v>393</v>
      </c>
      <c r="AY107" s="187">
        <v>77079</v>
      </c>
      <c r="AZ107" s="188">
        <v>48200000000</v>
      </c>
      <c r="BA107" s="187" t="s">
        <v>394</v>
      </c>
      <c r="BB107" s="187" t="s">
        <v>395</v>
      </c>
      <c r="BC107" s="187">
        <v>161810</v>
      </c>
      <c r="BD107" s="187">
        <v>2990</v>
      </c>
      <c r="BE107" s="187" t="s">
        <v>396</v>
      </c>
      <c r="BF107" s="187" t="s">
        <v>396</v>
      </c>
      <c r="BG107" s="187" t="s">
        <v>396</v>
      </c>
    </row>
    <row r="108" spans="1:59">
      <c r="A108" s="187">
        <v>288772</v>
      </c>
      <c r="B108" s="187">
        <v>17477679</v>
      </c>
      <c r="C108" s="187">
        <v>2019</v>
      </c>
      <c r="D108" s="187" t="s">
        <v>380</v>
      </c>
      <c r="E108" s="187">
        <v>15</v>
      </c>
      <c r="F108" s="187" t="s">
        <v>381</v>
      </c>
      <c r="G108" s="187" t="s">
        <v>382</v>
      </c>
      <c r="H108" s="187" t="s">
        <v>383</v>
      </c>
      <c r="I108" s="187" t="s">
        <v>398</v>
      </c>
      <c r="J108" s="187">
        <v>29.75404</v>
      </c>
      <c r="K108" s="187">
        <v>-95.606200000000001</v>
      </c>
      <c r="L108" s="187" t="s">
        <v>385</v>
      </c>
      <c r="M108" s="187" t="s">
        <v>386</v>
      </c>
      <c r="N108" s="187" t="s">
        <v>425</v>
      </c>
      <c r="O108" s="187" t="s">
        <v>388</v>
      </c>
      <c r="P108" s="187" t="s">
        <v>389</v>
      </c>
      <c r="Q108" s="187" t="s">
        <v>102</v>
      </c>
      <c r="R108" s="187" t="s">
        <v>403</v>
      </c>
      <c r="S108" s="187">
        <v>0</v>
      </c>
      <c r="T108" s="187">
        <v>0</v>
      </c>
      <c r="U108" s="187">
        <v>0</v>
      </c>
      <c r="V108" s="187">
        <v>0</v>
      </c>
      <c r="W108" s="187">
        <v>0</v>
      </c>
      <c r="X108" s="187">
        <v>2</v>
      </c>
      <c r="Y108" s="187">
        <v>0</v>
      </c>
      <c r="Z108" s="187">
        <v>0</v>
      </c>
      <c r="AA108" s="187">
        <v>0</v>
      </c>
      <c r="AB108" s="187">
        <v>0</v>
      </c>
      <c r="AC108" s="187">
        <v>0</v>
      </c>
      <c r="AD108" s="187">
        <v>2</v>
      </c>
      <c r="AE108" s="187">
        <v>0</v>
      </c>
      <c r="AF108" s="187">
        <v>0</v>
      </c>
      <c r="AG108" s="187">
        <v>0</v>
      </c>
      <c r="AH108" s="187">
        <v>0</v>
      </c>
      <c r="AI108" s="187">
        <v>0</v>
      </c>
      <c r="AJ108" s="187">
        <v>0</v>
      </c>
      <c r="AK108" s="187">
        <v>0</v>
      </c>
      <c r="AL108" s="187">
        <v>0</v>
      </c>
      <c r="AM108" s="187">
        <v>0</v>
      </c>
      <c r="AN108" s="187">
        <v>0</v>
      </c>
      <c r="AO108" s="187">
        <v>0</v>
      </c>
      <c r="AP108" s="187">
        <v>0</v>
      </c>
      <c r="AQ108" s="187">
        <v>0</v>
      </c>
      <c r="AR108" s="187">
        <v>0</v>
      </c>
      <c r="AS108" s="187">
        <v>0</v>
      </c>
      <c r="AT108" s="187">
        <v>0</v>
      </c>
      <c r="AU108" s="187" t="s">
        <v>52</v>
      </c>
      <c r="AV108" s="187" t="s">
        <v>391</v>
      </c>
      <c r="AW108" s="187" t="s">
        <v>392</v>
      </c>
      <c r="AX108" s="187" t="s">
        <v>393</v>
      </c>
      <c r="AY108" s="187">
        <v>77077</v>
      </c>
      <c r="AZ108" s="188">
        <v>48200000000</v>
      </c>
      <c r="BA108" s="187" t="s">
        <v>394</v>
      </c>
      <c r="BB108" s="187" t="s">
        <v>395</v>
      </c>
      <c r="BC108" s="187">
        <v>161370</v>
      </c>
      <c r="BD108" s="187">
        <v>2990</v>
      </c>
      <c r="BE108" s="187" t="s">
        <v>396</v>
      </c>
      <c r="BF108" s="187" t="s">
        <v>396</v>
      </c>
      <c r="BG108" s="187" t="s">
        <v>396</v>
      </c>
    </row>
    <row r="109" spans="1:59">
      <c r="A109" s="187">
        <v>292119</v>
      </c>
      <c r="B109" s="187">
        <v>17491216</v>
      </c>
      <c r="C109" s="187">
        <v>2019</v>
      </c>
      <c r="D109" s="187" t="s">
        <v>380</v>
      </c>
      <c r="E109" s="187">
        <v>13</v>
      </c>
      <c r="F109" s="187" t="s">
        <v>429</v>
      </c>
      <c r="G109" s="187" t="s">
        <v>382</v>
      </c>
      <c r="H109" s="187" t="s">
        <v>408</v>
      </c>
      <c r="I109" s="187" t="s">
        <v>409</v>
      </c>
      <c r="J109" s="187">
        <v>29.770060000000001</v>
      </c>
      <c r="K109" s="187">
        <v>-95.606399999999994</v>
      </c>
      <c r="L109" s="187" t="s">
        <v>385</v>
      </c>
      <c r="M109" s="187" t="s">
        <v>386</v>
      </c>
      <c r="N109" s="187" t="s">
        <v>418</v>
      </c>
      <c r="O109" s="187" t="s">
        <v>388</v>
      </c>
      <c r="P109" s="187" t="s">
        <v>389</v>
      </c>
      <c r="Q109" s="187" t="s">
        <v>106</v>
      </c>
      <c r="R109" s="187" t="s">
        <v>413</v>
      </c>
      <c r="S109" s="187">
        <v>0</v>
      </c>
      <c r="T109" s="187">
        <v>0</v>
      </c>
      <c r="U109" s="187">
        <v>0</v>
      </c>
      <c r="V109" s="187">
        <v>0</v>
      </c>
      <c r="W109" s="187">
        <v>0</v>
      </c>
      <c r="X109" s="187">
        <v>2</v>
      </c>
      <c r="Y109" s="187">
        <v>0</v>
      </c>
      <c r="Z109" s="187">
        <v>0</v>
      </c>
      <c r="AA109" s="187">
        <v>0</v>
      </c>
      <c r="AB109" s="187">
        <v>0</v>
      </c>
      <c r="AC109" s="187">
        <v>0</v>
      </c>
      <c r="AD109" s="187">
        <v>2</v>
      </c>
      <c r="AE109" s="187">
        <v>0</v>
      </c>
      <c r="AF109" s="187">
        <v>0</v>
      </c>
      <c r="AG109" s="187">
        <v>0</v>
      </c>
      <c r="AH109" s="187">
        <v>0</v>
      </c>
      <c r="AI109" s="187">
        <v>0</v>
      </c>
      <c r="AJ109" s="187">
        <v>0</v>
      </c>
      <c r="AK109" s="187">
        <v>0</v>
      </c>
      <c r="AL109" s="187">
        <v>0</v>
      </c>
      <c r="AM109" s="187">
        <v>0</v>
      </c>
      <c r="AN109" s="187">
        <v>0</v>
      </c>
      <c r="AO109" s="187">
        <v>0</v>
      </c>
      <c r="AP109" s="187">
        <v>0</v>
      </c>
      <c r="AQ109" s="187">
        <v>0</v>
      </c>
      <c r="AR109" s="187">
        <v>0</v>
      </c>
      <c r="AS109" s="187">
        <v>0</v>
      </c>
      <c r="AT109" s="187">
        <v>0</v>
      </c>
      <c r="AU109" s="187" t="s">
        <v>52</v>
      </c>
      <c r="AV109" s="187" t="s">
        <v>391</v>
      </c>
      <c r="AW109" s="187" t="s">
        <v>392</v>
      </c>
      <c r="AX109" s="187" t="s">
        <v>393</v>
      </c>
      <c r="AY109" s="187">
        <v>77079</v>
      </c>
      <c r="AZ109" s="188">
        <v>48200000000</v>
      </c>
      <c r="BA109" s="187" t="s">
        <v>394</v>
      </c>
      <c r="BB109" s="187" t="s">
        <v>395</v>
      </c>
      <c r="BC109" s="187">
        <v>162030</v>
      </c>
      <c r="BD109" s="187">
        <v>2990</v>
      </c>
      <c r="BE109" s="187" t="s">
        <v>396</v>
      </c>
      <c r="BF109" s="187" t="s">
        <v>396</v>
      </c>
      <c r="BG109" s="187" t="s">
        <v>396</v>
      </c>
    </row>
    <row r="110" spans="1:59">
      <c r="A110" s="187">
        <v>293503</v>
      </c>
      <c r="B110" s="187">
        <v>17499456</v>
      </c>
      <c r="C110" s="187">
        <v>2019</v>
      </c>
      <c r="D110" s="187" t="s">
        <v>380</v>
      </c>
      <c r="E110" s="187">
        <v>18</v>
      </c>
      <c r="F110" s="187" t="s">
        <v>411</v>
      </c>
      <c r="G110" s="187" t="s">
        <v>382</v>
      </c>
      <c r="H110" s="187" t="s">
        <v>383</v>
      </c>
      <c r="I110" s="187" t="s">
        <v>415</v>
      </c>
      <c r="J110" s="187">
        <v>29.758150000000001</v>
      </c>
      <c r="K110" s="187">
        <v>-95.606300000000005</v>
      </c>
      <c r="L110" s="187" t="s">
        <v>385</v>
      </c>
      <c r="M110" s="187" t="s">
        <v>439</v>
      </c>
      <c r="N110" s="187" t="s">
        <v>401</v>
      </c>
      <c r="O110" s="187" t="s">
        <v>388</v>
      </c>
      <c r="P110" s="187" t="s">
        <v>389</v>
      </c>
      <c r="Q110" s="187" t="s">
        <v>106</v>
      </c>
      <c r="R110" s="187" t="s">
        <v>403</v>
      </c>
      <c r="S110" s="187">
        <v>0</v>
      </c>
      <c r="T110" s="187">
        <v>0</v>
      </c>
      <c r="U110" s="187">
        <v>0</v>
      </c>
      <c r="V110" s="187">
        <v>0</v>
      </c>
      <c r="W110" s="187">
        <v>0</v>
      </c>
      <c r="X110" s="187">
        <v>3</v>
      </c>
      <c r="Y110" s="187">
        <v>0</v>
      </c>
      <c r="Z110" s="187">
        <v>0</v>
      </c>
      <c r="AA110" s="187">
        <v>0</v>
      </c>
      <c r="AB110" s="187">
        <v>0</v>
      </c>
      <c r="AC110" s="187">
        <v>0</v>
      </c>
      <c r="AD110" s="187">
        <v>3</v>
      </c>
      <c r="AE110" s="187">
        <v>0</v>
      </c>
      <c r="AF110" s="187">
        <v>0</v>
      </c>
      <c r="AG110" s="187">
        <v>0</v>
      </c>
      <c r="AH110" s="187">
        <v>0</v>
      </c>
      <c r="AI110" s="187">
        <v>0</v>
      </c>
      <c r="AJ110" s="187">
        <v>0</v>
      </c>
      <c r="AK110" s="187">
        <v>0</v>
      </c>
      <c r="AL110" s="187">
        <v>0</v>
      </c>
      <c r="AM110" s="187">
        <v>0</v>
      </c>
      <c r="AN110" s="187">
        <v>0</v>
      </c>
      <c r="AO110" s="187">
        <v>0</v>
      </c>
      <c r="AP110" s="187">
        <v>0</v>
      </c>
      <c r="AQ110" s="187">
        <v>0</v>
      </c>
      <c r="AR110" s="187">
        <v>0</v>
      </c>
      <c r="AS110" s="187">
        <v>0</v>
      </c>
      <c r="AT110" s="187">
        <v>0</v>
      </c>
      <c r="AU110" s="187" t="s">
        <v>52</v>
      </c>
      <c r="AV110" s="187" t="s">
        <v>391</v>
      </c>
      <c r="AW110" s="187" t="s">
        <v>392</v>
      </c>
      <c r="AX110" s="187" t="s">
        <v>393</v>
      </c>
      <c r="AY110" s="187">
        <v>77077</v>
      </c>
      <c r="AZ110" s="188">
        <v>48200000000</v>
      </c>
      <c r="BA110" s="187" t="s">
        <v>394</v>
      </c>
      <c r="BB110" s="187" t="s">
        <v>395</v>
      </c>
      <c r="BC110" s="187">
        <v>161590</v>
      </c>
      <c r="BD110" s="187">
        <v>2990</v>
      </c>
      <c r="BE110" s="187" t="s">
        <v>396</v>
      </c>
      <c r="BF110" s="187" t="s">
        <v>396</v>
      </c>
      <c r="BG110" s="187" t="s">
        <v>396</v>
      </c>
    </row>
    <row r="111" spans="1:59">
      <c r="A111" s="187">
        <v>301699</v>
      </c>
      <c r="B111" s="187">
        <v>17520567</v>
      </c>
      <c r="C111" s="187">
        <v>2020</v>
      </c>
      <c r="D111" s="187" t="s">
        <v>380</v>
      </c>
      <c r="E111" s="187">
        <v>18</v>
      </c>
      <c r="F111" s="187" t="s">
        <v>397</v>
      </c>
      <c r="G111" s="187" t="s">
        <v>382</v>
      </c>
      <c r="H111" s="187" t="s">
        <v>404</v>
      </c>
      <c r="I111" s="187" t="s">
        <v>384</v>
      </c>
      <c r="J111" s="187">
        <v>29.770199999999999</v>
      </c>
      <c r="K111" s="187">
        <v>-95.606300000000005</v>
      </c>
      <c r="L111" s="187" t="s">
        <v>385</v>
      </c>
      <c r="M111" s="187" t="s">
        <v>400</v>
      </c>
      <c r="N111" s="187" t="s">
        <v>425</v>
      </c>
      <c r="O111" s="187" t="s">
        <v>388</v>
      </c>
      <c r="P111" s="187" t="s">
        <v>389</v>
      </c>
      <c r="Q111" s="187" t="s">
        <v>105</v>
      </c>
      <c r="R111" s="187" t="s">
        <v>424</v>
      </c>
      <c r="S111" s="187">
        <v>0</v>
      </c>
      <c r="T111" s="187">
        <v>0</v>
      </c>
      <c r="U111" s="187">
        <v>0</v>
      </c>
      <c r="V111" s="187">
        <v>0</v>
      </c>
      <c r="W111" s="187">
        <v>0</v>
      </c>
      <c r="X111" s="187">
        <v>3</v>
      </c>
      <c r="Y111" s="187">
        <v>0</v>
      </c>
      <c r="Z111" s="187">
        <v>0</v>
      </c>
      <c r="AA111" s="187">
        <v>0</v>
      </c>
      <c r="AB111" s="187">
        <v>0</v>
      </c>
      <c r="AC111" s="187">
        <v>0</v>
      </c>
      <c r="AD111" s="187">
        <v>3</v>
      </c>
      <c r="AE111" s="187">
        <v>0</v>
      </c>
      <c r="AF111" s="187">
        <v>0</v>
      </c>
      <c r="AG111" s="187">
        <v>0</v>
      </c>
      <c r="AH111" s="187">
        <v>0</v>
      </c>
      <c r="AI111" s="187">
        <v>0</v>
      </c>
      <c r="AJ111" s="187">
        <v>0</v>
      </c>
      <c r="AK111" s="187">
        <v>0</v>
      </c>
      <c r="AL111" s="187">
        <v>0</v>
      </c>
      <c r="AM111" s="187">
        <v>0</v>
      </c>
      <c r="AN111" s="187">
        <v>0</v>
      </c>
      <c r="AO111" s="187">
        <v>0</v>
      </c>
      <c r="AP111" s="187">
        <v>0</v>
      </c>
      <c r="AQ111" s="187">
        <v>0</v>
      </c>
      <c r="AR111" s="187">
        <v>0</v>
      </c>
      <c r="AS111" s="187">
        <v>0</v>
      </c>
      <c r="AT111" s="187">
        <v>0</v>
      </c>
      <c r="AU111" s="187" t="s">
        <v>52</v>
      </c>
      <c r="AV111" s="187" t="s">
        <v>391</v>
      </c>
      <c r="AW111" s="187" t="s">
        <v>392</v>
      </c>
      <c r="AX111" s="187" t="s">
        <v>393</v>
      </c>
      <c r="AY111" s="187">
        <v>77079</v>
      </c>
      <c r="AZ111" s="188">
        <v>48200000000</v>
      </c>
      <c r="BA111" s="187" t="s">
        <v>394</v>
      </c>
      <c r="BB111" s="187" t="s">
        <v>395</v>
      </c>
      <c r="BC111" s="187">
        <v>162030</v>
      </c>
      <c r="BD111" s="187">
        <v>2990</v>
      </c>
      <c r="BE111" s="187" t="s">
        <v>396</v>
      </c>
      <c r="BF111" s="187" t="s">
        <v>396</v>
      </c>
      <c r="BG111" s="187" t="s">
        <v>396</v>
      </c>
    </row>
    <row r="112" spans="1:59">
      <c r="A112" s="187">
        <v>305115</v>
      </c>
      <c r="B112" s="187">
        <v>17535494</v>
      </c>
      <c r="C112" s="187">
        <v>2020</v>
      </c>
      <c r="D112" s="187" t="s">
        <v>380</v>
      </c>
      <c r="E112" s="187">
        <v>17</v>
      </c>
      <c r="F112" s="187" t="s">
        <v>426</v>
      </c>
      <c r="G112" s="187" t="s">
        <v>382</v>
      </c>
      <c r="H112" s="187" t="s">
        <v>383</v>
      </c>
      <c r="I112" s="187" t="s">
        <v>415</v>
      </c>
      <c r="J112" s="187">
        <v>29.761810000000001</v>
      </c>
      <c r="K112" s="187">
        <v>-95.606300000000005</v>
      </c>
      <c r="L112" s="187" t="s">
        <v>385</v>
      </c>
      <c r="M112" s="187" t="s">
        <v>386</v>
      </c>
      <c r="N112" s="187" t="s">
        <v>425</v>
      </c>
      <c r="O112" s="187" t="s">
        <v>388</v>
      </c>
      <c r="P112" s="187" t="s">
        <v>389</v>
      </c>
      <c r="Q112" s="187" t="s">
        <v>102</v>
      </c>
      <c r="R112" s="187" t="s">
        <v>403</v>
      </c>
      <c r="S112" s="187">
        <v>0</v>
      </c>
      <c r="T112" s="187">
        <v>0</v>
      </c>
      <c r="U112" s="187">
        <v>0</v>
      </c>
      <c r="V112" s="187">
        <v>0</v>
      </c>
      <c r="W112" s="187">
        <v>0</v>
      </c>
      <c r="X112" s="187">
        <v>3</v>
      </c>
      <c r="Y112" s="187">
        <v>0</v>
      </c>
      <c r="Z112" s="187">
        <v>0</v>
      </c>
      <c r="AA112" s="187">
        <v>0</v>
      </c>
      <c r="AB112" s="187">
        <v>0</v>
      </c>
      <c r="AC112" s="187">
        <v>0</v>
      </c>
      <c r="AD112" s="187">
        <v>3</v>
      </c>
      <c r="AE112" s="187">
        <v>0</v>
      </c>
      <c r="AF112" s="187">
        <v>0</v>
      </c>
      <c r="AG112" s="187">
        <v>0</v>
      </c>
      <c r="AH112" s="187">
        <v>0</v>
      </c>
      <c r="AI112" s="187">
        <v>0</v>
      </c>
      <c r="AJ112" s="187">
        <v>0</v>
      </c>
      <c r="AK112" s="187">
        <v>0</v>
      </c>
      <c r="AL112" s="187">
        <v>0</v>
      </c>
      <c r="AM112" s="187">
        <v>0</v>
      </c>
      <c r="AN112" s="187">
        <v>0</v>
      </c>
      <c r="AO112" s="187">
        <v>0</v>
      </c>
      <c r="AP112" s="187">
        <v>0</v>
      </c>
      <c r="AQ112" s="187">
        <v>0</v>
      </c>
      <c r="AR112" s="187">
        <v>0</v>
      </c>
      <c r="AS112" s="187">
        <v>0</v>
      </c>
      <c r="AT112" s="187">
        <v>0</v>
      </c>
      <c r="AU112" s="187" t="s">
        <v>52</v>
      </c>
      <c r="AV112" s="187" t="s">
        <v>391</v>
      </c>
      <c r="AW112" s="187" t="s">
        <v>392</v>
      </c>
      <c r="AX112" s="187" t="s">
        <v>393</v>
      </c>
      <c r="AY112" s="187">
        <v>77077</v>
      </c>
      <c r="AZ112" s="188">
        <v>48200000000</v>
      </c>
      <c r="BA112" s="187" t="s">
        <v>394</v>
      </c>
      <c r="BB112" s="187" t="s">
        <v>395</v>
      </c>
      <c r="BC112" s="187">
        <v>161590</v>
      </c>
      <c r="BD112" s="187">
        <v>2990</v>
      </c>
      <c r="BE112" s="187" t="s">
        <v>396</v>
      </c>
      <c r="BF112" s="187" t="s">
        <v>396</v>
      </c>
      <c r="BG112" s="187" t="s">
        <v>396</v>
      </c>
    </row>
    <row r="113" spans="1:59">
      <c r="A113" s="187">
        <v>307022</v>
      </c>
      <c r="B113" s="187">
        <v>17543719</v>
      </c>
      <c r="C113" s="187">
        <v>2020</v>
      </c>
      <c r="D113" s="187" t="s">
        <v>380</v>
      </c>
      <c r="E113" s="187">
        <v>17</v>
      </c>
      <c r="F113" s="187" t="s">
        <v>421</v>
      </c>
      <c r="G113" s="187" t="s">
        <v>382</v>
      </c>
      <c r="H113" s="187" t="s">
        <v>383</v>
      </c>
      <c r="I113" s="187" t="s">
        <v>398</v>
      </c>
      <c r="J113" s="187">
        <v>29.760120000000001</v>
      </c>
      <c r="K113" s="187">
        <v>-95.606300000000005</v>
      </c>
      <c r="L113" s="187" t="s">
        <v>385</v>
      </c>
      <c r="M113" s="187" t="s">
        <v>386</v>
      </c>
      <c r="N113" s="187" t="s">
        <v>418</v>
      </c>
      <c r="O113" s="187" t="s">
        <v>388</v>
      </c>
      <c r="P113" s="187" t="s">
        <v>389</v>
      </c>
      <c r="Q113" s="187" t="s">
        <v>105</v>
      </c>
      <c r="R113" s="187" t="s">
        <v>403</v>
      </c>
      <c r="S113" s="187">
        <v>0</v>
      </c>
      <c r="T113" s="187">
        <v>0</v>
      </c>
      <c r="U113" s="187">
        <v>0</v>
      </c>
      <c r="V113" s="187">
        <v>0</v>
      </c>
      <c r="W113" s="187">
        <v>0</v>
      </c>
      <c r="X113" s="187">
        <v>2</v>
      </c>
      <c r="Y113" s="187">
        <v>0</v>
      </c>
      <c r="Z113" s="187">
        <v>0</v>
      </c>
      <c r="AA113" s="187">
        <v>0</v>
      </c>
      <c r="AB113" s="187">
        <v>0</v>
      </c>
      <c r="AC113" s="187">
        <v>0</v>
      </c>
      <c r="AD113" s="187">
        <v>2</v>
      </c>
      <c r="AE113" s="187">
        <v>0</v>
      </c>
      <c r="AF113" s="187">
        <v>0</v>
      </c>
      <c r="AG113" s="187">
        <v>0</v>
      </c>
      <c r="AH113" s="187">
        <v>0</v>
      </c>
      <c r="AI113" s="187">
        <v>0</v>
      </c>
      <c r="AJ113" s="187">
        <v>0</v>
      </c>
      <c r="AK113" s="187">
        <v>0</v>
      </c>
      <c r="AL113" s="187">
        <v>0</v>
      </c>
      <c r="AM113" s="187">
        <v>0</v>
      </c>
      <c r="AN113" s="187">
        <v>0</v>
      </c>
      <c r="AO113" s="187">
        <v>0</v>
      </c>
      <c r="AP113" s="187">
        <v>0</v>
      </c>
      <c r="AQ113" s="187">
        <v>0</v>
      </c>
      <c r="AR113" s="187">
        <v>0</v>
      </c>
      <c r="AS113" s="187">
        <v>0</v>
      </c>
      <c r="AT113" s="187">
        <v>0</v>
      </c>
      <c r="AU113" s="187" t="s">
        <v>52</v>
      </c>
      <c r="AV113" s="187" t="s">
        <v>391</v>
      </c>
      <c r="AW113" s="187" t="s">
        <v>392</v>
      </c>
      <c r="AX113" s="187" t="s">
        <v>393</v>
      </c>
      <c r="AY113" s="187">
        <v>77077</v>
      </c>
      <c r="AZ113" s="188">
        <v>48200000000</v>
      </c>
      <c r="BA113" s="187" t="s">
        <v>394</v>
      </c>
      <c r="BB113" s="187" t="s">
        <v>395</v>
      </c>
      <c r="BC113" s="187">
        <v>161590</v>
      </c>
      <c r="BD113" s="187">
        <v>2990</v>
      </c>
      <c r="BE113" s="187" t="s">
        <v>396</v>
      </c>
      <c r="BF113" s="187" t="s">
        <v>396</v>
      </c>
      <c r="BG113" s="187" t="s">
        <v>396</v>
      </c>
    </row>
    <row r="114" spans="1:59">
      <c r="A114" s="187">
        <v>308594</v>
      </c>
      <c r="B114" s="187">
        <v>17550297</v>
      </c>
      <c r="C114" s="187">
        <v>2020</v>
      </c>
      <c r="D114" s="189">
        <v>43865</v>
      </c>
      <c r="E114" s="187">
        <v>7</v>
      </c>
      <c r="F114" s="187" t="s">
        <v>381</v>
      </c>
      <c r="G114" s="187" t="s">
        <v>382</v>
      </c>
      <c r="H114" s="187" t="s">
        <v>404</v>
      </c>
      <c r="I114" s="187" t="s">
        <v>398</v>
      </c>
      <c r="J114" s="187">
        <v>29.770019999999999</v>
      </c>
      <c r="K114" s="187">
        <v>-95.606300000000005</v>
      </c>
      <c r="L114" s="187" t="s">
        <v>405</v>
      </c>
      <c r="M114" s="187" t="s">
        <v>386</v>
      </c>
      <c r="N114" s="187" t="s">
        <v>401</v>
      </c>
      <c r="O114" s="187" t="s">
        <v>388</v>
      </c>
      <c r="P114" s="187" t="s">
        <v>389</v>
      </c>
      <c r="Q114" s="187" t="s">
        <v>102</v>
      </c>
      <c r="R114" s="187" t="s">
        <v>403</v>
      </c>
      <c r="S114" s="187">
        <v>0</v>
      </c>
      <c r="T114" s="187">
        <v>0</v>
      </c>
      <c r="U114" s="187">
        <v>0</v>
      </c>
      <c r="V114" s="187">
        <v>0</v>
      </c>
      <c r="W114" s="187">
        <v>0</v>
      </c>
      <c r="X114" s="187">
        <v>1</v>
      </c>
      <c r="Y114" s="187">
        <v>1</v>
      </c>
      <c r="Z114" s="187">
        <v>0</v>
      </c>
      <c r="AA114" s="187">
        <v>0</v>
      </c>
      <c r="AB114" s="187">
        <v>0</v>
      </c>
      <c r="AC114" s="187">
        <v>0</v>
      </c>
      <c r="AD114" s="187">
        <v>1</v>
      </c>
      <c r="AE114" s="187">
        <v>0</v>
      </c>
      <c r="AF114" s="187">
        <v>1</v>
      </c>
      <c r="AG114" s="187">
        <v>0</v>
      </c>
      <c r="AH114" s="187">
        <v>0</v>
      </c>
      <c r="AI114" s="187">
        <v>0</v>
      </c>
      <c r="AJ114" s="187">
        <v>0</v>
      </c>
      <c r="AK114" s="187">
        <v>0</v>
      </c>
      <c r="AL114" s="187">
        <v>0</v>
      </c>
      <c r="AM114" s="187">
        <v>0</v>
      </c>
      <c r="AN114" s="187">
        <v>0</v>
      </c>
      <c r="AO114" s="187">
        <v>0</v>
      </c>
      <c r="AP114" s="187">
        <v>0</v>
      </c>
      <c r="AQ114" s="187">
        <v>0</v>
      </c>
      <c r="AR114" s="187">
        <v>0</v>
      </c>
      <c r="AS114" s="187">
        <v>0</v>
      </c>
      <c r="AT114" s="187">
        <v>0</v>
      </c>
      <c r="AU114" s="187" t="s">
        <v>52</v>
      </c>
      <c r="AV114" s="187" t="s">
        <v>391</v>
      </c>
      <c r="AW114" s="187" t="s">
        <v>392</v>
      </c>
      <c r="AX114" s="187" t="s">
        <v>393</v>
      </c>
      <c r="AY114" s="187">
        <v>77079</v>
      </c>
      <c r="AZ114" s="188">
        <v>48200000000</v>
      </c>
      <c r="BA114" s="187" t="s">
        <v>394</v>
      </c>
      <c r="BB114" s="187" t="s">
        <v>395</v>
      </c>
      <c r="BC114" s="187">
        <v>162030</v>
      </c>
      <c r="BD114" s="187">
        <v>2990</v>
      </c>
      <c r="BE114" s="187" t="s">
        <v>396</v>
      </c>
      <c r="BF114" s="187" t="s">
        <v>396</v>
      </c>
      <c r="BG114" s="187" t="s">
        <v>396</v>
      </c>
    </row>
    <row r="115" spans="1:59">
      <c r="A115" s="187">
        <v>313978</v>
      </c>
      <c r="B115" s="187">
        <v>17573419</v>
      </c>
      <c r="C115" s="187">
        <v>2020</v>
      </c>
      <c r="D115" s="187" t="s">
        <v>380</v>
      </c>
      <c r="E115" s="187">
        <v>13</v>
      </c>
      <c r="F115" s="187" t="s">
        <v>397</v>
      </c>
      <c r="G115" s="187" t="s">
        <v>382</v>
      </c>
      <c r="H115" s="187" t="s">
        <v>383</v>
      </c>
      <c r="I115" s="187" t="s">
        <v>384</v>
      </c>
      <c r="J115" s="187">
        <v>29.758150000000001</v>
      </c>
      <c r="K115" s="187">
        <v>-95.606300000000005</v>
      </c>
      <c r="L115" s="187" t="s">
        <v>385</v>
      </c>
      <c r="M115" s="187" t="s">
        <v>386</v>
      </c>
      <c r="N115" s="187" t="s">
        <v>401</v>
      </c>
      <c r="O115" s="187" t="s">
        <v>388</v>
      </c>
      <c r="P115" s="187" t="s">
        <v>389</v>
      </c>
      <c r="Q115" s="187" t="s">
        <v>103</v>
      </c>
      <c r="R115" s="187" t="s">
        <v>433</v>
      </c>
      <c r="S115" s="187">
        <v>0</v>
      </c>
      <c r="T115" s="187">
        <v>0</v>
      </c>
      <c r="U115" s="187">
        <v>0</v>
      </c>
      <c r="V115" s="187">
        <v>0</v>
      </c>
      <c r="W115" s="187">
        <v>0</v>
      </c>
      <c r="X115" s="187">
        <v>2</v>
      </c>
      <c r="Y115" s="187">
        <v>0</v>
      </c>
      <c r="Z115" s="187">
        <v>0</v>
      </c>
      <c r="AA115" s="187">
        <v>0</v>
      </c>
      <c r="AB115" s="187">
        <v>0</v>
      </c>
      <c r="AC115" s="187">
        <v>0</v>
      </c>
      <c r="AD115" s="187">
        <v>2</v>
      </c>
      <c r="AE115" s="187">
        <v>0</v>
      </c>
      <c r="AF115" s="187">
        <v>0</v>
      </c>
      <c r="AG115" s="187">
        <v>0</v>
      </c>
      <c r="AH115" s="187">
        <v>0</v>
      </c>
      <c r="AI115" s="187">
        <v>0</v>
      </c>
      <c r="AJ115" s="187">
        <v>0</v>
      </c>
      <c r="AK115" s="187">
        <v>0</v>
      </c>
      <c r="AL115" s="187">
        <v>0</v>
      </c>
      <c r="AM115" s="187">
        <v>0</v>
      </c>
      <c r="AN115" s="187">
        <v>0</v>
      </c>
      <c r="AO115" s="187">
        <v>0</v>
      </c>
      <c r="AP115" s="187">
        <v>0</v>
      </c>
      <c r="AQ115" s="187">
        <v>0</v>
      </c>
      <c r="AR115" s="187">
        <v>0</v>
      </c>
      <c r="AS115" s="187">
        <v>0</v>
      </c>
      <c r="AT115" s="187">
        <v>0</v>
      </c>
      <c r="AU115" s="187" t="s">
        <v>52</v>
      </c>
      <c r="AV115" s="187" t="s">
        <v>391</v>
      </c>
      <c r="AW115" s="187" t="s">
        <v>392</v>
      </c>
      <c r="AX115" s="187" t="s">
        <v>393</v>
      </c>
      <c r="AY115" s="187">
        <v>77077</v>
      </c>
      <c r="AZ115" s="188">
        <v>48200000000</v>
      </c>
      <c r="BA115" s="187" t="s">
        <v>394</v>
      </c>
      <c r="BB115" s="187" t="s">
        <v>395</v>
      </c>
      <c r="BC115" s="187">
        <v>161590</v>
      </c>
      <c r="BD115" s="187">
        <v>2990</v>
      </c>
      <c r="BE115" s="187" t="s">
        <v>396</v>
      </c>
      <c r="BF115" s="187" t="s">
        <v>396</v>
      </c>
      <c r="BG115" s="187" t="s">
        <v>396</v>
      </c>
    </row>
    <row r="116" spans="1:59">
      <c r="A116" s="187">
        <v>320041</v>
      </c>
      <c r="B116" s="187">
        <v>17598965</v>
      </c>
      <c r="C116" s="187">
        <v>2020</v>
      </c>
      <c r="D116" s="187" t="s">
        <v>380</v>
      </c>
      <c r="E116" s="187">
        <v>11</v>
      </c>
      <c r="F116" s="187" t="s">
        <v>397</v>
      </c>
      <c r="G116" s="187" t="s">
        <v>382</v>
      </c>
      <c r="H116" s="187" t="s">
        <v>404</v>
      </c>
      <c r="I116" s="187" t="s">
        <v>422</v>
      </c>
      <c r="J116" s="187">
        <v>29.763100000000001</v>
      </c>
      <c r="K116" s="187">
        <v>-95.606200000000001</v>
      </c>
      <c r="L116" s="187" t="s">
        <v>385</v>
      </c>
      <c r="M116" s="187" t="s">
        <v>386</v>
      </c>
      <c r="N116" s="187" t="s">
        <v>418</v>
      </c>
      <c r="O116" s="187" t="s">
        <v>388</v>
      </c>
      <c r="P116" s="187" t="s">
        <v>342</v>
      </c>
      <c r="Q116" s="187" t="s">
        <v>103</v>
      </c>
      <c r="R116" s="187" t="s">
        <v>424</v>
      </c>
      <c r="S116" s="187">
        <v>0</v>
      </c>
      <c r="T116" s="187">
        <v>0</v>
      </c>
      <c r="U116" s="187">
        <v>0</v>
      </c>
      <c r="V116" s="187">
        <v>1</v>
      </c>
      <c r="W116" s="187">
        <v>1</v>
      </c>
      <c r="X116" s="187">
        <v>2</v>
      </c>
      <c r="Y116" s="187">
        <v>0</v>
      </c>
      <c r="Z116" s="187">
        <v>0</v>
      </c>
      <c r="AA116" s="187">
        <v>0</v>
      </c>
      <c r="AB116" s="187">
        <v>0</v>
      </c>
      <c r="AC116" s="187">
        <v>1</v>
      </c>
      <c r="AD116" s="187">
        <v>2</v>
      </c>
      <c r="AE116" s="187">
        <v>1</v>
      </c>
      <c r="AF116" s="187">
        <v>0</v>
      </c>
      <c r="AG116" s="187">
        <v>0</v>
      </c>
      <c r="AH116" s="187">
        <v>0</v>
      </c>
      <c r="AI116" s="187">
        <v>0</v>
      </c>
      <c r="AJ116" s="187">
        <v>0</v>
      </c>
      <c r="AK116" s="187">
        <v>0</v>
      </c>
      <c r="AL116" s="187">
        <v>0</v>
      </c>
      <c r="AM116" s="187">
        <v>0</v>
      </c>
      <c r="AN116" s="187">
        <v>0</v>
      </c>
      <c r="AO116" s="187">
        <v>0</v>
      </c>
      <c r="AP116" s="187">
        <v>0</v>
      </c>
      <c r="AQ116" s="187">
        <v>0</v>
      </c>
      <c r="AR116" s="187">
        <v>0</v>
      </c>
      <c r="AS116" s="187">
        <v>0</v>
      </c>
      <c r="AT116" s="187">
        <v>0</v>
      </c>
      <c r="AU116" s="187" t="s">
        <v>52</v>
      </c>
      <c r="AV116" s="187" t="s">
        <v>391</v>
      </c>
      <c r="AW116" s="187" t="s">
        <v>392</v>
      </c>
      <c r="AX116" s="187" t="s">
        <v>393</v>
      </c>
      <c r="AY116" s="187">
        <v>77079</v>
      </c>
      <c r="AZ116" s="188">
        <v>48200000000</v>
      </c>
      <c r="BA116" s="187" t="s">
        <v>394</v>
      </c>
      <c r="BB116" s="187" t="s">
        <v>395</v>
      </c>
      <c r="BC116" s="187">
        <v>161590</v>
      </c>
      <c r="BD116" s="187">
        <v>2990</v>
      </c>
      <c r="BE116" s="187" t="s">
        <v>396</v>
      </c>
      <c r="BF116" s="187" t="s">
        <v>396</v>
      </c>
      <c r="BG116" s="187" t="s">
        <v>396</v>
      </c>
    </row>
    <row r="117" spans="1:59">
      <c r="A117" s="187">
        <v>321276</v>
      </c>
      <c r="B117" s="187">
        <v>17604306</v>
      </c>
      <c r="C117" s="187">
        <v>2020</v>
      </c>
      <c r="D117" s="187" t="s">
        <v>380</v>
      </c>
      <c r="E117" s="187">
        <v>15</v>
      </c>
      <c r="F117" s="187" t="s">
        <v>426</v>
      </c>
      <c r="G117" s="187" t="s">
        <v>382</v>
      </c>
      <c r="H117" s="187" t="s">
        <v>383</v>
      </c>
      <c r="I117" s="187" t="s">
        <v>384</v>
      </c>
      <c r="J117" s="187">
        <v>29.75807</v>
      </c>
      <c r="K117" s="187">
        <v>-95.606099999999998</v>
      </c>
      <c r="L117" s="187" t="s">
        <v>385</v>
      </c>
      <c r="M117" s="187" t="s">
        <v>386</v>
      </c>
      <c r="N117" s="187" t="s">
        <v>418</v>
      </c>
      <c r="O117" s="187" t="s">
        <v>388</v>
      </c>
      <c r="P117" s="187" t="s">
        <v>389</v>
      </c>
      <c r="Q117" s="187" t="s">
        <v>103</v>
      </c>
      <c r="R117" s="187" t="s">
        <v>444</v>
      </c>
      <c r="S117" s="187">
        <v>0</v>
      </c>
      <c r="T117" s="187">
        <v>0</v>
      </c>
      <c r="U117" s="187">
        <v>0</v>
      </c>
      <c r="V117" s="187">
        <v>0</v>
      </c>
      <c r="W117" s="187">
        <v>0</v>
      </c>
      <c r="X117" s="187">
        <v>2</v>
      </c>
      <c r="Y117" s="187">
        <v>0</v>
      </c>
      <c r="Z117" s="187">
        <v>0</v>
      </c>
      <c r="AA117" s="187">
        <v>0</v>
      </c>
      <c r="AB117" s="187">
        <v>0</v>
      </c>
      <c r="AC117" s="187">
        <v>0</v>
      </c>
      <c r="AD117" s="187">
        <v>2</v>
      </c>
      <c r="AE117" s="187">
        <v>0</v>
      </c>
      <c r="AF117" s="187">
        <v>0</v>
      </c>
      <c r="AG117" s="187">
        <v>0</v>
      </c>
      <c r="AH117" s="187">
        <v>0</v>
      </c>
      <c r="AI117" s="187">
        <v>0</v>
      </c>
      <c r="AJ117" s="187">
        <v>0</v>
      </c>
      <c r="AK117" s="187">
        <v>0</v>
      </c>
      <c r="AL117" s="187">
        <v>0</v>
      </c>
      <c r="AM117" s="187">
        <v>0</v>
      </c>
      <c r="AN117" s="187">
        <v>0</v>
      </c>
      <c r="AO117" s="187">
        <v>0</v>
      </c>
      <c r="AP117" s="187">
        <v>0</v>
      </c>
      <c r="AQ117" s="187">
        <v>0</v>
      </c>
      <c r="AR117" s="187">
        <v>0</v>
      </c>
      <c r="AS117" s="187">
        <v>0</v>
      </c>
      <c r="AT117" s="187">
        <v>0</v>
      </c>
      <c r="AU117" s="187" t="s">
        <v>52</v>
      </c>
      <c r="AV117" s="187" t="s">
        <v>391</v>
      </c>
      <c r="AW117" s="187" t="s">
        <v>392</v>
      </c>
      <c r="AX117" s="187" t="s">
        <v>393</v>
      </c>
      <c r="AY117" s="187">
        <v>77077</v>
      </c>
      <c r="AZ117" s="188">
        <v>48200000000</v>
      </c>
      <c r="BA117" s="187" t="s">
        <v>394</v>
      </c>
      <c r="BB117" s="187" t="s">
        <v>395</v>
      </c>
      <c r="BC117" s="187">
        <v>161590</v>
      </c>
      <c r="BD117" s="187">
        <v>2990</v>
      </c>
      <c r="BE117" s="187" t="s">
        <v>396</v>
      </c>
      <c r="BF117" s="187" t="s">
        <v>396</v>
      </c>
      <c r="BG117" s="187" t="s">
        <v>396</v>
      </c>
    </row>
    <row r="118" spans="1:59">
      <c r="A118" s="187">
        <v>323687</v>
      </c>
      <c r="B118" s="187">
        <v>17615183</v>
      </c>
      <c r="C118" s="187">
        <v>2020</v>
      </c>
      <c r="D118" s="187" t="s">
        <v>380</v>
      </c>
      <c r="E118" s="187">
        <v>15</v>
      </c>
      <c r="F118" s="187" t="s">
        <v>397</v>
      </c>
      <c r="G118" s="187" t="s">
        <v>382</v>
      </c>
      <c r="H118" s="187" t="s">
        <v>404</v>
      </c>
      <c r="I118" s="187" t="s">
        <v>398</v>
      </c>
      <c r="J118" s="187">
        <v>29.770060000000001</v>
      </c>
      <c r="K118" s="187">
        <v>-95.606300000000005</v>
      </c>
      <c r="L118" s="187" t="s">
        <v>385</v>
      </c>
      <c r="M118" s="187" t="s">
        <v>386</v>
      </c>
      <c r="N118" s="187" t="s">
        <v>401</v>
      </c>
      <c r="O118" s="187" t="s">
        <v>388</v>
      </c>
      <c r="P118" s="187" t="s">
        <v>389</v>
      </c>
      <c r="Q118" s="187" t="s">
        <v>106</v>
      </c>
      <c r="R118" s="187" t="s">
        <v>403</v>
      </c>
      <c r="S118" s="187">
        <v>0</v>
      </c>
      <c r="T118" s="187">
        <v>0</v>
      </c>
      <c r="U118" s="187">
        <v>0</v>
      </c>
      <c r="V118" s="187">
        <v>0</v>
      </c>
      <c r="W118" s="187">
        <v>0</v>
      </c>
      <c r="X118" s="187">
        <v>5</v>
      </c>
      <c r="Y118" s="187">
        <v>0</v>
      </c>
      <c r="Z118" s="187">
        <v>0</v>
      </c>
      <c r="AA118" s="187">
        <v>0</v>
      </c>
      <c r="AB118" s="187">
        <v>0</v>
      </c>
      <c r="AC118" s="187">
        <v>0</v>
      </c>
      <c r="AD118" s="187">
        <v>5</v>
      </c>
      <c r="AE118" s="187">
        <v>0</v>
      </c>
      <c r="AF118" s="187">
        <v>0</v>
      </c>
      <c r="AG118" s="187">
        <v>0</v>
      </c>
      <c r="AH118" s="187">
        <v>0</v>
      </c>
      <c r="AI118" s="187">
        <v>0</v>
      </c>
      <c r="AJ118" s="187">
        <v>0</v>
      </c>
      <c r="AK118" s="187">
        <v>0</v>
      </c>
      <c r="AL118" s="187">
        <v>0</v>
      </c>
      <c r="AM118" s="187">
        <v>0</v>
      </c>
      <c r="AN118" s="187">
        <v>0</v>
      </c>
      <c r="AO118" s="187">
        <v>0</v>
      </c>
      <c r="AP118" s="187">
        <v>0</v>
      </c>
      <c r="AQ118" s="187">
        <v>0</v>
      </c>
      <c r="AR118" s="187">
        <v>0</v>
      </c>
      <c r="AS118" s="187">
        <v>0</v>
      </c>
      <c r="AT118" s="187">
        <v>0</v>
      </c>
      <c r="AU118" s="187" t="s">
        <v>52</v>
      </c>
      <c r="AV118" s="187" t="s">
        <v>391</v>
      </c>
      <c r="AW118" s="187" t="s">
        <v>392</v>
      </c>
      <c r="AX118" s="187" t="s">
        <v>393</v>
      </c>
      <c r="AY118" s="187">
        <v>77079</v>
      </c>
      <c r="AZ118" s="188">
        <v>48200000000</v>
      </c>
      <c r="BA118" s="187" t="s">
        <v>394</v>
      </c>
      <c r="BB118" s="187" t="s">
        <v>395</v>
      </c>
      <c r="BC118" s="187">
        <v>162030</v>
      </c>
      <c r="BD118" s="187">
        <v>2990</v>
      </c>
      <c r="BE118" s="187" t="s">
        <v>396</v>
      </c>
      <c r="BF118" s="187" t="s">
        <v>396</v>
      </c>
      <c r="BG118" s="187" t="s">
        <v>396</v>
      </c>
    </row>
    <row r="119" spans="1:59">
      <c r="A119" s="187">
        <v>324500</v>
      </c>
      <c r="B119" s="187">
        <v>17618298</v>
      </c>
      <c r="C119" s="187">
        <v>2020</v>
      </c>
      <c r="D119" s="187" t="s">
        <v>380</v>
      </c>
      <c r="E119" s="187">
        <v>14</v>
      </c>
      <c r="F119" s="187" t="s">
        <v>426</v>
      </c>
      <c r="G119" s="187" t="s">
        <v>382</v>
      </c>
      <c r="H119" s="187" t="s">
        <v>404</v>
      </c>
      <c r="I119" s="187" t="s">
        <v>398</v>
      </c>
      <c r="J119" s="187">
        <v>29.76952</v>
      </c>
      <c r="K119" s="187">
        <v>-95.606300000000005</v>
      </c>
      <c r="L119" s="187" t="s">
        <v>405</v>
      </c>
      <c r="M119" s="187" t="s">
        <v>454</v>
      </c>
      <c r="N119" s="187" t="s">
        <v>412</v>
      </c>
      <c r="O119" s="187" t="s">
        <v>388</v>
      </c>
      <c r="P119" s="187" t="s">
        <v>389</v>
      </c>
      <c r="Q119" s="187" t="s">
        <v>102</v>
      </c>
      <c r="R119" s="187" t="s">
        <v>444</v>
      </c>
      <c r="S119" s="187">
        <v>0</v>
      </c>
      <c r="T119" s="187">
        <v>0</v>
      </c>
      <c r="U119" s="187">
        <v>0</v>
      </c>
      <c r="V119" s="187">
        <v>0</v>
      </c>
      <c r="W119" s="187">
        <v>0</v>
      </c>
      <c r="X119" s="187">
        <v>2</v>
      </c>
      <c r="Y119" s="187">
        <v>0</v>
      </c>
      <c r="Z119" s="187">
        <v>0</v>
      </c>
      <c r="AA119" s="187">
        <v>0</v>
      </c>
      <c r="AB119" s="187">
        <v>0</v>
      </c>
      <c r="AC119" s="187">
        <v>0</v>
      </c>
      <c r="AD119" s="187">
        <v>2</v>
      </c>
      <c r="AE119" s="187">
        <v>0</v>
      </c>
      <c r="AF119" s="187">
        <v>0</v>
      </c>
      <c r="AG119" s="187">
        <v>0</v>
      </c>
      <c r="AH119" s="187">
        <v>0</v>
      </c>
      <c r="AI119" s="187">
        <v>0</v>
      </c>
      <c r="AJ119" s="187">
        <v>0</v>
      </c>
      <c r="AK119" s="187">
        <v>0</v>
      </c>
      <c r="AL119" s="187">
        <v>0</v>
      </c>
      <c r="AM119" s="187">
        <v>0</v>
      </c>
      <c r="AN119" s="187">
        <v>0</v>
      </c>
      <c r="AO119" s="187">
        <v>0</v>
      </c>
      <c r="AP119" s="187">
        <v>0</v>
      </c>
      <c r="AQ119" s="187">
        <v>0</v>
      </c>
      <c r="AR119" s="187">
        <v>0</v>
      </c>
      <c r="AS119" s="187">
        <v>0</v>
      </c>
      <c r="AT119" s="187">
        <v>0</v>
      </c>
      <c r="AU119" s="187" t="s">
        <v>52</v>
      </c>
      <c r="AV119" s="187" t="s">
        <v>391</v>
      </c>
      <c r="AW119" s="187" t="s">
        <v>392</v>
      </c>
      <c r="AX119" s="187" t="s">
        <v>393</v>
      </c>
      <c r="AY119" s="187">
        <v>77079</v>
      </c>
      <c r="AZ119" s="188">
        <v>48200000000</v>
      </c>
      <c r="BA119" s="187" t="s">
        <v>394</v>
      </c>
      <c r="BB119" s="187" t="s">
        <v>395</v>
      </c>
      <c r="BC119" s="187">
        <v>162030</v>
      </c>
      <c r="BD119" s="187">
        <v>2990</v>
      </c>
      <c r="BE119" s="187" t="s">
        <v>396</v>
      </c>
      <c r="BF119" s="187" t="s">
        <v>396</v>
      </c>
      <c r="BG119" s="187" t="s">
        <v>396</v>
      </c>
    </row>
    <row r="120" spans="1:59">
      <c r="A120" s="187">
        <v>325845</v>
      </c>
      <c r="B120" s="187">
        <v>17624623</v>
      </c>
      <c r="C120" s="187">
        <v>2020</v>
      </c>
      <c r="D120" s="187" t="s">
        <v>380</v>
      </c>
      <c r="E120" s="187">
        <v>12</v>
      </c>
      <c r="F120" s="187" t="s">
        <v>397</v>
      </c>
      <c r="G120" s="187" t="s">
        <v>382</v>
      </c>
      <c r="H120" s="187" t="s">
        <v>404</v>
      </c>
      <c r="I120" s="187" t="s">
        <v>398</v>
      </c>
      <c r="J120" s="187">
        <v>29.76736</v>
      </c>
      <c r="K120" s="187">
        <v>-95.606300000000005</v>
      </c>
      <c r="L120" s="187" t="s">
        <v>385</v>
      </c>
      <c r="M120" s="187" t="s">
        <v>386</v>
      </c>
      <c r="N120" s="187" t="s">
        <v>401</v>
      </c>
      <c r="O120" s="187" t="s">
        <v>388</v>
      </c>
      <c r="P120" s="187" t="s">
        <v>389</v>
      </c>
      <c r="Q120" s="187" t="s">
        <v>106</v>
      </c>
      <c r="R120" s="187" t="s">
        <v>455</v>
      </c>
      <c r="S120" s="187">
        <v>0</v>
      </c>
      <c r="T120" s="187">
        <v>0</v>
      </c>
      <c r="U120" s="187">
        <v>0</v>
      </c>
      <c r="V120" s="187">
        <v>0</v>
      </c>
      <c r="W120" s="187">
        <v>0</v>
      </c>
      <c r="X120" s="187">
        <v>6</v>
      </c>
      <c r="Y120" s="187">
        <v>0</v>
      </c>
      <c r="Z120" s="187">
        <v>0</v>
      </c>
      <c r="AA120" s="187">
        <v>0</v>
      </c>
      <c r="AB120" s="187">
        <v>0</v>
      </c>
      <c r="AC120" s="187">
        <v>0</v>
      </c>
      <c r="AD120" s="187">
        <v>6</v>
      </c>
      <c r="AE120" s="187">
        <v>0</v>
      </c>
      <c r="AF120" s="187">
        <v>0</v>
      </c>
      <c r="AG120" s="187">
        <v>0</v>
      </c>
      <c r="AH120" s="187">
        <v>0</v>
      </c>
      <c r="AI120" s="187">
        <v>0</v>
      </c>
      <c r="AJ120" s="187">
        <v>0</v>
      </c>
      <c r="AK120" s="187">
        <v>0</v>
      </c>
      <c r="AL120" s="187">
        <v>0</v>
      </c>
      <c r="AM120" s="187">
        <v>0</v>
      </c>
      <c r="AN120" s="187">
        <v>0</v>
      </c>
      <c r="AO120" s="187">
        <v>0</v>
      </c>
      <c r="AP120" s="187">
        <v>0</v>
      </c>
      <c r="AQ120" s="187">
        <v>0</v>
      </c>
      <c r="AR120" s="187">
        <v>0</v>
      </c>
      <c r="AS120" s="187">
        <v>0</v>
      </c>
      <c r="AT120" s="187">
        <v>0</v>
      </c>
      <c r="AU120" s="187" t="s">
        <v>52</v>
      </c>
      <c r="AV120" s="187" t="s">
        <v>391</v>
      </c>
      <c r="AW120" s="187" t="s">
        <v>392</v>
      </c>
      <c r="AX120" s="187" t="s">
        <v>393</v>
      </c>
      <c r="AY120" s="187">
        <v>77079</v>
      </c>
      <c r="AZ120" s="188">
        <v>48200000000</v>
      </c>
      <c r="BA120" s="187" t="s">
        <v>394</v>
      </c>
      <c r="BB120" s="187" t="s">
        <v>395</v>
      </c>
      <c r="BC120" s="187">
        <v>161810</v>
      </c>
      <c r="BD120" s="187">
        <v>2990</v>
      </c>
      <c r="BE120" s="187" t="s">
        <v>396</v>
      </c>
      <c r="BF120" s="187" t="s">
        <v>396</v>
      </c>
      <c r="BG120" s="187" t="s">
        <v>396</v>
      </c>
    </row>
    <row r="121" spans="1:59">
      <c r="A121" s="187">
        <v>326225</v>
      </c>
      <c r="B121" s="187">
        <v>17626069</v>
      </c>
      <c r="C121" s="187">
        <v>2020</v>
      </c>
      <c r="D121" s="189">
        <v>43897</v>
      </c>
      <c r="E121" s="187">
        <v>23</v>
      </c>
      <c r="F121" s="187" t="s">
        <v>426</v>
      </c>
      <c r="G121" s="187" t="s">
        <v>382</v>
      </c>
      <c r="H121" s="187" t="s">
        <v>404</v>
      </c>
      <c r="I121" s="187" t="s">
        <v>398</v>
      </c>
      <c r="J121" s="187">
        <v>29.770060000000001</v>
      </c>
      <c r="K121" s="187">
        <v>-95.606300000000005</v>
      </c>
      <c r="L121" s="187" t="s">
        <v>385</v>
      </c>
      <c r="M121" s="187" t="s">
        <v>400</v>
      </c>
      <c r="N121" s="187" t="s">
        <v>401</v>
      </c>
      <c r="O121" s="187" t="s">
        <v>388</v>
      </c>
      <c r="P121" s="187" t="s">
        <v>342</v>
      </c>
      <c r="Q121" s="187" t="s">
        <v>103</v>
      </c>
      <c r="R121" s="187" t="s">
        <v>444</v>
      </c>
      <c r="S121" s="187">
        <v>0</v>
      </c>
      <c r="T121" s="187">
        <v>0</v>
      </c>
      <c r="U121" s="187">
        <v>0</v>
      </c>
      <c r="V121" s="187">
        <v>1</v>
      </c>
      <c r="W121" s="187">
        <v>1</v>
      </c>
      <c r="X121" s="187">
        <v>1</v>
      </c>
      <c r="Y121" s="187">
        <v>0</v>
      </c>
      <c r="Z121" s="187">
        <v>0</v>
      </c>
      <c r="AA121" s="187">
        <v>0</v>
      </c>
      <c r="AB121" s="187">
        <v>0</v>
      </c>
      <c r="AC121" s="187">
        <v>1</v>
      </c>
      <c r="AD121" s="187">
        <v>1</v>
      </c>
      <c r="AE121" s="187">
        <v>1</v>
      </c>
      <c r="AF121" s="187">
        <v>0</v>
      </c>
      <c r="AG121" s="187">
        <v>0</v>
      </c>
      <c r="AH121" s="187">
        <v>0</v>
      </c>
      <c r="AI121" s="187">
        <v>0</v>
      </c>
      <c r="AJ121" s="187">
        <v>0</v>
      </c>
      <c r="AK121" s="187">
        <v>0</v>
      </c>
      <c r="AL121" s="187">
        <v>0</v>
      </c>
      <c r="AM121" s="187">
        <v>0</v>
      </c>
      <c r="AN121" s="187">
        <v>0</v>
      </c>
      <c r="AO121" s="187">
        <v>0</v>
      </c>
      <c r="AP121" s="187">
        <v>0</v>
      </c>
      <c r="AQ121" s="187">
        <v>0</v>
      </c>
      <c r="AR121" s="187">
        <v>0</v>
      </c>
      <c r="AS121" s="187">
        <v>0</v>
      </c>
      <c r="AT121" s="187">
        <v>0</v>
      </c>
      <c r="AU121" s="187" t="s">
        <v>52</v>
      </c>
      <c r="AV121" s="187" t="s">
        <v>391</v>
      </c>
      <c r="AW121" s="187" t="s">
        <v>392</v>
      </c>
      <c r="AX121" s="187" t="s">
        <v>393</v>
      </c>
      <c r="AY121" s="187">
        <v>77079</v>
      </c>
      <c r="AZ121" s="188">
        <v>48200000000</v>
      </c>
      <c r="BA121" s="187" t="s">
        <v>394</v>
      </c>
      <c r="BB121" s="187" t="s">
        <v>395</v>
      </c>
      <c r="BC121" s="187">
        <v>162030</v>
      </c>
      <c r="BD121" s="187">
        <v>2990</v>
      </c>
      <c r="BE121" s="187" t="s">
        <v>396</v>
      </c>
      <c r="BF121" s="187" t="s">
        <v>396</v>
      </c>
      <c r="BG121" s="187" t="s">
        <v>396</v>
      </c>
    </row>
    <row r="122" spans="1:59">
      <c r="A122" s="187">
        <v>334195</v>
      </c>
      <c r="B122" s="187">
        <v>17660083</v>
      </c>
      <c r="C122" s="187">
        <v>2020</v>
      </c>
      <c r="D122" s="189">
        <v>43925</v>
      </c>
      <c r="E122" s="187">
        <v>15</v>
      </c>
      <c r="F122" s="187" t="s">
        <v>426</v>
      </c>
      <c r="G122" s="187" t="s">
        <v>382</v>
      </c>
      <c r="H122" s="187" t="s">
        <v>408</v>
      </c>
      <c r="I122" s="187" t="s">
        <v>415</v>
      </c>
      <c r="J122" s="187">
        <v>29.770060000000001</v>
      </c>
      <c r="K122" s="187">
        <v>-95.606300000000005</v>
      </c>
      <c r="L122" s="187" t="s">
        <v>399</v>
      </c>
      <c r="M122" s="187" t="s">
        <v>386</v>
      </c>
      <c r="N122" s="187" t="s">
        <v>456</v>
      </c>
      <c r="O122" s="187" t="s">
        <v>388</v>
      </c>
      <c r="P122" s="187" t="s">
        <v>389</v>
      </c>
      <c r="Q122" s="187" t="s">
        <v>103</v>
      </c>
      <c r="R122" s="187" t="s">
        <v>403</v>
      </c>
      <c r="S122" s="187">
        <v>0</v>
      </c>
      <c r="T122" s="187">
        <v>0</v>
      </c>
      <c r="U122" s="187">
        <v>0</v>
      </c>
      <c r="V122" s="187">
        <v>0</v>
      </c>
      <c r="W122" s="187">
        <v>0</v>
      </c>
      <c r="X122" s="187">
        <v>1</v>
      </c>
      <c r="Y122" s="187">
        <v>1</v>
      </c>
      <c r="Z122" s="187">
        <v>0</v>
      </c>
      <c r="AA122" s="187">
        <v>0</v>
      </c>
      <c r="AB122" s="187">
        <v>0</v>
      </c>
      <c r="AC122" s="187">
        <v>0</v>
      </c>
      <c r="AD122" s="187">
        <v>1</v>
      </c>
      <c r="AE122" s="187">
        <v>0</v>
      </c>
      <c r="AF122" s="187">
        <v>1</v>
      </c>
      <c r="AG122" s="187">
        <v>0</v>
      </c>
      <c r="AH122" s="187">
        <v>0</v>
      </c>
      <c r="AI122" s="187">
        <v>0</v>
      </c>
      <c r="AJ122" s="187">
        <v>0</v>
      </c>
      <c r="AK122" s="187">
        <v>0</v>
      </c>
      <c r="AL122" s="187">
        <v>0</v>
      </c>
      <c r="AM122" s="187">
        <v>0</v>
      </c>
      <c r="AN122" s="187">
        <v>0</v>
      </c>
      <c r="AO122" s="187">
        <v>0</v>
      </c>
      <c r="AP122" s="187">
        <v>0</v>
      </c>
      <c r="AQ122" s="187">
        <v>0</v>
      </c>
      <c r="AR122" s="187">
        <v>0</v>
      </c>
      <c r="AS122" s="187">
        <v>0</v>
      </c>
      <c r="AT122" s="187">
        <v>0</v>
      </c>
      <c r="AU122" s="187" t="s">
        <v>52</v>
      </c>
      <c r="AV122" s="187" t="s">
        <v>391</v>
      </c>
      <c r="AW122" s="187" t="s">
        <v>392</v>
      </c>
      <c r="AX122" s="187" t="s">
        <v>393</v>
      </c>
      <c r="AY122" s="187">
        <v>77079</v>
      </c>
      <c r="AZ122" s="188">
        <v>48200000000</v>
      </c>
      <c r="BA122" s="187" t="s">
        <v>394</v>
      </c>
      <c r="BB122" s="187" t="s">
        <v>395</v>
      </c>
      <c r="BC122" s="187">
        <v>162030</v>
      </c>
      <c r="BD122" s="187">
        <v>2990</v>
      </c>
      <c r="BE122" s="187" t="s">
        <v>396</v>
      </c>
      <c r="BF122" s="187" t="s">
        <v>396</v>
      </c>
      <c r="BG122" s="187" t="s">
        <v>396</v>
      </c>
    </row>
    <row r="123" spans="1:59">
      <c r="A123" s="187">
        <v>335163</v>
      </c>
      <c r="B123" s="187">
        <v>17664365</v>
      </c>
      <c r="C123" s="187">
        <v>2020</v>
      </c>
      <c r="D123" s="187" t="s">
        <v>380</v>
      </c>
      <c r="E123" s="187">
        <v>18</v>
      </c>
      <c r="F123" s="187" t="s">
        <v>414</v>
      </c>
      <c r="G123" s="187" t="s">
        <v>382</v>
      </c>
      <c r="H123" s="187" t="s">
        <v>383</v>
      </c>
      <c r="I123" s="187" t="s">
        <v>409</v>
      </c>
      <c r="J123" s="187">
        <v>29.753969999999999</v>
      </c>
      <c r="K123" s="187">
        <v>-95.606200000000001</v>
      </c>
      <c r="L123" s="187" t="s">
        <v>385</v>
      </c>
      <c r="M123" s="187" t="s">
        <v>439</v>
      </c>
      <c r="N123" s="187" t="s">
        <v>425</v>
      </c>
      <c r="O123" s="187" t="s">
        <v>388</v>
      </c>
      <c r="P123" s="187" t="s">
        <v>389</v>
      </c>
      <c r="Q123" s="187" t="s">
        <v>106</v>
      </c>
      <c r="R123" s="187" t="s">
        <v>403</v>
      </c>
      <c r="S123" s="187">
        <v>0</v>
      </c>
      <c r="T123" s="187">
        <v>0</v>
      </c>
      <c r="U123" s="187">
        <v>0</v>
      </c>
      <c r="V123" s="187">
        <v>0</v>
      </c>
      <c r="W123" s="187">
        <v>0</v>
      </c>
      <c r="X123" s="187">
        <v>1</v>
      </c>
      <c r="Y123" s="187">
        <v>1</v>
      </c>
      <c r="Z123" s="187">
        <v>0</v>
      </c>
      <c r="AA123" s="187">
        <v>0</v>
      </c>
      <c r="AB123" s="187">
        <v>0</v>
      </c>
      <c r="AC123" s="187">
        <v>0</v>
      </c>
      <c r="AD123" s="187">
        <v>1</v>
      </c>
      <c r="AE123" s="187">
        <v>0</v>
      </c>
      <c r="AF123" s="187">
        <v>1</v>
      </c>
      <c r="AG123" s="187">
        <v>0</v>
      </c>
      <c r="AH123" s="187">
        <v>0</v>
      </c>
      <c r="AI123" s="187">
        <v>0</v>
      </c>
      <c r="AJ123" s="187">
        <v>0</v>
      </c>
      <c r="AK123" s="187">
        <v>0</v>
      </c>
      <c r="AL123" s="187">
        <v>0</v>
      </c>
      <c r="AM123" s="187">
        <v>0</v>
      </c>
      <c r="AN123" s="187">
        <v>0</v>
      </c>
      <c r="AO123" s="187">
        <v>0</v>
      </c>
      <c r="AP123" s="187">
        <v>0</v>
      </c>
      <c r="AQ123" s="187">
        <v>0</v>
      </c>
      <c r="AR123" s="187">
        <v>0</v>
      </c>
      <c r="AS123" s="187">
        <v>0</v>
      </c>
      <c r="AT123" s="187">
        <v>0</v>
      </c>
      <c r="AU123" s="187" t="s">
        <v>52</v>
      </c>
      <c r="AV123" s="187" t="s">
        <v>391</v>
      </c>
      <c r="AW123" s="187" t="s">
        <v>392</v>
      </c>
      <c r="AX123" s="187" t="s">
        <v>393</v>
      </c>
      <c r="AY123" s="187">
        <v>77077</v>
      </c>
      <c r="AZ123" s="188">
        <v>48200000000</v>
      </c>
      <c r="BA123" s="187" t="s">
        <v>394</v>
      </c>
      <c r="BB123" s="187" t="s">
        <v>395</v>
      </c>
      <c r="BC123" s="187">
        <v>161370</v>
      </c>
      <c r="BD123" s="187">
        <v>2990</v>
      </c>
      <c r="BE123" s="187" t="s">
        <v>396</v>
      </c>
      <c r="BF123" s="187" t="s">
        <v>396</v>
      </c>
      <c r="BG123" s="187" t="s">
        <v>396</v>
      </c>
    </row>
    <row r="124" spans="1:59">
      <c r="A124" s="187">
        <v>338978</v>
      </c>
      <c r="B124" s="187">
        <v>17680109</v>
      </c>
      <c r="C124" s="187">
        <v>2020</v>
      </c>
      <c r="D124" s="189">
        <v>43956</v>
      </c>
      <c r="E124" s="187">
        <v>15</v>
      </c>
      <c r="F124" s="187" t="s">
        <v>381</v>
      </c>
      <c r="G124" s="187" t="s">
        <v>382</v>
      </c>
      <c r="H124" s="187" t="s">
        <v>383</v>
      </c>
      <c r="I124" s="187" t="s">
        <v>384</v>
      </c>
      <c r="J124" s="187">
        <v>29.75807</v>
      </c>
      <c r="K124" s="187">
        <v>-95.606099999999998</v>
      </c>
      <c r="L124" s="187" t="s">
        <v>385</v>
      </c>
      <c r="M124" s="187" t="s">
        <v>386</v>
      </c>
      <c r="N124" s="187" t="s">
        <v>457</v>
      </c>
      <c r="O124" s="187" t="s">
        <v>458</v>
      </c>
      <c r="P124" s="187" t="s">
        <v>402</v>
      </c>
      <c r="Q124" s="187" t="s">
        <v>106</v>
      </c>
      <c r="R124" s="187" t="s">
        <v>416</v>
      </c>
      <c r="S124" s="187">
        <v>0</v>
      </c>
      <c r="T124" s="187">
        <v>0</v>
      </c>
      <c r="U124" s="187">
        <v>1</v>
      </c>
      <c r="V124" s="187">
        <v>0</v>
      </c>
      <c r="W124" s="187">
        <v>1</v>
      </c>
      <c r="X124" s="187">
        <v>1</v>
      </c>
      <c r="Y124" s="187">
        <v>0</v>
      </c>
      <c r="Z124" s="187">
        <v>0</v>
      </c>
      <c r="AA124" s="187">
        <v>0</v>
      </c>
      <c r="AB124" s="187">
        <v>0</v>
      </c>
      <c r="AC124" s="187">
        <v>0</v>
      </c>
      <c r="AD124" s="187">
        <v>1</v>
      </c>
      <c r="AE124" s="187">
        <v>0</v>
      </c>
      <c r="AF124" s="187">
        <v>0</v>
      </c>
      <c r="AG124" s="187">
        <v>0</v>
      </c>
      <c r="AH124" s="187">
        <v>0</v>
      </c>
      <c r="AI124" s="187">
        <v>0</v>
      </c>
      <c r="AJ124" s="187">
        <v>0</v>
      </c>
      <c r="AK124" s="187">
        <v>0</v>
      </c>
      <c r="AL124" s="187">
        <v>0</v>
      </c>
      <c r="AM124" s="187">
        <v>0</v>
      </c>
      <c r="AN124" s="187">
        <v>0</v>
      </c>
      <c r="AO124" s="187">
        <v>0</v>
      </c>
      <c r="AP124" s="187">
        <v>1</v>
      </c>
      <c r="AQ124" s="187">
        <v>0</v>
      </c>
      <c r="AR124" s="187">
        <v>0</v>
      </c>
      <c r="AS124" s="187">
        <v>1</v>
      </c>
      <c r="AT124" s="187">
        <v>0</v>
      </c>
      <c r="AU124" s="187" t="s">
        <v>52</v>
      </c>
      <c r="AV124" s="187" t="s">
        <v>391</v>
      </c>
      <c r="AW124" s="187" t="s">
        <v>392</v>
      </c>
      <c r="AX124" s="187" t="s">
        <v>393</v>
      </c>
      <c r="AY124" s="187">
        <v>77077</v>
      </c>
      <c r="AZ124" s="188">
        <v>48200000000</v>
      </c>
      <c r="BA124" s="187" t="s">
        <v>394</v>
      </c>
      <c r="BB124" s="187" t="s">
        <v>395</v>
      </c>
      <c r="BC124" s="187">
        <v>161590</v>
      </c>
      <c r="BD124" s="187">
        <v>2990</v>
      </c>
      <c r="BE124" s="187" t="s">
        <v>396</v>
      </c>
      <c r="BF124" s="187" t="s">
        <v>396</v>
      </c>
      <c r="BG124" s="187" t="s">
        <v>396</v>
      </c>
    </row>
    <row r="125" spans="1:59">
      <c r="A125" s="187">
        <v>339994</v>
      </c>
      <c r="B125" s="187">
        <v>17684047</v>
      </c>
      <c r="C125" s="187">
        <v>2020</v>
      </c>
      <c r="D125" s="189">
        <v>43960</v>
      </c>
      <c r="E125" s="187">
        <v>6</v>
      </c>
      <c r="F125" s="187" t="s">
        <v>426</v>
      </c>
      <c r="G125" s="187" t="s">
        <v>382</v>
      </c>
      <c r="H125" s="187" t="s">
        <v>383</v>
      </c>
      <c r="I125" s="187" t="s">
        <v>415</v>
      </c>
      <c r="J125" s="187">
        <v>29.758150000000001</v>
      </c>
      <c r="K125" s="187">
        <v>-95.606300000000005</v>
      </c>
      <c r="L125" s="187" t="s">
        <v>385</v>
      </c>
      <c r="M125" s="187" t="s">
        <v>400</v>
      </c>
      <c r="N125" s="187" t="s">
        <v>401</v>
      </c>
      <c r="O125" s="187" t="s">
        <v>441</v>
      </c>
      <c r="P125" s="187" t="s">
        <v>342</v>
      </c>
      <c r="Q125" s="187" t="s">
        <v>106</v>
      </c>
      <c r="R125" s="187" t="s">
        <v>448</v>
      </c>
      <c r="S125" s="187">
        <v>0</v>
      </c>
      <c r="T125" s="187">
        <v>0</v>
      </c>
      <c r="U125" s="187">
        <v>0</v>
      </c>
      <c r="V125" s="187">
        <v>1</v>
      </c>
      <c r="W125" s="187">
        <v>1</v>
      </c>
      <c r="X125" s="187">
        <v>0</v>
      </c>
      <c r="Y125" s="187">
        <v>0</v>
      </c>
      <c r="Z125" s="187">
        <v>0</v>
      </c>
      <c r="AA125" s="187">
        <v>0</v>
      </c>
      <c r="AB125" s="187">
        <v>0</v>
      </c>
      <c r="AC125" s="187">
        <v>1</v>
      </c>
      <c r="AD125" s="187">
        <v>0</v>
      </c>
      <c r="AE125" s="187">
        <v>1</v>
      </c>
      <c r="AF125" s="187">
        <v>0</v>
      </c>
      <c r="AG125" s="187">
        <v>0</v>
      </c>
      <c r="AH125" s="187">
        <v>0</v>
      </c>
      <c r="AI125" s="187">
        <v>0</v>
      </c>
      <c r="AJ125" s="187">
        <v>0</v>
      </c>
      <c r="AK125" s="187">
        <v>0</v>
      </c>
      <c r="AL125" s="187">
        <v>0</v>
      </c>
      <c r="AM125" s="187">
        <v>0</v>
      </c>
      <c r="AN125" s="187">
        <v>0</v>
      </c>
      <c r="AO125" s="187">
        <v>0</v>
      </c>
      <c r="AP125" s="187">
        <v>0</v>
      </c>
      <c r="AQ125" s="187">
        <v>0</v>
      </c>
      <c r="AR125" s="187">
        <v>0</v>
      </c>
      <c r="AS125" s="187">
        <v>0</v>
      </c>
      <c r="AT125" s="187">
        <v>0</v>
      </c>
      <c r="AU125" s="187" t="s">
        <v>52</v>
      </c>
      <c r="AV125" s="187" t="s">
        <v>391</v>
      </c>
      <c r="AW125" s="187" t="s">
        <v>392</v>
      </c>
      <c r="AX125" s="187" t="s">
        <v>393</v>
      </c>
      <c r="AY125" s="187">
        <v>77077</v>
      </c>
      <c r="AZ125" s="188">
        <v>48200000000</v>
      </c>
      <c r="BA125" s="187" t="s">
        <v>394</v>
      </c>
      <c r="BB125" s="187" t="s">
        <v>395</v>
      </c>
      <c r="BC125" s="187">
        <v>161590</v>
      </c>
      <c r="BD125" s="187">
        <v>2990</v>
      </c>
      <c r="BE125" s="187" t="s">
        <v>396</v>
      </c>
      <c r="BF125" s="187" t="s">
        <v>396</v>
      </c>
      <c r="BG125" s="187" t="s">
        <v>396</v>
      </c>
    </row>
    <row r="126" spans="1:59">
      <c r="A126" s="187">
        <v>343636</v>
      </c>
      <c r="B126" s="187">
        <v>17696009</v>
      </c>
      <c r="C126" s="187">
        <v>2020</v>
      </c>
      <c r="D126" s="187" t="s">
        <v>380</v>
      </c>
      <c r="E126" s="187">
        <v>20</v>
      </c>
      <c r="F126" s="187" t="s">
        <v>397</v>
      </c>
      <c r="G126" s="187" t="s">
        <v>382</v>
      </c>
      <c r="H126" s="187" t="s">
        <v>419</v>
      </c>
      <c r="I126" s="187" t="s">
        <v>409</v>
      </c>
      <c r="J126" s="187">
        <v>29.753969999999999</v>
      </c>
      <c r="K126" s="187">
        <v>-95.606200000000001</v>
      </c>
      <c r="L126" s="187" t="s">
        <v>385</v>
      </c>
      <c r="M126" s="187" t="s">
        <v>400</v>
      </c>
      <c r="N126" s="187" t="s">
        <v>401</v>
      </c>
      <c r="O126" s="187" t="s">
        <v>388</v>
      </c>
      <c r="P126" s="187" t="s">
        <v>389</v>
      </c>
      <c r="Q126" s="187" t="s">
        <v>106</v>
      </c>
      <c r="R126" s="187" t="s">
        <v>433</v>
      </c>
      <c r="S126" s="187">
        <v>0</v>
      </c>
      <c r="T126" s="187">
        <v>0</v>
      </c>
      <c r="U126" s="187">
        <v>0</v>
      </c>
      <c r="V126" s="187">
        <v>0</v>
      </c>
      <c r="W126" s="187">
        <v>0</v>
      </c>
      <c r="X126" s="187">
        <v>2</v>
      </c>
      <c r="Y126" s="187">
        <v>1</v>
      </c>
      <c r="Z126" s="187">
        <v>0</v>
      </c>
      <c r="AA126" s="187">
        <v>0</v>
      </c>
      <c r="AB126" s="187">
        <v>0</v>
      </c>
      <c r="AC126" s="187">
        <v>0</v>
      </c>
      <c r="AD126" s="187">
        <v>2</v>
      </c>
      <c r="AE126" s="187">
        <v>0</v>
      </c>
      <c r="AF126" s="187">
        <v>1</v>
      </c>
      <c r="AG126" s="187">
        <v>0</v>
      </c>
      <c r="AH126" s="187">
        <v>0</v>
      </c>
      <c r="AI126" s="187">
        <v>0</v>
      </c>
      <c r="AJ126" s="187">
        <v>0</v>
      </c>
      <c r="AK126" s="187">
        <v>0</v>
      </c>
      <c r="AL126" s="187">
        <v>0</v>
      </c>
      <c r="AM126" s="187">
        <v>0</v>
      </c>
      <c r="AN126" s="187">
        <v>0</v>
      </c>
      <c r="AO126" s="187">
        <v>0</v>
      </c>
      <c r="AP126" s="187">
        <v>0</v>
      </c>
      <c r="AQ126" s="187">
        <v>0</v>
      </c>
      <c r="AR126" s="187">
        <v>0</v>
      </c>
      <c r="AS126" s="187">
        <v>0</v>
      </c>
      <c r="AT126" s="187">
        <v>0</v>
      </c>
      <c r="AU126" s="187" t="s">
        <v>52</v>
      </c>
      <c r="AV126" s="187" t="s">
        <v>391</v>
      </c>
      <c r="AW126" s="187" t="s">
        <v>392</v>
      </c>
      <c r="AX126" s="187" t="s">
        <v>393</v>
      </c>
      <c r="AY126" s="187">
        <v>77077</v>
      </c>
      <c r="AZ126" s="188">
        <v>48200000000</v>
      </c>
      <c r="BA126" s="187" t="s">
        <v>394</v>
      </c>
      <c r="BB126" s="187" t="s">
        <v>395</v>
      </c>
      <c r="BC126" s="187">
        <v>161370</v>
      </c>
      <c r="BD126" s="187">
        <v>2990</v>
      </c>
      <c r="BE126" s="187" t="s">
        <v>396</v>
      </c>
      <c r="BF126" s="187" t="s">
        <v>396</v>
      </c>
      <c r="BG126" s="187" t="s">
        <v>396</v>
      </c>
    </row>
    <row r="127" spans="1:59">
      <c r="A127" s="187">
        <v>343643</v>
      </c>
      <c r="B127" s="187">
        <v>17696025</v>
      </c>
      <c r="C127" s="187">
        <v>2020</v>
      </c>
      <c r="D127" s="187" t="s">
        <v>380</v>
      </c>
      <c r="E127" s="187">
        <v>18</v>
      </c>
      <c r="F127" s="187" t="s">
        <v>397</v>
      </c>
      <c r="G127" s="187" t="s">
        <v>382</v>
      </c>
      <c r="H127" s="187" t="s">
        <v>383</v>
      </c>
      <c r="I127" s="187" t="s">
        <v>398</v>
      </c>
      <c r="J127" s="187">
        <v>29.760539999999999</v>
      </c>
      <c r="K127" s="187">
        <v>-95.606300000000005</v>
      </c>
      <c r="L127" s="187" t="s">
        <v>399</v>
      </c>
      <c r="M127" s="187" t="s">
        <v>386</v>
      </c>
      <c r="N127" s="187" t="s">
        <v>401</v>
      </c>
      <c r="O127" s="187" t="s">
        <v>388</v>
      </c>
      <c r="P127" s="187" t="s">
        <v>389</v>
      </c>
      <c r="Q127" s="187" t="s">
        <v>106</v>
      </c>
      <c r="R127" s="187" t="s">
        <v>403</v>
      </c>
      <c r="S127" s="187">
        <v>0</v>
      </c>
      <c r="T127" s="187">
        <v>0</v>
      </c>
      <c r="U127" s="187">
        <v>0</v>
      </c>
      <c r="V127" s="187">
        <v>0</v>
      </c>
      <c r="W127" s="187">
        <v>0</v>
      </c>
      <c r="X127" s="187">
        <v>2</v>
      </c>
      <c r="Y127" s="187">
        <v>0</v>
      </c>
      <c r="Z127" s="187">
        <v>0</v>
      </c>
      <c r="AA127" s="187">
        <v>0</v>
      </c>
      <c r="AB127" s="187">
        <v>0</v>
      </c>
      <c r="AC127" s="187">
        <v>0</v>
      </c>
      <c r="AD127" s="187">
        <v>2</v>
      </c>
      <c r="AE127" s="187">
        <v>0</v>
      </c>
      <c r="AF127" s="187">
        <v>0</v>
      </c>
      <c r="AG127" s="187">
        <v>0</v>
      </c>
      <c r="AH127" s="187">
        <v>0</v>
      </c>
      <c r="AI127" s="187">
        <v>0</v>
      </c>
      <c r="AJ127" s="187">
        <v>0</v>
      </c>
      <c r="AK127" s="187">
        <v>0</v>
      </c>
      <c r="AL127" s="187">
        <v>0</v>
      </c>
      <c r="AM127" s="187">
        <v>0</v>
      </c>
      <c r="AN127" s="187">
        <v>0</v>
      </c>
      <c r="AO127" s="187">
        <v>0</v>
      </c>
      <c r="AP127" s="187">
        <v>0</v>
      </c>
      <c r="AQ127" s="187">
        <v>0</v>
      </c>
      <c r="AR127" s="187">
        <v>0</v>
      </c>
      <c r="AS127" s="187">
        <v>0</v>
      </c>
      <c r="AT127" s="187">
        <v>0</v>
      </c>
      <c r="AU127" s="187" t="s">
        <v>52</v>
      </c>
      <c r="AV127" s="187" t="s">
        <v>391</v>
      </c>
      <c r="AW127" s="187" t="s">
        <v>392</v>
      </c>
      <c r="AX127" s="187" t="s">
        <v>393</v>
      </c>
      <c r="AY127" s="187">
        <v>77077</v>
      </c>
      <c r="AZ127" s="188">
        <v>48200000000</v>
      </c>
      <c r="BA127" s="187" t="s">
        <v>394</v>
      </c>
      <c r="BB127" s="187" t="s">
        <v>395</v>
      </c>
      <c r="BC127" s="187">
        <v>161590</v>
      </c>
      <c r="BD127" s="187">
        <v>2990</v>
      </c>
      <c r="BE127" s="187" t="s">
        <v>396</v>
      </c>
      <c r="BF127" s="187" t="s">
        <v>396</v>
      </c>
      <c r="BG127" s="187" t="s">
        <v>396</v>
      </c>
    </row>
    <row r="128" spans="1:59">
      <c r="A128" s="187">
        <v>345090</v>
      </c>
      <c r="B128" s="187">
        <v>17702822</v>
      </c>
      <c r="C128" s="187">
        <v>2020</v>
      </c>
      <c r="D128" s="187" t="s">
        <v>380</v>
      </c>
      <c r="E128" s="187">
        <v>18</v>
      </c>
      <c r="F128" s="187" t="s">
        <v>397</v>
      </c>
      <c r="G128" s="187" t="s">
        <v>382</v>
      </c>
      <c r="H128" s="187" t="s">
        <v>404</v>
      </c>
      <c r="I128" s="187" t="s">
        <v>398</v>
      </c>
      <c r="J128" s="187">
        <v>29.770040000000002</v>
      </c>
      <c r="K128" s="187">
        <v>-95.606300000000005</v>
      </c>
      <c r="L128" s="187" t="s">
        <v>385</v>
      </c>
      <c r="M128" s="187" t="s">
        <v>386</v>
      </c>
      <c r="N128" s="187" t="s">
        <v>425</v>
      </c>
      <c r="O128" s="187" t="s">
        <v>388</v>
      </c>
      <c r="P128" s="187" t="s">
        <v>389</v>
      </c>
      <c r="Q128" s="187" t="s">
        <v>102</v>
      </c>
      <c r="R128" s="187" t="s">
        <v>403</v>
      </c>
      <c r="S128" s="187">
        <v>0</v>
      </c>
      <c r="T128" s="187">
        <v>0</v>
      </c>
      <c r="U128" s="187">
        <v>0</v>
      </c>
      <c r="V128" s="187">
        <v>0</v>
      </c>
      <c r="W128" s="187">
        <v>0</v>
      </c>
      <c r="X128" s="187">
        <v>2</v>
      </c>
      <c r="Y128" s="187">
        <v>0</v>
      </c>
      <c r="Z128" s="187">
        <v>0</v>
      </c>
      <c r="AA128" s="187">
        <v>0</v>
      </c>
      <c r="AB128" s="187">
        <v>0</v>
      </c>
      <c r="AC128" s="187">
        <v>0</v>
      </c>
      <c r="AD128" s="187">
        <v>2</v>
      </c>
      <c r="AE128" s="187">
        <v>0</v>
      </c>
      <c r="AF128" s="187">
        <v>0</v>
      </c>
      <c r="AG128" s="187">
        <v>0</v>
      </c>
      <c r="AH128" s="187">
        <v>0</v>
      </c>
      <c r="AI128" s="187">
        <v>0</v>
      </c>
      <c r="AJ128" s="187">
        <v>0</v>
      </c>
      <c r="AK128" s="187">
        <v>0</v>
      </c>
      <c r="AL128" s="187">
        <v>0</v>
      </c>
      <c r="AM128" s="187">
        <v>0</v>
      </c>
      <c r="AN128" s="187">
        <v>0</v>
      </c>
      <c r="AO128" s="187">
        <v>0</v>
      </c>
      <c r="AP128" s="187">
        <v>0</v>
      </c>
      <c r="AQ128" s="187">
        <v>0</v>
      </c>
      <c r="AR128" s="187">
        <v>0</v>
      </c>
      <c r="AS128" s="187">
        <v>0</v>
      </c>
      <c r="AT128" s="187">
        <v>0</v>
      </c>
      <c r="AU128" s="187" t="s">
        <v>52</v>
      </c>
      <c r="AV128" s="187" t="s">
        <v>391</v>
      </c>
      <c r="AW128" s="187" t="s">
        <v>392</v>
      </c>
      <c r="AX128" s="187" t="s">
        <v>393</v>
      </c>
      <c r="AY128" s="187">
        <v>77079</v>
      </c>
      <c r="AZ128" s="188">
        <v>48200000000</v>
      </c>
      <c r="BA128" s="187" t="s">
        <v>394</v>
      </c>
      <c r="BB128" s="187" t="s">
        <v>395</v>
      </c>
      <c r="BC128" s="187">
        <v>162030</v>
      </c>
      <c r="BD128" s="187">
        <v>2990</v>
      </c>
      <c r="BE128" s="187" t="s">
        <v>396</v>
      </c>
      <c r="BF128" s="187" t="s">
        <v>396</v>
      </c>
      <c r="BG128" s="187" t="s">
        <v>396</v>
      </c>
    </row>
    <row r="129" spans="1:59">
      <c r="A129" s="187">
        <v>345292</v>
      </c>
      <c r="B129" s="187">
        <v>17703125</v>
      </c>
      <c r="C129" s="187">
        <v>2020</v>
      </c>
      <c r="D129" s="187" t="s">
        <v>380</v>
      </c>
      <c r="E129" s="187">
        <v>14</v>
      </c>
      <c r="F129" s="187" t="s">
        <v>426</v>
      </c>
      <c r="G129" s="187" t="s">
        <v>382</v>
      </c>
      <c r="H129" s="187" t="s">
        <v>383</v>
      </c>
      <c r="I129" s="187" t="s">
        <v>398</v>
      </c>
      <c r="J129" s="187">
        <v>29.753910000000001</v>
      </c>
      <c r="K129" s="187">
        <v>-95.606200000000001</v>
      </c>
      <c r="L129" s="187" t="s">
        <v>405</v>
      </c>
      <c r="M129" s="187" t="s">
        <v>386</v>
      </c>
      <c r="N129" s="187" t="s">
        <v>425</v>
      </c>
      <c r="O129" s="187" t="s">
        <v>388</v>
      </c>
      <c r="P129" s="187" t="s">
        <v>402</v>
      </c>
      <c r="Q129" s="187" t="s">
        <v>102</v>
      </c>
      <c r="R129" s="187" t="s">
        <v>403</v>
      </c>
      <c r="S129" s="187">
        <v>0</v>
      </c>
      <c r="T129" s="187">
        <v>0</v>
      </c>
      <c r="U129" s="187">
        <v>2</v>
      </c>
      <c r="V129" s="187">
        <v>0</v>
      </c>
      <c r="W129" s="187">
        <v>2</v>
      </c>
      <c r="X129" s="187">
        <v>0</v>
      </c>
      <c r="Y129" s="187">
        <v>1</v>
      </c>
      <c r="Z129" s="187">
        <v>0</v>
      </c>
      <c r="AA129" s="187">
        <v>0</v>
      </c>
      <c r="AB129" s="187">
        <v>2</v>
      </c>
      <c r="AC129" s="187">
        <v>0</v>
      </c>
      <c r="AD129" s="187">
        <v>0</v>
      </c>
      <c r="AE129" s="187">
        <v>2</v>
      </c>
      <c r="AF129" s="187">
        <v>1</v>
      </c>
      <c r="AG129" s="187">
        <v>0</v>
      </c>
      <c r="AH129" s="187">
        <v>0</v>
      </c>
      <c r="AI129" s="187">
        <v>0</v>
      </c>
      <c r="AJ129" s="187">
        <v>0</v>
      </c>
      <c r="AK129" s="187">
        <v>0</v>
      </c>
      <c r="AL129" s="187">
        <v>0</v>
      </c>
      <c r="AM129" s="187">
        <v>0</v>
      </c>
      <c r="AN129" s="187">
        <v>0</v>
      </c>
      <c r="AO129" s="187">
        <v>0</v>
      </c>
      <c r="AP129" s="187">
        <v>0</v>
      </c>
      <c r="AQ129" s="187">
        <v>0</v>
      </c>
      <c r="AR129" s="187">
        <v>0</v>
      </c>
      <c r="AS129" s="187">
        <v>0</v>
      </c>
      <c r="AT129" s="187">
        <v>0</v>
      </c>
      <c r="AU129" s="187" t="s">
        <v>52</v>
      </c>
      <c r="AV129" s="187" t="s">
        <v>391</v>
      </c>
      <c r="AW129" s="187" t="s">
        <v>392</v>
      </c>
      <c r="AX129" s="187" t="s">
        <v>393</v>
      </c>
      <c r="AY129" s="187">
        <v>77077</v>
      </c>
      <c r="AZ129" s="188">
        <v>48200000000</v>
      </c>
      <c r="BA129" s="187" t="s">
        <v>394</v>
      </c>
      <c r="BB129" s="187" t="s">
        <v>395</v>
      </c>
      <c r="BC129" s="187">
        <v>161370</v>
      </c>
      <c r="BD129" s="187">
        <v>2990</v>
      </c>
      <c r="BE129" s="187" t="s">
        <v>396</v>
      </c>
      <c r="BF129" s="187" t="s">
        <v>396</v>
      </c>
      <c r="BG129" s="187" t="s">
        <v>396</v>
      </c>
    </row>
    <row r="130" spans="1:59">
      <c r="A130" s="187">
        <v>346576</v>
      </c>
      <c r="B130" s="187">
        <v>17708582</v>
      </c>
      <c r="C130" s="187">
        <v>2020</v>
      </c>
      <c r="D130" s="189">
        <v>43984</v>
      </c>
      <c r="E130" s="187">
        <v>12</v>
      </c>
      <c r="F130" s="187" t="s">
        <v>381</v>
      </c>
      <c r="G130" s="187" t="s">
        <v>382</v>
      </c>
      <c r="H130" s="187" t="s">
        <v>383</v>
      </c>
      <c r="I130" s="187" t="s">
        <v>398</v>
      </c>
      <c r="J130" s="187">
        <v>29.758040000000001</v>
      </c>
      <c r="K130" s="187">
        <v>-95.606300000000005</v>
      </c>
      <c r="L130" s="187" t="s">
        <v>385</v>
      </c>
      <c r="M130" s="187" t="s">
        <v>386</v>
      </c>
      <c r="N130" s="187" t="s">
        <v>412</v>
      </c>
      <c r="O130" s="187" t="s">
        <v>388</v>
      </c>
      <c r="P130" s="187" t="s">
        <v>389</v>
      </c>
      <c r="Q130" s="187" t="s">
        <v>105</v>
      </c>
      <c r="R130" s="187" t="s">
        <v>436</v>
      </c>
      <c r="S130" s="187">
        <v>0</v>
      </c>
      <c r="T130" s="187">
        <v>0</v>
      </c>
      <c r="U130" s="187">
        <v>0</v>
      </c>
      <c r="V130" s="187">
        <v>0</v>
      </c>
      <c r="W130" s="187">
        <v>0</v>
      </c>
      <c r="X130" s="187">
        <v>3</v>
      </c>
      <c r="Y130" s="187">
        <v>0</v>
      </c>
      <c r="Z130" s="187">
        <v>0</v>
      </c>
      <c r="AA130" s="187">
        <v>0</v>
      </c>
      <c r="AB130" s="187">
        <v>0</v>
      </c>
      <c r="AC130" s="187">
        <v>0</v>
      </c>
      <c r="AD130" s="187">
        <v>3</v>
      </c>
      <c r="AE130" s="187">
        <v>0</v>
      </c>
      <c r="AF130" s="187">
        <v>0</v>
      </c>
      <c r="AG130" s="187">
        <v>0</v>
      </c>
      <c r="AH130" s="187">
        <v>0</v>
      </c>
      <c r="AI130" s="187">
        <v>0</v>
      </c>
      <c r="AJ130" s="187">
        <v>0</v>
      </c>
      <c r="AK130" s="187">
        <v>0</v>
      </c>
      <c r="AL130" s="187">
        <v>0</v>
      </c>
      <c r="AM130" s="187">
        <v>0</v>
      </c>
      <c r="AN130" s="187">
        <v>0</v>
      </c>
      <c r="AO130" s="187">
        <v>0</v>
      </c>
      <c r="AP130" s="187">
        <v>0</v>
      </c>
      <c r="AQ130" s="187">
        <v>0</v>
      </c>
      <c r="AR130" s="187">
        <v>0</v>
      </c>
      <c r="AS130" s="187">
        <v>0</v>
      </c>
      <c r="AT130" s="187">
        <v>0</v>
      </c>
      <c r="AU130" s="187" t="s">
        <v>52</v>
      </c>
      <c r="AV130" s="187" t="s">
        <v>391</v>
      </c>
      <c r="AW130" s="187" t="s">
        <v>392</v>
      </c>
      <c r="AX130" s="187" t="s">
        <v>393</v>
      </c>
      <c r="AY130" s="187">
        <v>77077</v>
      </c>
      <c r="AZ130" s="188">
        <v>48200000000</v>
      </c>
      <c r="BA130" s="187" t="s">
        <v>394</v>
      </c>
      <c r="BB130" s="187" t="s">
        <v>395</v>
      </c>
      <c r="BC130" s="187">
        <v>161590</v>
      </c>
      <c r="BD130" s="187">
        <v>2990</v>
      </c>
      <c r="BE130" s="187" t="s">
        <v>396</v>
      </c>
      <c r="BF130" s="187" t="s">
        <v>396</v>
      </c>
      <c r="BG130" s="187" t="s">
        <v>396</v>
      </c>
    </row>
    <row r="131" spans="1:59">
      <c r="A131" s="187">
        <v>348997</v>
      </c>
      <c r="B131" s="187">
        <v>17718518</v>
      </c>
      <c r="C131" s="187">
        <v>2020</v>
      </c>
      <c r="D131" s="187" t="s">
        <v>380</v>
      </c>
      <c r="E131" s="187">
        <v>16</v>
      </c>
      <c r="F131" s="187" t="s">
        <v>411</v>
      </c>
      <c r="G131" s="187" t="s">
        <v>382</v>
      </c>
      <c r="H131" s="187" t="s">
        <v>383</v>
      </c>
      <c r="I131" s="187" t="s">
        <v>398</v>
      </c>
      <c r="J131" s="187">
        <v>29.758150000000001</v>
      </c>
      <c r="K131" s="187">
        <v>-95.606300000000005</v>
      </c>
      <c r="L131" s="187" t="s">
        <v>385</v>
      </c>
      <c r="M131" s="187" t="s">
        <v>386</v>
      </c>
      <c r="N131" s="187" t="s">
        <v>401</v>
      </c>
      <c r="O131" s="187" t="s">
        <v>388</v>
      </c>
      <c r="P131" s="187" t="s">
        <v>389</v>
      </c>
      <c r="Q131" s="187" t="s">
        <v>103</v>
      </c>
      <c r="R131" s="187" t="s">
        <v>444</v>
      </c>
      <c r="S131" s="187">
        <v>0</v>
      </c>
      <c r="T131" s="187">
        <v>0</v>
      </c>
      <c r="U131" s="187">
        <v>0</v>
      </c>
      <c r="V131" s="187">
        <v>0</v>
      </c>
      <c r="W131" s="187">
        <v>0</v>
      </c>
      <c r="X131" s="187">
        <v>2</v>
      </c>
      <c r="Y131" s="187">
        <v>0</v>
      </c>
      <c r="Z131" s="187">
        <v>0</v>
      </c>
      <c r="AA131" s="187">
        <v>0</v>
      </c>
      <c r="AB131" s="187">
        <v>0</v>
      </c>
      <c r="AC131" s="187">
        <v>0</v>
      </c>
      <c r="AD131" s="187">
        <v>2</v>
      </c>
      <c r="AE131" s="187">
        <v>0</v>
      </c>
      <c r="AF131" s="187">
        <v>0</v>
      </c>
      <c r="AG131" s="187">
        <v>0</v>
      </c>
      <c r="AH131" s="187">
        <v>0</v>
      </c>
      <c r="AI131" s="187">
        <v>0</v>
      </c>
      <c r="AJ131" s="187">
        <v>0</v>
      </c>
      <c r="AK131" s="187">
        <v>0</v>
      </c>
      <c r="AL131" s="187">
        <v>0</v>
      </c>
      <c r="AM131" s="187">
        <v>0</v>
      </c>
      <c r="AN131" s="187">
        <v>0</v>
      </c>
      <c r="AO131" s="187">
        <v>0</v>
      </c>
      <c r="AP131" s="187">
        <v>0</v>
      </c>
      <c r="AQ131" s="187">
        <v>0</v>
      </c>
      <c r="AR131" s="187">
        <v>0</v>
      </c>
      <c r="AS131" s="187">
        <v>0</v>
      </c>
      <c r="AT131" s="187">
        <v>0</v>
      </c>
      <c r="AU131" s="187" t="s">
        <v>52</v>
      </c>
      <c r="AV131" s="187" t="s">
        <v>391</v>
      </c>
      <c r="AW131" s="187" t="s">
        <v>392</v>
      </c>
      <c r="AX131" s="187" t="s">
        <v>393</v>
      </c>
      <c r="AY131" s="187">
        <v>77077</v>
      </c>
      <c r="AZ131" s="188">
        <v>48200000000</v>
      </c>
      <c r="BA131" s="187" t="s">
        <v>394</v>
      </c>
      <c r="BB131" s="187" t="s">
        <v>395</v>
      </c>
      <c r="BC131" s="187">
        <v>161590</v>
      </c>
      <c r="BD131" s="187">
        <v>2990</v>
      </c>
      <c r="BE131" s="187" t="s">
        <v>396</v>
      </c>
      <c r="BF131" s="187" t="s">
        <v>396</v>
      </c>
      <c r="BG131" s="187" t="s">
        <v>396</v>
      </c>
    </row>
    <row r="132" spans="1:59">
      <c r="A132" s="187">
        <v>361332</v>
      </c>
      <c r="B132" s="187">
        <v>17770891</v>
      </c>
      <c r="C132" s="187">
        <v>2020</v>
      </c>
      <c r="D132" s="189">
        <v>44019</v>
      </c>
      <c r="E132" s="187">
        <v>10</v>
      </c>
      <c r="F132" s="187" t="s">
        <v>381</v>
      </c>
      <c r="G132" s="187" t="s">
        <v>382</v>
      </c>
      <c r="H132" s="187" t="s">
        <v>419</v>
      </c>
      <c r="I132" s="187" t="s">
        <v>384</v>
      </c>
      <c r="J132" s="187">
        <v>29.753969999999999</v>
      </c>
      <c r="K132" s="187">
        <v>-95.606099999999998</v>
      </c>
      <c r="L132" s="187" t="s">
        <v>385</v>
      </c>
      <c r="M132" s="187" t="s">
        <v>386</v>
      </c>
      <c r="N132" s="187" t="s">
        <v>425</v>
      </c>
      <c r="O132" s="187" t="s">
        <v>388</v>
      </c>
      <c r="P132" s="187" t="s">
        <v>389</v>
      </c>
      <c r="Q132" s="187" t="s">
        <v>106</v>
      </c>
      <c r="R132" s="187" t="s">
        <v>403</v>
      </c>
      <c r="S132" s="187">
        <v>0</v>
      </c>
      <c r="T132" s="187">
        <v>0</v>
      </c>
      <c r="U132" s="187">
        <v>0</v>
      </c>
      <c r="V132" s="187">
        <v>0</v>
      </c>
      <c r="W132" s="187">
        <v>0</v>
      </c>
      <c r="X132" s="187">
        <v>4</v>
      </c>
      <c r="Y132" s="187">
        <v>1</v>
      </c>
      <c r="Z132" s="187">
        <v>0</v>
      </c>
      <c r="AA132" s="187">
        <v>0</v>
      </c>
      <c r="AB132" s="187">
        <v>0</v>
      </c>
      <c r="AC132" s="187">
        <v>0</v>
      </c>
      <c r="AD132" s="187">
        <v>4</v>
      </c>
      <c r="AE132" s="187">
        <v>0</v>
      </c>
      <c r="AF132" s="187">
        <v>1</v>
      </c>
      <c r="AG132" s="187">
        <v>0</v>
      </c>
      <c r="AH132" s="187">
        <v>0</v>
      </c>
      <c r="AI132" s="187">
        <v>0</v>
      </c>
      <c r="AJ132" s="187">
        <v>0</v>
      </c>
      <c r="AK132" s="187">
        <v>0</v>
      </c>
      <c r="AL132" s="187">
        <v>0</v>
      </c>
      <c r="AM132" s="187">
        <v>0</v>
      </c>
      <c r="AN132" s="187">
        <v>0</v>
      </c>
      <c r="AO132" s="187">
        <v>0</v>
      </c>
      <c r="AP132" s="187">
        <v>0</v>
      </c>
      <c r="AQ132" s="187">
        <v>0</v>
      </c>
      <c r="AR132" s="187">
        <v>0</v>
      </c>
      <c r="AS132" s="187">
        <v>0</v>
      </c>
      <c r="AT132" s="187">
        <v>0</v>
      </c>
      <c r="AU132" s="187" t="s">
        <v>52</v>
      </c>
      <c r="AV132" s="187" t="s">
        <v>391</v>
      </c>
      <c r="AW132" s="187" t="s">
        <v>392</v>
      </c>
      <c r="AX132" s="187" t="s">
        <v>393</v>
      </c>
      <c r="AY132" s="187">
        <v>77077</v>
      </c>
      <c r="AZ132" s="188">
        <v>48200000000</v>
      </c>
      <c r="BA132" s="187" t="s">
        <v>394</v>
      </c>
      <c r="BB132" s="187" t="s">
        <v>395</v>
      </c>
      <c r="BC132" s="187">
        <v>161370</v>
      </c>
      <c r="BD132" s="187">
        <v>2990</v>
      </c>
      <c r="BE132" s="187" t="s">
        <v>396</v>
      </c>
      <c r="BF132" s="187" t="s">
        <v>396</v>
      </c>
      <c r="BG132" s="187" t="s">
        <v>396</v>
      </c>
    </row>
    <row r="133" spans="1:59">
      <c r="A133" s="187">
        <v>364070</v>
      </c>
      <c r="B133" s="187">
        <v>17781774</v>
      </c>
      <c r="C133" s="187">
        <v>2020</v>
      </c>
      <c r="D133" s="187" t="s">
        <v>380</v>
      </c>
      <c r="E133" s="187">
        <v>13</v>
      </c>
      <c r="F133" s="187" t="s">
        <v>381</v>
      </c>
      <c r="G133" s="187" t="s">
        <v>382</v>
      </c>
      <c r="H133" s="187" t="s">
        <v>383</v>
      </c>
      <c r="I133" s="187" t="s">
        <v>398</v>
      </c>
      <c r="J133" s="187">
        <v>29.75403</v>
      </c>
      <c r="K133" s="187">
        <v>-95.606200000000001</v>
      </c>
      <c r="L133" s="187" t="s">
        <v>385</v>
      </c>
      <c r="M133" s="187" t="s">
        <v>386</v>
      </c>
      <c r="N133" s="187" t="s">
        <v>401</v>
      </c>
      <c r="O133" s="187" t="s">
        <v>388</v>
      </c>
      <c r="P133" s="187" t="s">
        <v>389</v>
      </c>
      <c r="Q133" s="187" t="s">
        <v>102</v>
      </c>
      <c r="R133" s="187" t="s">
        <v>403</v>
      </c>
      <c r="S133" s="187">
        <v>0</v>
      </c>
      <c r="T133" s="187">
        <v>0</v>
      </c>
      <c r="U133" s="187">
        <v>0</v>
      </c>
      <c r="V133" s="187">
        <v>0</v>
      </c>
      <c r="W133" s="187">
        <v>0</v>
      </c>
      <c r="X133" s="187">
        <v>1</v>
      </c>
      <c r="Y133" s="187">
        <v>1</v>
      </c>
      <c r="Z133" s="187">
        <v>0</v>
      </c>
      <c r="AA133" s="187">
        <v>0</v>
      </c>
      <c r="AB133" s="187">
        <v>0</v>
      </c>
      <c r="AC133" s="187">
        <v>0</v>
      </c>
      <c r="AD133" s="187">
        <v>1</v>
      </c>
      <c r="AE133" s="187">
        <v>0</v>
      </c>
      <c r="AF133" s="187">
        <v>1</v>
      </c>
      <c r="AG133" s="187">
        <v>0</v>
      </c>
      <c r="AH133" s="187">
        <v>0</v>
      </c>
      <c r="AI133" s="187">
        <v>0</v>
      </c>
      <c r="AJ133" s="187">
        <v>0</v>
      </c>
      <c r="AK133" s="187">
        <v>0</v>
      </c>
      <c r="AL133" s="187">
        <v>0</v>
      </c>
      <c r="AM133" s="187">
        <v>0</v>
      </c>
      <c r="AN133" s="187">
        <v>0</v>
      </c>
      <c r="AO133" s="187">
        <v>0</v>
      </c>
      <c r="AP133" s="187">
        <v>0</v>
      </c>
      <c r="AQ133" s="187">
        <v>0</v>
      </c>
      <c r="AR133" s="187">
        <v>0</v>
      </c>
      <c r="AS133" s="187">
        <v>0</v>
      </c>
      <c r="AT133" s="187">
        <v>0</v>
      </c>
      <c r="AU133" s="187" t="s">
        <v>52</v>
      </c>
      <c r="AV133" s="187" t="s">
        <v>391</v>
      </c>
      <c r="AW133" s="187" t="s">
        <v>392</v>
      </c>
      <c r="AX133" s="187" t="s">
        <v>393</v>
      </c>
      <c r="AY133" s="187">
        <v>77077</v>
      </c>
      <c r="AZ133" s="188">
        <v>48200000000</v>
      </c>
      <c r="BA133" s="187" t="s">
        <v>394</v>
      </c>
      <c r="BB133" s="187" t="s">
        <v>395</v>
      </c>
      <c r="BC133" s="187">
        <v>161370</v>
      </c>
      <c r="BD133" s="187">
        <v>2990</v>
      </c>
      <c r="BE133" s="187" t="s">
        <v>396</v>
      </c>
      <c r="BF133" s="187" t="s">
        <v>396</v>
      </c>
      <c r="BG133" s="187" t="s">
        <v>396</v>
      </c>
    </row>
    <row r="134" spans="1:59">
      <c r="A134" s="187">
        <v>375331</v>
      </c>
      <c r="B134" s="187">
        <v>17827471</v>
      </c>
      <c r="C134" s="187">
        <v>2020</v>
      </c>
      <c r="D134" s="189">
        <v>44048</v>
      </c>
      <c r="E134" s="187">
        <v>3</v>
      </c>
      <c r="F134" s="187" t="s">
        <v>414</v>
      </c>
      <c r="G134" s="187" t="s">
        <v>382</v>
      </c>
      <c r="H134" s="187" t="s">
        <v>383</v>
      </c>
      <c r="I134" s="187" t="s">
        <v>459</v>
      </c>
      <c r="J134" s="187">
        <v>29.753830000000001</v>
      </c>
      <c r="K134" s="187">
        <v>-95.606200000000001</v>
      </c>
      <c r="L134" s="187" t="s">
        <v>385</v>
      </c>
      <c r="M134" s="187" t="s">
        <v>454</v>
      </c>
      <c r="N134" s="187" t="s">
        <v>418</v>
      </c>
      <c r="O134" s="187" t="s">
        <v>441</v>
      </c>
      <c r="P134" s="187" t="s">
        <v>389</v>
      </c>
      <c r="Q134" s="187" t="s">
        <v>102</v>
      </c>
      <c r="R134" s="187" t="s">
        <v>416</v>
      </c>
      <c r="S134" s="187">
        <v>0</v>
      </c>
      <c r="T134" s="187">
        <v>0</v>
      </c>
      <c r="U134" s="187">
        <v>0</v>
      </c>
      <c r="V134" s="187">
        <v>0</v>
      </c>
      <c r="W134" s="187">
        <v>0</v>
      </c>
      <c r="X134" s="187">
        <v>1</v>
      </c>
      <c r="Y134" s="187">
        <v>0</v>
      </c>
      <c r="Z134" s="187">
        <v>0</v>
      </c>
      <c r="AA134" s="187">
        <v>0</v>
      </c>
      <c r="AB134" s="187">
        <v>0</v>
      </c>
      <c r="AC134" s="187">
        <v>0</v>
      </c>
      <c r="AD134" s="187">
        <v>1</v>
      </c>
      <c r="AE134" s="187">
        <v>0</v>
      </c>
      <c r="AF134" s="187">
        <v>0</v>
      </c>
      <c r="AG134" s="187">
        <v>0</v>
      </c>
      <c r="AH134" s="187">
        <v>0</v>
      </c>
      <c r="AI134" s="187">
        <v>0</v>
      </c>
      <c r="AJ134" s="187">
        <v>0</v>
      </c>
      <c r="AK134" s="187">
        <v>0</v>
      </c>
      <c r="AL134" s="187">
        <v>0</v>
      </c>
      <c r="AM134" s="187">
        <v>0</v>
      </c>
      <c r="AN134" s="187">
        <v>0</v>
      </c>
      <c r="AO134" s="187">
        <v>0</v>
      </c>
      <c r="AP134" s="187">
        <v>0</v>
      </c>
      <c r="AQ134" s="187">
        <v>0</v>
      </c>
      <c r="AR134" s="187">
        <v>0</v>
      </c>
      <c r="AS134" s="187">
        <v>0</v>
      </c>
      <c r="AT134" s="187">
        <v>0</v>
      </c>
      <c r="AU134" s="187" t="s">
        <v>52</v>
      </c>
      <c r="AV134" s="187" t="s">
        <v>391</v>
      </c>
      <c r="AW134" s="187" t="s">
        <v>392</v>
      </c>
      <c r="AX134" s="187" t="s">
        <v>393</v>
      </c>
      <c r="AY134" s="187">
        <v>77077</v>
      </c>
      <c r="AZ134" s="188">
        <v>48200000000</v>
      </c>
      <c r="BA134" s="187" t="s">
        <v>394</v>
      </c>
      <c r="BB134" s="187" t="s">
        <v>395</v>
      </c>
      <c r="BC134" s="187">
        <v>161370</v>
      </c>
      <c r="BD134" s="187">
        <v>2990</v>
      </c>
      <c r="BE134" s="187" t="s">
        <v>460</v>
      </c>
      <c r="BF134" s="187" t="s">
        <v>396</v>
      </c>
      <c r="BG134" s="187" t="s">
        <v>396</v>
      </c>
    </row>
    <row r="135" spans="1:59">
      <c r="A135" s="187">
        <v>377901</v>
      </c>
      <c r="B135" s="187">
        <v>17839157</v>
      </c>
      <c r="C135" s="187">
        <v>2020</v>
      </c>
      <c r="D135" s="187" t="s">
        <v>380</v>
      </c>
      <c r="E135" s="187">
        <v>15</v>
      </c>
      <c r="F135" s="187" t="s">
        <v>421</v>
      </c>
      <c r="G135" s="187" t="s">
        <v>382</v>
      </c>
      <c r="H135" s="187" t="s">
        <v>404</v>
      </c>
      <c r="I135" s="187" t="s">
        <v>398</v>
      </c>
      <c r="J135" s="187">
        <v>29.764620000000001</v>
      </c>
      <c r="K135" s="187">
        <v>-95.606300000000005</v>
      </c>
      <c r="L135" s="187" t="s">
        <v>385</v>
      </c>
      <c r="M135" s="187" t="s">
        <v>386</v>
      </c>
      <c r="N135" s="187" t="s">
        <v>425</v>
      </c>
      <c r="O135" s="187" t="s">
        <v>388</v>
      </c>
      <c r="P135" s="187" t="s">
        <v>402</v>
      </c>
      <c r="Q135" s="187" t="s">
        <v>103</v>
      </c>
      <c r="R135" s="187" t="s">
        <v>449</v>
      </c>
      <c r="S135" s="187">
        <v>0</v>
      </c>
      <c r="T135" s="187">
        <v>0</v>
      </c>
      <c r="U135" s="187">
        <v>2</v>
      </c>
      <c r="V135" s="187">
        <v>0</v>
      </c>
      <c r="W135" s="187">
        <v>2</v>
      </c>
      <c r="X135" s="187">
        <v>0</v>
      </c>
      <c r="Y135" s="187">
        <v>0</v>
      </c>
      <c r="Z135" s="187">
        <v>0</v>
      </c>
      <c r="AA135" s="187">
        <v>0</v>
      </c>
      <c r="AB135" s="187">
        <v>2</v>
      </c>
      <c r="AC135" s="187">
        <v>0</v>
      </c>
      <c r="AD135" s="187">
        <v>0</v>
      </c>
      <c r="AE135" s="187">
        <v>2</v>
      </c>
      <c r="AF135" s="187">
        <v>0</v>
      </c>
      <c r="AG135" s="187">
        <v>0</v>
      </c>
      <c r="AH135" s="187">
        <v>0</v>
      </c>
      <c r="AI135" s="187">
        <v>0</v>
      </c>
      <c r="AJ135" s="187">
        <v>0</v>
      </c>
      <c r="AK135" s="187">
        <v>0</v>
      </c>
      <c r="AL135" s="187">
        <v>0</v>
      </c>
      <c r="AM135" s="187">
        <v>0</v>
      </c>
      <c r="AN135" s="187">
        <v>0</v>
      </c>
      <c r="AO135" s="187">
        <v>0</v>
      </c>
      <c r="AP135" s="187">
        <v>0</v>
      </c>
      <c r="AQ135" s="187">
        <v>0</v>
      </c>
      <c r="AR135" s="187">
        <v>0</v>
      </c>
      <c r="AS135" s="187">
        <v>0</v>
      </c>
      <c r="AT135" s="187">
        <v>0</v>
      </c>
      <c r="AU135" s="187" t="s">
        <v>52</v>
      </c>
      <c r="AV135" s="187" t="s">
        <v>391</v>
      </c>
      <c r="AW135" s="187" t="s">
        <v>392</v>
      </c>
      <c r="AX135" s="187" t="s">
        <v>393</v>
      </c>
      <c r="AY135" s="187">
        <v>77079</v>
      </c>
      <c r="AZ135" s="188">
        <v>48200000000</v>
      </c>
      <c r="BA135" s="187" t="s">
        <v>394</v>
      </c>
      <c r="BB135" s="187" t="s">
        <v>395</v>
      </c>
      <c r="BC135" s="187">
        <v>161810</v>
      </c>
      <c r="BD135" s="187">
        <v>2990</v>
      </c>
      <c r="BE135" s="187" t="s">
        <v>396</v>
      </c>
      <c r="BF135" s="187" t="s">
        <v>396</v>
      </c>
      <c r="BG135" s="187" t="s">
        <v>396</v>
      </c>
    </row>
    <row r="136" spans="1:59">
      <c r="A136" s="187">
        <v>378899</v>
      </c>
      <c r="B136" s="187">
        <v>17842052</v>
      </c>
      <c r="C136" s="187">
        <v>2020</v>
      </c>
      <c r="D136" s="187" t="s">
        <v>380</v>
      </c>
      <c r="E136" s="187">
        <v>15</v>
      </c>
      <c r="F136" s="187" t="s">
        <v>429</v>
      </c>
      <c r="G136" s="187" t="s">
        <v>382</v>
      </c>
      <c r="H136" s="187" t="s">
        <v>383</v>
      </c>
      <c r="I136" s="187" t="s">
        <v>398</v>
      </c>
      <c r="J136" s="187">
        <v>29.753830000000001</v>
      </c>
      <c r="K136" s="187">
        <v>-95.606200000000001</v>
      </c>
      <c r="L136" s="187" t="s">
        <v>385</v>
      </c>
      <c r="M136" s="187" t="s">
        <v>386</v>
      </c>
      <c r="N136" s="187" t="s">
        <v>425</v>
      </c>
      <c r="O136" s="187" t="s">
        <v>388</v>
      </c>
      <c r="P136" s="187" t="s">
        <v>342</v>
      </c>
      <c r="Q136" s="187" t="s">
        <v>102</v>
      </c>
      <c r="R136" s="187" t="s">
        <v>403</v>
      </c>
      <c r="S136" s="187">
        <v>0</v>
      </c>
      <c r="T136" s="187">
        <v>0</v>
      </c>
      <c r="U136" s="187">
        <v>0</v>
      </c>
      <c r="V136" s="187">
        <v>1</v>
      </c>
      <c r="W136" s="187">
        <v>1</v>
      </c>
      <c r="X136" s="187">
        <v>5</v>
      </c>
      <c r="Y136" s="187">
        <v>0</v>
      </c>
      <c r="Z136" s="187">
        <v>0</v>
      </c>
      <c r="AA136" s="187">
        <v>0</v>
      </c>
      <c r="AB136" s="187">
        <v>0</v>
      </c>
      <c r="AC136" s="187">
        <v>1</v>
      </c>
      <c r="AD136" s="187">
        <v>5</v>
      </c>
      <c r="AE136" s="187">
        <v>1</v>
      </c>
      <c r="AF136" s="187">
        <v>0</v>
      </c>
      <c r="AG136" s="187">
        <v>0</v>
      </c>
      <c r="AH136" s="187">
        <v>0</v>
      </c>
      <c r="AI136" s="187">
        <v>0</v>
      </c>
      <c r="AJ136" s="187">
        <v>0</v>
      </c>
      <c r="AK136" s="187">
        <v>0</v>
      </c>
      <c r="AL136" s="187">
        <v>0</v>
      </c>
      <c r="AM136" s="187">
        <v>0</v>
      </c>
      <c r="AN136" s="187">
        <v>0</v>
      </c>
      <c r="AO136" s="187">
        <v>0</v>
      </c>
      <c r="AP136" s="187">
        <v>0</v>
      </c>
      <c r="AQ136" s="187">
        <v>0</v>
      </c>
      <c r="AR136" s="187">
        <v>0</v>
      </c>
      <c r="AS136" s="187">
        <v>0</v>
      </c>
      <c r="AT136" s="187">
        <v>0</v>
      </c>
      <c r="AU136" s="187" t="s">
        <v>52</v>
      </c>
      <c r="AV136" s="187" t="s">
        <v>391</v>
      </c>
      <c r="AW136" s="187" t="s">
        <v>392</v>
      </c>
      <c r="AX136" s="187" t="s">
        <v>393</v>
      </c>
      <c r="AY136" s="187">
        <v>77077</v>
      </c>
      <c r="AZ136" s="188">
        <v>48200000000</v>
      </c>
      <c r="BA136" s="187" t="s">
        <v>394</v>
      </c>
      <c r="BB136" s="187" t="s">
        <v>395</v>
      </c>
      <c r="BC136" s="187">
        <v>161370</v>
      </c>
      <c r="BD136" s="187">
        <v>2990</v>
      </c>
      <c r="BE136" s="187" t="s">
        <v>396</v>
      </c>
      <c r="BF136" s="187" t="s">
        <v>396</v>
      </c>
      <c r="BG136" s="187" t="s">
        <v>396</v>
      </c>
    </row>
    <row r="137" spans="1:59">
      <c r="A137" s="187">
        <v>379871</v>
      </c>
      <c r="B137" s="187">
        <v>17845831</v>
      </c>
      <c r="C137" s="187">
        <v>2020</v>
      </c>
      <c r="D137" s="187" t="s">
        <v>380</v>
      </c>
      <c r="E137" s="187">
        <v>20</v>
      </c>
      <c r="F137" s="187" t="s">
        <v>411</v>
      </c>
      <c r="G137" s="187" t="s">
        <v>382</v>
      </c>
      <c r="H137" s="187" t="s">
        <v>404</v>
      </c>
      <c r="I137" s="187" t="s">
        <v>415</v>
      </c>
      <c r="J137" s="187">
        <v>29.766680000000001</v>
      </c>
      <c r="K137" s="187">
        <v>-95.606300000000005</v>
      </c>
      <c r="L137" s="187" t="s">
        <v>385</v>
      </c>
      <c r="M137" s="187" t="s">
        <v>386</v>
      </c>
      <c r="N137" s="187" t="s">
        <v>412</v>
      </c>
      <c r="O137" s="187" t="s">
        <v>388</v>
      </c>
      <c r="P137" s="187" t="s">
        <v>389</v>
      </c>
      <c r="Q137" s="187" t="s">
        <v>102</v>
      </c>
      <c r="R137" s="187" t="s">
        <v>433</v>
      </c>
      <c r="S137" s="187">
        <v>0</v>
      </c>
      <c r="T137" s="187">
        <v>0</v>
      </c>
      <c r="U137" s="187">
        <v>0</v>
      </c>
      <c r="V137" s="187">
        <v>0</v>
      </c>
      <c r="W137" s="187">
        <v>0</v>
      </c>
      <c r="X137" s="187">
        <v>2</v>
      </c>
      <c r="Y137" s="187">
        <v>0</v>
      </c>
      <c r="Z137" s="187">
        <v>0</v>
      </c>
      <c r="AA137" s="187">
        <v>0</v>
      </c>
      <c r="AB137" s="187">
        <v>0</v>
      </c>
      <c r="AC137" s="187">
        <v>0</v>
      </c>
      <c r="AD137" s="187">
        <v>2</v>
      </c>
      <c r="AE137" s="187">
        <v>0</v>
      </c>
      <c r="AF137" s="187">
        <v>0</v>
      </c>
      <c r="AG137" s="187">
        <v>0</v>
      </c>
      <c r="AH137" s="187">
        <v>0</v>
      </c>
      <c r="AI137" s="187">
        <v>0</v>
      </c>
      <c r="AJ137" s="187">
        <v>0</v>
      </c>
      <c r="AK137" s="187">
        <v>0</v>
      </c>
      <c r="AL137" s="187">
        <v>0</v>
      </c>
      <c r="AM137" s="187">
        <v>0</v>
      </c>
      <c r="AN137" s="187">
        <v>0</v>
      </c>
      <c r="AO137" s="187">
        <v>0</v>
      </c>
      <c r="AP137" s="187">
        <v>0</v>
      </c>
      <c r="AQ137" s="187">
        <v>0</v>
      </c>
      <c r="AR137" s="187">
        <v>0</v>
      </c>
      <c r="AS137" s="187">
        <v>0</v>
      </c>
      <c r="AT137" s="187">
        <v>0</v>
      </c>
      <c r="AU137" s="187" t="s">
        <v>52</v>
      </c>
      <c r="AV137" s="187" t="s">
        <v>391</v>
      </c>
      <c r="AW137" s="187" t="s">
        <v>392</v>
      </c>
      <c r="AX137" s="187" t="s">
        <v>393</v>
      </c>
      <c r="AY137" s="187">
        <v>77079</v>
      </c>
      <c r="AZ137" s="188">
        <v>48200000000</v>
      </c>
      <c r="BA137" s="187" t="s">
        <v>394</v>
      </c>
      <c r="BB137" s="187" t="s">
        <v>395</v>
      </c>
      <c r="BC137" s="187">
        <v>161810</v>
      </c>
      <c r="BD137" s="187">
        <v>2990</v>
      </c>
      <c r="BE137" s="187" t="s">
        <v>396</v>
      </c>
      <c r="BF137" s="187" t="s">
        <v>396</v>
      </c>
      <c r="BG137" s="187" t="s">
        <v>396</v>
      </c>
    </row>
    <row r="138" spans="1:59">
      <c r="A138" s="187">
        <v>381802</v>
      </c>
      <c r="B138" s="187">
        <v>17854547</v>
      </c>
      <c r="C138" s="187">
        <v>2020</v>
      </c>
      <c r="D138" s="189">
        <v>44080</v>
      </c>
      <c r="E138" s="187">
        <v>20</v>
      </c>
      <c r="F138" s="187" t="s">
        <v>429</v>
      </c>
      <c r="G138" s="187" t="s">
        <v>382</v>
      </c>
      <c r="H138" s="187" t="s">
        <v>404</v>
      </c>
      <c r="I138" s="187" t="s">
        <v>409</v>
      </c>
      <c r="J138" s="187">
        <v>29.769870000000001</v>
      </c>
      <c r="K138" s="187">
        <v>-95.606300000000005</v>
      </c>
      <c r="L138" s="187" t="s">
        <v>385</v>
      </c>
      <c r="M138" s="187" t="s">
        <v>400</v>
      </c>
      <c r="N138" s="187" t="s">
        <v>425</v>
      </c>
      <c r="O138" s="187" t="s">
        <v>388</v>
      </c>
      <c r="P138" s="187" t="s">
        <v>389</v>
      </c>
      <c r="Q138" s="187" t="s">
        <v>102</v>
      </c>
      <c r="R138" s="187" t="s">
        <v>413</v>
      </c>
      <c r="S138" s="187">
        <v>0</v>
      </c>
      <c r="T138" s="187">
        <v>0</v>
      </c>
      <c r="U138" s="187">
        <v>0</v>
      </c>
      <c r="V138" s="187">
        <v>0</v>
      </c>
      <c r="W138" s="187">
        <v>0</v>
      </c>
      <c r="X138" s="187">
        <v>1</v>
      </c>
      <c r="Y138" s="187">
        <v>1</v>
      </c>
      <c r="Z138" s="187">
        <v>0</v>
      </c>
      <c r="AA138" s="187">
        <v>0</v>
      </c>
      <c r="AB138" s="187">
        <v>0</v>
      </c>
      <c r="AC138" s="187">
        <v>0</v>
      </c>
      <c r="AD138" s="187">
        <v>1</v>
      </c>
      <c r="AE138" s="187">
        <v>0</v>
      </c>
      <c r="AF138" s="187">
        <v>1</v>
      </c>
      <c r="AG138" s="187">
        <v>0</v>
      </c>
      <c r="AH138" s="187">
        <v>0</v>
      </c>
      <c r="AI138" s="187">
        <v>0</v>
      </c>
      <c r="AJ138" s="187">
        <v>0</v>
      </c>
      <c r="AK138" s="187">
        <v>0</v>
      </c>
      <c r="AL138" s="187">
        <v>0</v>
      </c>
      <c r="AM138" s="187">
        <v>0</v>
      </c>
      <c r="AN138" s="187">
        <v>0</v>
      </c>
      <c r="AO138" s="187">
        <v>0</v>
      </c>
      <c r="AP138" s="187">
        <v>0</v>
      </c>
      <c r="AQ138" s="187">
        <v>0</v>
      </c>
      <c r="AR138" s="187">
        <v>0</v>
      </c>
      <c r="AS138" s="187">
        <v>0</v>
      </c>
      <c r="AT138" s="187">
        <v>0</v>
      </c>
      <c r="AU138" s="187" t="s">
        <v>52</v>
      </c>
      <c r="AV138" s="187" t="s">
        <v>391</v>
      </c>
      <c r="AW138" s="187" t="s">
        <v>392</v>
      </c>
      <c r="AX138" s="187" t="s">
        <v>393</v>
      </c>
      <c r="AY138" s="187">
        <v>77079</v>
      </c>
      <c r="AZ138" s="188">
        <v>48200000000</v>
      </c>
      <c r="BA138" s="187" t="s">
        <v>394</v>
      </c>
      <c r="BB138" s="187" t="s">
        <v>395</v>
      </c>
      <c r="BC138" s="187">
        <v>162030</v>
      </c>
      <c r="BD138" s="187">
        <v>2990</v>
      </c>
      <c r="BE138" s="187" t="s">
        <v>396</v>
      </c>
      <c r="BF138" s="187" t="s">
        <v>396</v>
      </c>
      <c r="BG138" s="187" t="s">
        <v>396</v>
      </c>
    </row>
    <row r="139" spans="1:59">
      <c r="A139" s="187">
        <v>382039</v>
      </c>
      <c r="B139" s="187">
        <v>17855173</v>
      </c>
      <c r="C139" s="187">
        <v>2020</v>
      </c>
      <c r="D139" s="189">
        <v>44076</v>
      </c>
      <c r="E139" s="187">
        <v>16</v>
      </c>
      <c r="F139" s="187" t="s">
        <v>414</v>
      </c>
      <c r="G139" s="187" t="s">
        <v>382</v>
      </c>
      <c r="H139" s="187" t="s">
        <v>404</v>
      </c>
      <c r="I139" s="187" t="s">
        <v>415</v>
      </c>
      <c r="J139" s="187">
        <v>29.76737</v>
      </c>
      <c r="K139" s="187">
        <v>-95.606300000000005</v>
      </c>
      <c r="L139" s="187" t="s">
        <v>405</v>
      </c>
      <c r="M139" s="187" t="s">
        <v>386</v>
      </c>
      <c r="N139" s="187" t="s">
        <v>412</v>
      </c>
      <c r="O139" s="187" t="s">
        <v>388</v>
      </c>
      <c r="P139" s="187" t="s">
        <v>402</v>
      </c>
      <c r="Q139" s="187" t="s">
        <v>102</v>
      </c>
      <c r="R139" s="187" t="s">
        <v>433</v>
      </c>
      <c r="S139" s="187">
        <v>0</v>
      </c>
      <c r="T139" s="187">
        <v>0</v>
      </c>
      <c r="U139" s="187">
        <v>1</v>
      </c>
      <c r="V139" s="187">
        <v>0</v>
      </c>
      <c r="W139" s="187">
        <v>1</v>
      </c>
      <c r="X139" s="187">
        <v>4</v>
      </c>
      <c r="Y139" s="187">
        <v>0</v>
      </c>
      <c r="Z139" s="187">
        <v>0</v>
      </c>
      <c r="AA139" s="187">
        <v>0</v>
      </c>
      <c r="AB139" s="187">
        <v>1</v>
      </c>
      <c r="AC139" s="187">
        <v>0</v>
      </c>
      <c r="AD139" s="187">
        <v>4</v>
      </c>
      <c r="AE139" s="187">
        <v>1</v>
      </c>
      <c r="AF139" s="187">
        <v>0</v>
      </c>
      <c r="AG139" s="187">
        <v>0</v>
      </c>
      <c r="AH139" s="187">
        <v>0</v>
      </c>
      <c r="AI139" s="187">
        <v>0</v>
      </c>
      <c r="AJ139" s="187">
        <v>0</v>
      </c>
      <c r="AK139" s="187">
        <v>0</v>
      </c>
      <c r="AL139" s="187">
        <v>0</v>
      </c>
      <c r="AM139" s="187">
        <v>0</v>
      </c>
      <c r="AN139" s="187">
        <v>0</v>
      </c>
      <c r="AO139" s="187">
        <v>0</v>
      </c>
      <c r="AP139" s="187">
        <v>0</v>
      </c>
      <c r="AQ139" s="187">
        <v>0</v>
      </c>
      <c r="AR139" s="187">
        <v>0</v>
      </c>
      <c r="AS139" s="187">
        <v>0</v>
      </c>
      <c r="AT139" s="187">
        <v>0</v>
      </c>
      <c r="AU139" s="187" t="s">
        <v>52</v>
      </c>
      <c r="AV139" s="187" t="s">
        <v>391</v>
      </c>
      <c r="AW139" s="187" t="s">
        <v>392</v>
      </c>
      <c r="AX139" s="187" t="s">
        <v>393</v>
      </c>
      <c r="AY139" s="187">
        <v>77079</v>
      </c>
      <c r="AZ139" s="188">
        <v>48200000000</v>
      </c>
      <c r="BA139" s="187" t="s">
        <v>394</v>
      </c>
      <c r="BB139" s="187" t="s">
        <v>395</v>
      </c>
      <c r="BC139" s="187">
        <v>161810</v>
      </c>
      <c r="BD139" s="187">
        <v>2990</v>
      </c>
      <c r="BE139" s="187" t="s">
        <v>396</v>
      </c>
      <c r="BF139" s="187" t="s">
        <v>396</v>
      </c>
      <c r="BG139" s="187" t="s">
        <v>396</v>
      </c>
    </row>
    <row r="140" spans="1:59">
      <c r="A140" s="187">
        <v>384909</v>
      </c>
      <c r="B140" s="187">
        <v>17868313</v>
      </c>
      <c r="C140" s="187">
        <v>2020</v>
      </c>
      <c r="D140" s="189">
        <v>44082</v>
      </c>
      <c r="E140" s="187">
        <v>12</v>
      </c>
      <c r="F140" s="187" t="s">
        <v>381</v>
      </c>
      <c r="G140" s="187" t="s">
        <v>382</v>
      </c>
      <c r="H140" s="187" t="s">
        <v>404</v>
      </c>
      <c r="I140" s="187" t="s">
        <v>422</v>
      </c>
      <c r="J140" s="187">
        <v>29.770060000000001</v>
      </c>
      <c r="K140" s="187">
        <v>-95.606300000000005</v>
      </c>
      <c r="L140" s="187" t="s">
        <v>405</v>
      </c>
      <c r="M140" s="187" t="s">
        <v>386</v>
      </c>
      <c r="N140" s="187" t="s">
        <v>401</v>
      </c>
      <c r="O140" s="187" t="s">
        <v>388</v>
      </c>
      <c r="P140" s="187" t="s">
        <v>389</v>
      </c>
      <c r="Q140" s="187" t="s">
        <v>103</v>
      </c>
      <c r="R140" s="187" t="s">
        <v>423</v>
      </c>
      <c r="S140" s="187">
        <v>0</v>
      </c>
      <c r="T140" s="187">
        <v>0</v>
      </c>
      <c r="U140" s="187">
        <v>0</v>
      </c>
      <c r="V140" s="187">
        <v>0</v>
      </c>
      <c r="W140" s="187">
        <v>0</v>
      </c>
      <c r="X140" s="187">
        <v>1</v>
      </c>
      <c r="Y140" s="187">
        <v>1</v>
      </c>
      <c r="Z140" s="187">
        <v>0</v>
      </c>
      <c r="AA140" s="187">
        <v>0</v>
      </c>
      <c r="AB140" s="187">
        <v>0</v>
      </c>
      <c r="AC140" s="187">
        <v>0</v>
      </c>
      <c r="AD140" s="187">
        <v>1</v>
      </c>
      <c r="AE140" s="187">
        <v>0</v>
      </c>
      <c r="AF140" s="187">
        <v>1</v>
      </c>
      <c r="AG140" s="187">
        <v>0</v>
      </c>
      <c r="AH140" s="187">
        <v>0</v>
      </c>
      <c r="AI140" s="187">
        <v>0</v>
      </c>
      <c r="AJ140" s="187">
        <v>0</v>
      </c>
      <c r="AK140" s="187">
        <v>0</v>
      </c>
      <c r="AL140" s="187">
        <v>0</v>
      </c>
      <c r="AM140" s="187">
        <v>0</v>
      </c>
      <c r="AN140" s="187">
        <v>0</v>
      </c>
      <c r="AO140" s="187">
        <v>0</v>
      </c>
      <c r="AP140" s="187">
        <v>0</v>
      </c>
      <c r="AQ140" s="187">
        <v>0</v>
      </c>
      <c r="AR140" s="187">
        <v>0</v>
      </c>
      <c r="AS140" s="187">
        <v>0</v>
      </c>
      <c r="AT140" s="187">
        <v>0</v>
      </c>
      <c r="AU140" s="187" t="s">
        <v>52</v>
      </c>
      <c r="AV140" s="187" t="s">
        <v>391</v>
      </c>
      <c r="AW140" s="187" t="s">
        <v>392</v>
      </c>
      <c r="AX140" s="187" t="s">
        <v>393</v>
      </c>
      <c r="AY140" s="187">
        <v>77079</v>
      </c>
      <c r="AZ140" s="188">
        <v>48200000000</v>
      </c>
      <c r="BA140" s="187" t="s">
        <v>394</v>
      </c>
      <c r="BB140" s="187" t="s">
        <v>395</v>
      </c>
      <c r="BC140" s="187">
        <v>162030</v>
      </c>
      <c r="BD140" s="187">
        <v>2990</v>
      </c>
      <c r="BE140" s="187" t="s">
        <v>396</v>
      </c>
      <c r="BF140" s="187" t="s">
        <v>396</v>
      </c>
      <c r="BG140" s="187" t="s">
        <v>396</v>
      </c>
    </row>
    <row r="141" spans="1:59">
      <c r="A141" s="187">
        <v>385039</v>
      </c>
      <c r="B141" s="187">
        <v>17868993</v>
      </c>
      <c r="C141" s="187">
        <v>2020</v>
      </c>
      <c r="D141" s="187" t="s">
        <v>380</v>
      </c>
      <c r="E141" s="187">
        <v>8</v>
      </c>
      <c r="F141" s="187" t="s">
        <v>381</v>
      </c>
      <c r="G141" s="187" t="s">
        <v>382</v>
      </c>
      <c r="H141" s="187" t="s">
        <v>408</v>
      </c>
      <c r="I141" s="187" t="s">
        <v>422</v>
      </c>
      <c r="J141" s="187">
        <v>29.77007</v>
      </c>
      <c r="K141" s="187">
        <v>-95.606300000000005</v>
      </c>
      <c r="L141" s="187" t="s">
        <v>405</v>
      </c>
      <c r="M141" s="187" t="s">
        <v>386</v>
      </c>
      <c r="N141" s="187" t="s">
        <v>425</v>
      </c>
      <c r="O141" s="187" t="s">
        <v>388</v>
      </c>
      <c r="P141" s="187" t="s">
        <v>389</v>
      </c>
      <c r="Q141" s="187" t="s">
        <v>106</v>
      </c>
      <c r="R141" s="187" t="s">
        <v>433</v>
      </c>
      <c r="S141" s="187">
        <v>0</v>
      </c>
      <c r="T141" s="187">
        <v>0</v>
      </c>
      <c r="U141" s="187">
        <v>0</v>
      </c>
      <c r="V141" s="187">
        <v>0</v>
      </c>
      <c r="W141" s="187">
        <v>0</v>
      </c>
      <c r="X141" s="187">
        <v>16</v>
      </c>
      <c r="Y141" s="187">
        <v>0</v>
      </c>
      <c r="Z141" s="187">
        <v>0</v>
      </c>
      <c r="AA141" s="187">
        <v>0</v>
      </c>
      <c r="AB141" s="187">
        <v>0</v>
      </c>
      <c r="AC141" s="187">
        <v>0</v>
      </c>
      <c r="AD141" s="187">
        <v>16</v>
      </c>
      <c r="AE141" s="187">
        <v>0</v>
      </c>
      <c r="AF141" s="187">
        <v>0</v>
      </c>
      <c r="AG141" s="187">
        <v>0</v>
      </c>
      <c r="AH141" s="187">
        <v>0</v>
      </c>
      <c r="AI141" s="187">
        <v>0</v>
      </c>
      <c r="AJ141" s="187">
        <v>0</v>
      </c>
      <c r="AK141" s="187">
        <v>0</v>
      </c>
      <c r="AL141" s="187">
        <v>0</v>
      </c>
      <c r="AM141" s="187">
        <v>0</v>
      </c>
      <c r="AN141" s="187">
        <v>0</v>
      </c>
      <c r="AO141" s="187">
        <v>0</v>
      </c>
      <c r="AP141" s="187">
        <v>0</v>
      </c>
      <c r="AQ141" s="187">
        <v>0</v>
      </c>
      <c r="AR141" s="187">
        <v>0</v>
      </c>
      <c r="AS141" s="187">
        <v>0</v>
      </c>
      <c r="AT141" s="187">
        <v>0</v>
      </c>
      <c r="AU141" s="187" t="s">
        <v>52</v>
      </c>
      <c r="AV141" s="187" t="s">
        <v>391</v>
      </c>
      <c r="AW141" s="187" t="s">
        <v>392</v>
      </c>
      <c r="AX141" s="187" t="s">
        <v>393</v>
      </c>
      <c r="AY141" s="187">
        <v>77079</v>
      </c>
      <c r="AZ141" s="188">
        <v>48200000000</v>
      </c>
      <c r="BA141" s="187" t="s">
        <v>394</v>
      </c>
      <c r="BB141" s="187" t="s">
        <v>395</v>
      </c>
      <c r="BC141" s="187">
        <v>162030</v>
      </c>
      <c r="BD141" s="187">
        <v>2990</v>
      </c>
      <c r="BE141" s="187" t="s">
        <v>396</v>
      </c>
      <c r="BF141" s="187" t="s">
        <v>396</v>
      </c>
      <c r="BG141" s="187" t="s">
        <v>461</v>
      </c>
    </row>
    <row r="142" spans="1:59">
      <c r="A142" s="187">
        <v>386321</v>
      </c>
      <c r="B142" s="187">
        <v>17874041</v>
      </c>
      <c r="C142" s="187">
        <v>2020</v>
      </c>
      <c r="D142" s="189">
        <v>44082</v>
      </c>
      <c r="E142" s="187">
        <v>9</v>
      </c>
      <c r="F142" s="187" t="s">
        <v>381</v>
      </c>
      <c r="G142" s="187" t="s">
        <v>382</v>
      </c>
      <c r="H142" s="187" t="s">
        <v>404</v>
      </c>
      <c r="I142" s="187" t="s">
        <v>415</v>
      </c>
      <c r="J142" s="187">
        <v>29.76455</v>
      </c>
      <c r="K142" s="187">
        <v>-95.606300000000005</v>
      </c>
      <c r="L142" s="187" t="s">
        <v>399</v>
      </c>
      <c r="M142" s="187" t="s">
        <v>386</v>
      </c>
      <c r="N142" s="187" t="s">
        <v>418</v>
      </c>
      <c r="O142" s="187" t="s">
        <v>388</v>
      </c>
      <c r="P142" s="187" t="s">
        <v>389</v>
      </c>
      <c r="Q142" s="187" t="s">
        <v>102</v>
      </c>
      <c r="R142" s="187" t="s">
        <v>455</v>
      </c>
      <c r="S142" s="187">
        <v>0</v>
      </c>
      <c r="T142" s="187">
        <v>0</v>
      </c>
      <c r="U142" s="187">
        <v>0</v>
      </c>
      <c r="V142" s="187">
        <v>0</v>
      </c>
      <c r="W142" s="187">
        <v>0</v>
      </c>
      <c r="X142" s="187">
        <v>1</v>
      </c>
      <c r="Y142" s="187">
        <v>1</v>
      </c>
      <c r="Z142" s="187">
        <v>0</v>
      </c>
      <c r="AA142" s="187">
        <v>0</v>
      </c>
      <c r="AB142" s="187">
        <v>0</v>
      </c>
      <c r="AC142" s="187">
        <v>0</v>
      </c>
      <c r="AD142" s="187">
        <v>1</v>
      </c>
      <c r="AE142" s="187">
        <v>0</v>
      </c>
      <c r="AF142" s="187">
        <v>1</v>
      </c>
      <c r="AG142" s="187">
        <v>0</v>
      </c>
      <c r="AH142" s="187">
        <v>0</v>
      </c>
      <c r="AI142" s="187">
        <v>0</v>
      </c>
      <c r="AJ142" s="187">
        <v>0</v>
      </c>
      <c r="AK142" s="187">
        <v>0</v>
      </c>
      <c r="AL142" s="187">
        <v>0</v>
      </c>
      <c r="AM142" s="187">
        <v>0</v>
      </c>
      <c r="AN142" s="187">
        <v>0</v>
      </c>
      <c r="AO142" s="187">
        <v>0</v>
      </c>
      <c r="AP142" s="187">
        <v>0</v>
      </c>
      <c r="AQ142" s="187">
        <v>0</v>
      </c>
      <c r="AR142" s="187">
        <v>0</v>
      </c>
      <c r="AS142" s="187">
        <v>0</v>
      </c>
      <c r="AT142" s="187">
        <v>0</v>
      </c>
      <c r="AU142" s="187" t="s">
        <v>52</v>
      </c>
      <c r="AV142" s="187" t="s">
        <v>391</v>
      </c>
      <c r="AW142" s="187" t="s">
        <v>392</v>
      </c>
      <c r="AX142" s="187" t="s">
        <v>393</v>
      </c>
      <c r="AY142" s="187">
        <v>77079</v>
      </c>
      <c r="AZ142" s="188">
        <v>48200000000</v>
      </c>
      <c r="BA142" s="187" t="s">
        <v>394</v>
      </c>
      <c r="BB142" s="187" t="s">
        <v>395</v>
      </c>
      <c r="BC142" s="187">
        <v>161810</v>
      </c>
      <c r="BD142" s="187">
        <v>2990</v>
      </c>
      <c r="BE142" s="187" t="s">
        <v>396</v>
      </c>
      <c r="BF142" s="187" t="s">
        <v>396</v>
      </c>
      <c r="BG142" s="187" t="s">
        <v>396</v>
      </c>
    </row>
    <row r="143" spans="1:59">
      <c r="A143" s="187">
        <v>388262</v>
      </c>
      <c r="B143" s="187">
        <v>17881451</v>
      </c>
      <c r="C143" s="187">
        <v>2020</v>
      </c>
      <c r="D143" s="187" t="s">
        <v>380</v>
      </c>
      <c r="E143" s="187">
        <v>14</v>
      </c>
      <c r="F143" s="187" t="s">
        <v>426</v>
      </c>
      <c r="G143" s="187" t="s">
        <v>382</v>
      </c>
      <c r="H143" s="187" t="s">
        <v>462</v>
      </c>
      <c r="I143" s="187" t="s">
        <v>398</v>
      </c>
      <c r="J143" s="187">
        <v>29.75807</v>
      </c>
      <c r="K143" s="187">
        <v>-95.606099999999998</v>
      </c>
      <c r="L143" s="187" t="s">
        <v>405</v>
      </c>
      <c r="M143" s="187" t="s">
        <v>386</v>
      </c>
      <c r="N143" s="187" t="s">
        <v>401</v>
      </c>
      <c r="O143" s="187" t="s">
        <v>388</v>
      </c>
      <c r="P143" s="187" t="s">
        <v>342</v>
      </c>
      <c r="Q143" s="187" t="s">
        <v>103</v>
      </c>
      <c r="R143" s="187" t="s">
        <v>444</v>
      </c>
      <c r="S143" s="187">
        <v>0</v>
      </c>
      <c r="T143" s="187">
        <v>0</v>
      </c>
      <c r="U143" s="187">
        <v>0</v>
      </c>
      <c r="V143" s="187">
        <v>1</v>
      </c>
      <c r="W143" s="187">
        <v>1</v>
      </c>
      <c r="X143" s="187">
        <v>2</v>
      </c>
      <c r="Y143" s="187">
        <v>0</v>
      </c>
      <c r="Z143" s="187">
        <v>0</v>
      </c>
      <c r="AA143" s="187">
        <v>0</v>
      </c>
      <c r="AB143" s="187">
        <v>0</v>
      </c>
      <c r="AC143" s="187">
        <v>1</v>
      </c>
      <c r="AD143" s="187">
        <v>2</v>
      </c>
      <c r="AE143" s="187">
        <v>1</v>
      </c>
      <c r="AF143" s="187">
        <v>0</v>
      </c>
      <c r="AG143" s="187">
        <v>0</v>
      </c>
      <c r="AH143" s="187">
        <v>0</v>
      </c>
      <c r="AI143" s="187">
        <v>0</v>
      </c>
      <c r="AJ143" s="187">
        <v>0</v>
      </c>
      <c r="AK143" s="187">
        <v>0</v>
      </c>
      <c r="AL143" s="187">
        <v>0</v>
      </c>
      <c r="AM143" s="187">
        <v>0</v>
      </c>
      <c r="AN143" s="187">
        <v>0</v>
      </c>
      <c r="AO143" s="187">
        <v>0</v>
      </c>
      <c r="AP143" s="187">
        <v>0</v>
      </c>
      <c r="AQ143" s="187">
        <v>0</v>
      </c>
      <c r="AR143" s="187">
        <v>0</v>
      </c>
      <c r="AS143" s="187">
        <v>0</v>
      </c>
      <c r="AT143" s="187">
        <v>0</v>
      </c>
      <c r="AU143" s="187" t="s">
        <v>52</v>
      </c>
      <c r="AV143" s="187" t="s">
        <v>391</v>
      </c>
      <c r="AW143" s="187" t="s">
        <v>392</v>
      </c>
      <c r="AX143" s="187" t="s">
        <v>393</v>
      </c>
      <c r="AY143" s="187">
        <v>77077</v>
      </c>
      <c r="AZ143" s="188">
        <v>48200000000</v>
      </c>
      <c r="BA143" s="187" t="s">
        <v>394</v>
      </c>
      <c r="BB143" s="187" t="s">
        <v>395</v>
      </c>
      <c r="BC143" s="187">
        <v>161590</v>
      </c>
      <c r="BD143" s="187">
        <v>2990</v>
      </c>
      <c r="BE143" s="187" t="s">
        <v>396</v>
      </c>
      <c r="BF143" s="187" t="s">
        <v>396</v>
      </c>
      <c r="BG143" s="187" t="s">
        <v>396</v>
      </c>
    </row>
    <row r="144" spans="1:59">
      <c r="A144" s="187">
        <v>388728</v>
      </c>
      <c r="B144" s="187">
        <v>17883786</v>
      </c>
      <c r="C144" s="187">
        <v>2020</v>
      </c>
      <c r="D144" s="187" t="s">
        <v>380</v>
      </c>
      <c r="E144" s="187">
        <v>19</v>
      </c>
      <c r="F144" s="187" t="s">
        <v>397</v>
      </c>
      <c r="G144" s="187" t="s">
        <v>382</v>
      </c>
      <c r="H144" s="187" t="s">
        <v>383</v>
      </c>
      <c r="I144" s="187" t="s">
        <v>398</v>
      </c>
      <c r="J144" s="187">
        <v>29.753699999999998</v>
      </c>
      <c r="K144" s="187">
        <v>-95.606200000000001</v>
      </c>
      <c r="L144" s="187" t="s">
        <v>385</v>
      </c>
      <c r="M144" s="187" t="s">
        <v>400</v>
      </c>
      <c r="N144" s="187" t="s">
        <v>418</v>
      </c>
      <c r="O144" s="187" t="s">
        <v>388</v>
      </c>
      <c r="P144" s="187" t="s">
        <v>342</v>
      </c>
      <c r="Q144" s="187" t="s">
        <v>102</v>
      </c>
      <c r="R144" s="187" t="s">
        <v>390</v>
      </c>
      <c r="S144" s="187">
        <v>0</v>
      </c>
      <c r="T144" s="187">
        <v>0</v>
      </c>
      <c r="U144" s="187">
        <v>0</v>
      </c>
      <c r="V144" s="187">
        <v>1</v>
      </c>
      <c r="W144" s="187">
        <v>1</v>
      </c>
      <c r="X144" s="187">
        <v>2</v>
      </c>
      <c r="Y144" s="187">
        <v>0</v>
      </c>
      <c r="Z144" s="187">
        <v>0</v>
      </c>
      <c r="AA144" s="187">
        <v>0</v>
      </c>
      <c r="AB144" s="187">
        <v>0</v>
      </c>
      <c r="AC144" s="187">
        <v>1</v>
      </c>
      <c r="AD144" s="187">
        <v>2</v>
      </c>
      <c r="AE144" s="187">
        <v>1</v>
      </c>
      <c r="AF144" s="187">
        <v>0</v>
      </c>
      <c r="AG144" s="187">
        <v>0</v>
      </c>
      <c r="AH144" s="187">
        <v>0</v>
      </c>
      <c r="AI144" s="187">
        <v>0</v>
      </c>
      <c r="AJ144" s="187">
        <v>0</v>
      </c>
      <c r="AK144" s="187">
        <v>0</v>
      </c>
      <c r="AL144" s="187">
        <v>0</v>
      </c>
      <c r="AM144" s="187">
        <v>0</v>
      </c>
      <c r="AN144" s="187">
        <v>0</v>
      </c>
      <c r="AO144" s="187">
        <v>0</v>
      </c>
      <c r="AP144" s="187">
        <v>0</v>
      </c>
      <c r="AQ144" s="187">
        <v>0</v>
      </c>
      <c r="AR144" s="187">
        <v>0</v>
      </c>
      <c r="AS144" s="187">
        <v>0</v>
      </c>
      <c r="AT144" s="187">
        <v>0</v>
      </c>
      <c r="AU144" s="187" t="s">
        <v>52</v>
      </c>
      <c r="AV144" s="187" t="s">
        <v>391</v>
      </c>
      <c r="AW144" s="187" t="s">
        <v>392</v>
      </c>
      <c r="AX144" s="187" t="s">
        <v>393</v>
      </c>
      <c r="AY144" s="187">
        <v>77077</v>
      </c>
      <c r="AZ144" s="188">
        <v>48200000000</v>
      </c>
      <c r="BA144" s="187" t="s">
        <v>394</v>
      </c>
      <c r="BB144" s="187" t="s">
        <v>395</v>
      </c>
      <c r="BC144" s="187">
        <v>161370</v>
      </c>
      <c r="BD144" s="187">
        <v>2990</v>
      </c>
      <c r="BE144" s="187" t="s">
        <v>396</v>
      </c>
      <c r="BF144" s="187" t="s">
        <v>396</v>
      </c>
      <c r="BG144" s="187" t="s">
        <v>396</v>
      </c>
    </row>
    <row r="145" spans="1:59">
      <c r="A145" s="187">
        <v>393337</v>
      </c>
      <c r="B145" s="187">
        <v>17903957</v>
      </c>
      <c r="C145" s="187">
        <v>2020</v>
      </c>
      <c r="D145" s="187" t="s">
        <v>380</v>
      </c>
      <c r="E145" s="187">
        <v>14</v>
      </c>
      <c r="F145" s="187" t="s">
        <v>381</v>
      </c>
      <c r="G145" s="187" t="s">
        <v>382</v>
      </c>
      <c r="H145" s="187" t="s">
        <v>383</v>
      </c>
      <c r="I145" s="187" t="s">
        <v>409</v>
      </c>
      <c r="J145" s="187">
        <v>29.75507</v>
      </c>
      <c r="K145" s="187">
        <v>-95.606200000000001</v>
      </c>
      <c r="L145" s="187" t="s">
        <v>385</v>
      </c>
      <c r="M145" s="187" t="s">
        <v>386</v>
      </c>
      <c r="N145" s="187" t="s">
        <v>401</v>
      </c>
      <c r="O145" s="187" t="s">
        <v>388</v>
      </c>
      <c r="P145" s="187" t="s">
        <v>389</v>
      </c>
      <c r="Q145" s="187" t="s">
        <v>106</v>
      </c>
      <c r="R145" s="187" t="s">
        <v>403</v>
      </c>
      <c r="S145" s="187">
        <v>0</v>
      </c>
      <c r="T145" s="187">
        <v>0</v>
      </c>
      <c r="U145" s="187">
        <v>0</v>
      </c>
      <c r="V145" s="187">
        <v>0</v>
      </c>
      <c r="W145" s="187">
        <v>0</v>
      </c>
      <c r="X145" s="187">
        <v>3</v>
      </c>
      <c r="Y145" s="187">
        <v>0</v>
      </c>
      <c r="Z145" s="187">
        <v>0</v>
      </c>
      <c r="AA145" s="187">
        <v>0</v>
      </c>
      <c r="AB145" s="187">
        <v>0</v>
      </c>
      <c r="AC145" s="187">
        <v>0</v>
      </c>
      <c r="AD145" s="187">
        <v>3</v>
      </c>
      <c r="AE145" s="187">
        <v>0</v>
      </c>
      <c r="AF145" s="187">
        <v>0</v>
      </c>
      <c r="AG145" s="187">
        <v>0</v>
      </c>
      <c r="AH145" s="187">
        <v>0</v>
      </c>
      <c r="AI145" s="187">
        <v>0</v>
      </c>
      <c r="AJ145" s="187">
        <v>0</v>
      </c>
      <c r="AK145" s="187">
        <v>0</v>
      </c>
      <c r="AL145" s="187">
        <v>0</v>
      </c>
      <c r="AM145" s="187">
        <v>0</v>
      </c>
      <c r="AN145" s="187">
        <v>0</v>
      </c>
      <c r="AO145" s="187">
        <v>0</v>
      </c>
      <c r="AP145" s="187">
        <v>0</v>
      </c>
      <c r="AQ145" s="187">
        <v>0</v>
      </c>
      <c r="AR145" s="187">
        <v>0</v>
      </c>
      <c r="AS145" s="187">
        <v>0</v>
      </c>
      <c r="AT145" s="187">
        <v>0</v>
      </c>
      <c r="AU145" s="187" t="s">
        <v>52</v>
      </c>
      <c r="AV145" s="187" t="s">
        <v>391</v>
      </c>
      <c r="AW145" s="187" t="s">
        <v>392</v>
      </c>
      <c r="AX145" s="187" t="s">
        <v>393</v>
      </c>
      <c r="AY145" s="187">
        <v>77077</v>
      </c>
      <c r="AZ145" s="188">
        <v>48200000000</v>
      </c>
      <c r="BA145" s="187" t="s">
        <v>394</v>
      </c>
      <c r="BB145" s="187" t="s">
        <v>395</v>
      </c>
      <c r="BC145" s="187">
        <v>161370</v>
      </c>
      <c r="BD145" s="187">
        <v>2990</v>
      </c>
      <c r="BE145" s="187" t="s">
        <v>396</v>
      </c>
      <c r="BF145" s="187" t="s">
        <v>396</v>
      </c>
      <c r="BG145" s="187" t="s">
        <v>396</v>
      </c>
    </row>
    <row r="146" spans="1:59">
      <c r="A146" s="187">
        <v>393484</v>
      </c>
      <c r="B146" s="187">
        <v>17904168</v>
      </c>
      <c r="C146" s="187">
        <v>2020</v>
      </c>
      <c r="D146" s="187" t="s">
        <v>380</v>
      </c>
      <c r="E146" s="187">
        <v>21</v>
      </c>
      <c r="F146" s="187" t="s">
        <v>429</v>
      </c>
      <c r="G146" s="187" t="s">
        <v>382</v>
      </c>
      <c r="H146" s="187" t="s">
        <v>383</v>
      </c>
      <c r="I146" s="187" t="s">
        <v>415</v>
      </c>
      <c r="J146" s="187">
        <v>29.758900000000001</v>
      </c>
      <c r="K146" s="187">
        <v>-95.606099999999998</v>
      </c>
      <c r="L146" s="187" t="s">
        <v>385</v>
      </c>
      <c r="M146" s="187" t="s">
        <v>400</v>
      </c>
      <c r="N146" s="187" t="s">
        <v>425</v>
      </c>
      <c r="O146" s="187" t="s">
        <v>388</v>
      </c>
      <c r="P146" s="187" t="s">
        <v>342</v>
      </c>
      <c r="Q146" s="187" t="s">
        <v>102</v>
      </c>
      <c r="R146" s="187" t="s">
        <v>433</v>
      </c>
      <c r="S146" s="187">
        <v>0</v>
      </c>
      <c r="T146" s="187">
        <v>0</v>
      </c>
      <c r="U146" s="187">
        <v>0</v>
      </c>
      <c r="V146" s="187">
        <v>1</v>
      </c>
      <c r="W146" s="187">
        <v>1</v>
      </c>
      <c r="X146" s="187">
        <v>0</v>
      </c>
      <c r="Y146" s="187">
        <v>1</v>
      </c>
      <c r="Z146" s="187">
        <v>0</v>
      </c>
      <c r="AA146" s="187">
        <v>0</v>
      </c>
      <c r="AB146" s="187">
        <v>0</v>
      </c>
      <c r="AC146" s="187">
        <v>1</v>
      </c>
      <c r="AD146" s="187">
        <v>0</v>
      </c>
      <c r="AE146" s="187">
        <v>1</v>
      </c>
      <c r="AF146" s="187">
        <v>1</v>
      </c>
      <c r="AG146" s="187">
        <v>0</v>
      </c>
      <c r="AH146" s="187">
        <v>0</v>
      </c>
      <c r="AI146" s="187">
        <v>0</v>
      </c>
      <c r="AJ146" s="187">
        <v>0</v>
      </c>
      <c r="AK146" s="187">
        <v>0</v>
      </c>
      <c r="AL146" s="187">
        <v>0</v>
      </c>
      <c r="AM146" s="187">
        <v>0</v>
      </c>
      <c r="AN146" s="187">
        <v>0</v>
      </c>
      <c r="AO146" s="187">
        <v>0</v>
      </c>
      <c r="AP146" s="187">
        <v>0</v>
      </c>
      <c r="AQ146" s="187">
        <v>0</v>
      </c>
      <c r="AR146" s="187">
        <v>0</v>
      </c>
      <c r="AS146" s="187">
        <v>0</v>
      </c>
      <c r="AT146" s="187">
        <v>0</v>
      </c>
      <c r="AU146" s="187" t="s">
        <v>52</v>
      </c>
      <c r="AV146" s="187" t="s">
        <v>391</v>
      </c>
      <c r="AW146" s="187" t="s">
        <v>392</v>
      </c>
      <c r="AX146" s="187" t="s">
        <v>393</v>
      </c>
      <c r="AY146" s="187">
        <v>77077</v>
      </c>
      <c r="AZ146" s="188">
        <v>48200000000</v>
      </c>
      <c r="BA146" s="187" t="s">
        <v>394</v>
      </c>
      <c r="BB146" s="187" t="s">
        <v>395</v>
      </c>
      <c r="BC146" s="187">
        <v>161590</v>
      </c>
      <c r="BD146" s="187">
        <v>2990</v>
      </c>
      <c r="BE146" s="187" t="s">
        <v>396</v>
      </c>
      <c r="BF146" s="187" t="s">
        <v>396</v>
      </c>
      <c r="BG146" s="187" t="s">
        <v>396</v>
      </c>
    </row>
    <row r="147" spans="1:59">
      <c r="A147" s="187">
        <v>395271</v>
      </c>
      <c r="B147" s="187">
        <v>17912182</v>
      </c>
      <c r="C147" s="187">
        <v>2020</v>
      </c>
      <c r="D147" s="187" t="s">
        <v>380</v>
      </c>
      <c r="E147" s="187">
        <v>14</v>
      </c>
      <c r="F147" s="187" t="s">
        <v>414</v>
      </c>
      <c r="G147" s="187" t="s">
        <v>382</v>
      </c>
      <c r="H147" s="187" t="s">
        <v>383</v>
      </c>
      <c r="I147" s="187" t="s">
        <v>398</v>
      </c>
      <c r="J147" s="187">
        <v>29.760120000000001</v>
      </c>
      <c r="K147" s="187">
        <v>-95.606300000000005</v>
      </c>
      <c r="L147" s="187" t="s">
        <v>385</v>
      </c>
      <c r="M147" s="187" t="s">
        <v>386</v>
      </c>
      <c r="N147" s="187" t="s">
        <v>416</v>
      </c>
      <c r="O147" s="187" t="s">
        <v>388</v>
      </c>
      <c r="P147" s="187" t="s">
        <v>389</v>
      </c>
      <c r="Q147" s="187" t="s">
        <v>102</v>
      </c>
      <c r="R147" s="187" t="s">
        <v>416</v>
      </c>
      <c r="S147" s="187">
        <v>0</v>
      </c>
      <c r="T147" s="187">
        <v>0</v>
      </c>
      <c r="U147" s="187">
        <v>0</v>
      </c>
      <c r="V147" s="187">
        <v>0</v>
      </c>
      <c r="W147" s="187">
        <v>0</v>
      </c>
      <c r="X147" s="187">
        <v>2</v>
      </c>
      <c r="Y147" s="187">
        <v>0</v>
      </c>
      <c r="Z147" s="187">
        <v>0</v>
      </c>
      <c r="AA147" s="187">
        <v>0</v>
      </c>
      <c r="AB147" s="187">
        <v>0</v>
      </c>
      <c r="AC147" s="187">
        <v>0</v>
      </c>
      <c r="AD147" s="187">
        <v>2</v>
      </c>
      <c r="AE147" s="187">
        <v>0</v>
      </c>
      <c r="AF147" s="187">
        <v>0</v>
      </c>
      <c r="AG147" s="187">
        <v>0</v>
      </c>
      <c r="AH147" s="187">
        <v>0</v>
      </c>
      <c r="AI147" s="187">
        <v>0</v>
      </c>
      <c r="AJ147" s="187">
        <v>0</v>
      </c>
      <c r="AK147" s="187">
        <v>0</v>
      </c>
      <c r="AL147" s="187">
        <v>0</v>
      </c>
      <c r="AM147" s="187">
        <v>0</v>
      </c>
      <c r="AN147" s="187">
        <v>0</v>
      </c>
      <c r="AO147" s="187">
        <v>0</v>
      </c>
      <c r="AP147" s="187">
        <v>0</v>
      </c>
      <c r="AQ147" s="187">
        <v>0</v>
      </c>
      <c r="AR147" s="187">
        <v>0</v>
      </c>
      <c r="AS147" s="187">
        <v>0</v>
      </c>
      <c r="AT147" s="187">
        <v>0</v>
      </c>
      <c r="AU147" s="187" t="s">
        <v>52</v>
      </c>
      <c r="AV147" s="187" t="s">
        <v>391</v>
      </c>
      <c r="AW147" s="187" t="s">
        <v>392</v>
      </c>
      <c r="AX147" s="187" t="s">
        <v>393</v>
      </c>
      <c r="AY147" s="187">
        <v>77077</v>
      </c>
      <c r="AZ147" s="188">
        <v>48200000000</v>
      </c>
      <c r="BA147" s="187" t="s">
        <v>394</v>
      </c>
      <c r="BB147" s="187" t="s">
        <v>395</v>
      </c>
      <c r="BC147" s="187">
        <v>161590</v>
      </c>
      <c r="BD147" s="187">
        <v>2990</v>
      </c>
      <c r="BE147" s="187" t="s">
        <v>460</v>
      </c>
      <c r="BF147" s="187" t="s">
        <v>396</v>
      </c>
      <c r="BG147" s="187" t="s">
        <v>396</v>
      </c>
    </row>
    <row r="148" spans="1:59">
      <c r="A148" s="187">
        <v>396364</v>
      </c>
      <c r="B148" s="187">
        <v>17916444</v>
      </c>
      <c r="C148" s="187">
        <v>2020</v>
      </c>
      <c r="D148" s="187" t="s">
        <v>380</v>
      </c>
      <c r="E148" s="187">
        <v>12</v>
      </c>
      <c r="F148" s="187" t="s">
        <v>397</v>
      </c>
      <c r="G148" s="187" t="s">
        <v>382</v>
      </c>
      <c r="H148" s="187" t="s">
        <v>443</v>
      </c>
      <c r="I148" s="187" t="s">
        <v>415</v>
      </c>
      <c r="J148" s="187">
        <v>29.77007</v>
      </c>
      <c r="K148" s="187">
        <v>-95.606200000000001</v>
      </c>
      <c r="L148" s="187" t="s">
        <v>399</v>
      </c>
      <c r="M148" s="187" t="s">
        <v>386</v>
      </c>
      <c r="N148" s="187" t="s">
        <v>401</v>
      </c>
      <c r="O148" s="187" t="s">
        <v>388</v>
      </c>
      <c r="P148" s="187" t="s">
        <v>389</v>
      </c>
      <c r="Q148" s="187" t="s">
        <v>103</v>
      </c>
      <c r="R148" s="187" t="s">
        <v>410</v>
      </c>
      <c r="S148" s="187">
        <v>0</v>
      </c>
      <c r="T148" s="187">
        <v>0</v>
      </c>
      <c r="U148" s="187">
        <v>0</v>
      </c>
      <c r="V148" s="187">
        <v>0</v>
      </c>
      <c r="W148" s="187">
        <v>0</v>
      </c>
      <c r="X148" s="187">
        <v>2</v>
      </c>
      <c r="Y148" s="187">
        <v>0</v>
      </c>
      <c r="Z148" s="187">
        <v>0</v>
      </c>
      <c r="AA148" s="187">
        <v>0</v>
      </c>
      <c r="AB148" s="187">
        <v>0</v>
      </c>
      <c r="AC148" s="187">
        <v>0</v>
      </c>
      <c r="AD148" s="187">
        <v>2</v>
      </c>
      <c r="AE148" s="187">
        <v>0</v>
      </c>
      <c r="AF148" s="187">
        <v>0</v>
      </c>
      <c r="AG148" s="187">
        <v>0</v>
      </c>
      <c r="AH148" s="187">
        <v>0</v>
      </c>
      <c r="AI148" s="187">
        <v>0</v>
      </c>
      <c r="AJ148" s="187">
        <v>0</v>
      </c>
      <c r="AK148" s="187">
        <v>0</v>
      </c>
      <c r="AL148" s="187">
        <v>0</v>
      </c>
      <c r="AM148" s="187">
        <v>0</v>
      </c>
      <c r="AN148" s="187">
        <v>0</v>
      </c>
      <c r="AO148" s="187">
        <v>0</v>
      </c>
      <c r="AP148" s="187">
        <v>0</v>
      </c>
      <c r="AQ148" s="187">
        <v>0</v>
      </c>
      <c r="AR148" s="187">
        <v>0</v>
      </c>
      <c r="AS148" s="187">
        <v>0</v>
      </c>
      <c r="AT148" s="187">
        <v>0</v>
      </c>
      <c r="AU148" s="187" t="s">
        <v>52</v>
      </c>
      <c r="AV148" s="187" t="s">
        <v>391</v>
      </c>
      <c r="AW148" s="187" t="s">
        <v>392</v>
      </c>
      <c r="AX148" s="187" t="s">
        <v>393</v>
      </c>
      <c r="AY148" s="187">
        <v>77079</v>
      </c>
      <c r="AZ148" s="188">
        <v>48200000000</v>
      </c>
      <c r="BA148" s="187" t="s">
        <v>394</v>
      </c>
      <c r="BB148" s="187" t="s">
        <v>395</v>
      </c>
      <c r="BC148" s="187">
        <v>162030</v>
      </c>
      <c r="BD148" s="187">
        <v>2990</v>
      </c>
      <c r="BE148" s="187" t="s">
        <v>396</v>
      </c>
      <c r="BF148" s="187" t="s">
        <v>396</v>
      </c>
      <c r="BG148" s="187" t="s">
        <v>396</v>
      </c>
    </row>
    <row r="149" spans="1:59">
      <c r="A149" s="187">
        <v>396840</v>
      </c>
      <c r="B149" s="187">
        <v>17918218</v>
      </c>
      <c r="C149" s="187">
        <v>2020</v>
      </c>
      <c r="D149" s="187" t="s">
        <v>380</v>
      </c>
      <c r="E149" s="187">
        <v>0</v>
      </c>
      <c r="F149" s="187" t="s">
        <v>429</v>
      </c>
      <c r="G149" s="187" t="s">
        <v>382</v>
      </c>
      <c r="H149" s="187" t="s">
        <v>383</v>
      </c>
      <c r="I149" s="187" t="s">
        <v>415</v>
      </c>
      <c r="J149" s="187">
        <v>29.75807</v>
      </c>
      <c r="K149" s="187">
        <v>-95.606099999999998</v>
      </c>
      <c r="L149" s="187" t="s">
        <v>385</v>
      </c>
      <c r="M149" s="187" t="s">
        <v>400</v>
      </c>
      <c r="N149" s="187" t="s">
        <v>463</v>
      </c>
      <c r="O149" s="187" t="s">
        <v>388</v>
      </c>
      <c r="P149" s="187" t="s">
        <v>389</v>
      </c>
      <c r="Q149" s="187" t="s">
        <v>103</v>
      </c>
      <c r="R149" s="187" t="s">
        <v>444</v>
      </c>
      <c r="S149" s="187">
        <v>0</v>
      </c>
      <c r="T149" s="187">
        <v>0</v>
      </c>
      <c r="U149" s="187">
        <v>0</v>
      </c>
      <c r="V149" s="187">
        <v>0</v>
      </c>
      <c r="W149" s="187">
        <v>0</v>
      </c>
      <c r="X149" s="187">
        <v>3</v>
      </c>
      <c r="Y149" s="187">
        <v>0</v>
      </c>
      <c r="Z149" s="187">
        <v>0</v>
      </c>
      <c r="AA149" s="187">
        <v>0</v>
      </c>
      <c r="AB149" s="187">
        <v>0</v>
      </c>
      <c r="AC149" s="187">
        <v>0</v>
      </c>
      <c r="AD149" s="187">
        <v>3</v>
      </c>
      <c r="AE149" s="187">
        <v>0</v>
      </c>
      <c r="AF149" s="187">
        <v>0</v>
      </c>
      <c r="AG149" s="187">
        <v>0</v>
      </c>
      <c r="AH149" s="187">
        <v>0</v>
      </c>
      <c r="AI149" s="187">
        <v>0</v>
      </c>
      <c r="AJ149" s="187">
        <v>0</v>
      </c>
      <c r="AK149" s="187">
        <v>0</v>
      </c>
      <c r="AL149" s="187">
        <v>0</v>
      </c>
      <c r="AM149" s="187">
        <v>0</v>
      </c>
      <c r="AN149" s="187">
        <v>0</v>
      </c>
      <c r="AO149" s="187">
        <v>0</v>
      </c>
      <c r="AP149" s="187">
        <v>0</v>
      </c>
      <c r="AQ149" s="187">
        <v>0</v>
      </c>
      <c r="AR149" s="187">
        <v>0</v>
      </c>
      <c r="AS149" s="187">
        <v>0</v>
      </c>
      <c r="AT149" s="187">
        <v>0</v>
      </c>
      <c r="AU149" s="187" t="s">
        <v>52</v>
      </c>
      <c r="AV149" s="187" t="s">
        <v>391</v>
      </c>
      <c r="AW149" s="187" t="s">
        <v>392</v>
      </c>
      <c r="AX149" s="187" t="s">
        <v>393</v>
      </c>
      <c r="AY149" s="187">
        <v>77077</v>
      </c>
      <c r="AZ149" s="188">
        <v>48200000000</v>
      </c>
      <c r="BA149" s="187" t="s">
        <v>394</v>
      </c>
      <c r="BB149" s="187" t="s">
        <v>395</v>
      </c>
      <c r="BC149" s="187">
        <v>161590</v>
      </c>
      <c r="BD149" s="187">
        <v>2990</v>
      </c>
      <c r="BE149" s="187" t="s">
        <v>396</v>
      </c>
      <c r="BF149" s="187" t="s">
        <v>396</v>
      </c>
      <c r="BG149" s="187" t="s">
        <v>396</v>
      </c>
    </row>
    <row r="150" spans="1:59">
      <c r="A150" s="187">
        <v>402804</v>
      </c>
      <c r="B150" s="187">
        <v>17944373</v>
      </c>
      <c r="C150" s="187">
        <v>2020</v>
      </c>
      <c r="D150" s="187" t="s">
        <v>380</v>
      </c>
      <c r="E150" s="187">
        <v>3</v>
      </c>
      <c r="F150" s="187" t="s">
        <v>414</v>
      </c>
      <c r="G150" s="187" t="s">
        <v>382</v>
      </c>
      <c r="H150" s="187" t="s">
        <v>383</v>
      </c>
      <c r="I150" s="187" t="s">
        <v>384</v>
      </c>
      <c r="J150" s="187">
        <v>29.753969999999999</v>
      </c>
      <c r="K150" s="187">
        <v>-95.606200000000001</v>
      </c>
      <c r="L150" s="187" t="s">
        <v>385</v>
      </c>
      <c r="M150" s="187" t="s">
        <v>400</v>
      </c>
      <c r="N150" s="187" t="s">
        <v>401</v>
      </c>
      <c r="O150" s="187" t="s">
        <v>388</v>
      </c>
      <c r="P150" s="187" t="s">
        <v>389</v>
      </c>
      <c r="Q150" s="187" t="s">
        <v>103</v>
      </c>
      <c r="R150" s="187" t="s">
        <v>410</v>
      </c>
      <c r="S150" s="187">
        <v>0</v>
      </c>
      <c r="T150" s="187">
        <v>0</v>
      </c>
      <c r="U150" s="187">
        <v>0</v>
      </c>
      <c r="V150" s="187">
        <v>0</v>
      </c>
      <c r="W150" s="187">
        <v>0</v>
      </c>
      <c r="X150" s="187">
        <v>2</v>
      </c>
      <c r="Y150" s="187">
        <v>0</v>
      </c>
      <c r="Z150" s="187">
        <v>0</v>
      </c>
      <c r="AA150" s="187">
        <v>0</v>
      </c>
      <c r="AB150" s="187">
        <v>0</v>
      </c>
      <c r="AC150" s="187">
        <v>0</v>
      </c>
      <c r="AD150" s="187">
        <v>2</v>
      </c>
      <c r="AE150" s="187">
        <v>0</v>
      </c>
      <c r="AF150" s="187">
        <v>0</v>
      </c>
      <c r="AG150" s="187">
        <v>0</v>
      </c>
      <c r="AH150" s="187">
        <v>0</v>
      </c>
      <c r="AI150" s="187">
        <v>0</v>
      </c>
      <c r="AJ150" s="187">
        <v>0</v>
      </c>
      <c r="AK150" s="187">
        <v>0</v>
      </c>
      <c r="AL150" s="187">
        <v>0</v>
      </c>
      <c r="AM150" s="187">
        <v>0</v>
      </c>
      <c r="AN150" s="187">
        <v>0</v>
      </c>
      <c r="AO150" s="187">
        <v>0</v>
      </c>
      <c r="AP150" s="187">
        <v>0</v>
      </c>
      <c r="AQ150" s="187">
        <v>0</v>
      </c>
      <c r="AR150" s="187">
        <v>0</v>
      </c>
      <c r="AS150" s="187">
        <v>0</v>
      </c>
      <c r="AT150" s="187">
        <v>0</v>
      </c>
      <c r="AU150" s="187" t="s">
        <v>52</v>
      </c>
      <c r="AV150" s="187" t="s">
        <v>391</v>
      </c>
      <c r="AW150" s="187" t="s">
        <v>392</v>
      </c>
      <c r="AX150" s="187" t="s">
        <v>393</v>
      </c>
      <c r="AY150" s="187">
        <v>77077</v>
      </c>
      <c r="AZ150" s="188">
        <v>48200000000</v>
      </c>
      <c r="BA150" s="187" t="s">
        <v>394</v>
      </c>
      <c r="BB150" s="187" t="s">
        <v>395</v>
      </c>
      <c r="BC150" s="187">
        <v>161370</v>
      </c>
      <c r="BD150" s="187">
        <v>2990</v>
      </c>
      <c r="BE150" s="187" t="s">
        <v>396</v>
      </c>
      <c r="BF150" s="187" t="s">
        <v>396</v>
      </c>
      <c r="BG150" s="187" t="s">
        <v>396</v>
      </c>
    </row>
    <row r="151" spans="1:59">
      <c r="A151" s="187">
        <v>405368</v>
      </c>
      <c r="B151" s="187">
        <v>17955036</v>
      </c>
      <c r="C151" s="187">
        <v>2020</v>
      </c>
      <c r="D151" s="187" t="s">
        <v>380</v>
      </c>
      <c r="E151" s="187">
        <v>21</v>
      </c>
      <c r="F151" s="187" t="s">
        <v>411</v>
      </c>
      <c r="G151" s="187" t="s">
        <v>382</v>
      </c>
      <c r="H151" s="187" t="s">
        <v>383</v>
      </c>
      <c r="I151" s="187" t="s">
        <v>409</v>
      </c>
      <c r="J151" s="187">
        <v>29.760539999999999</v>
      </c>
      <c r="K151" s="187">
        <v>-95.606300000000005</v>
      </c>
      <c r="L151" s="187" t="s">
        <v>385</v>
      </c>
      <c r="M151" s="187" t="s">
        <v>450</v>
      </c>
      <c r="N151" s="187" t="s">
        <v>418</v>
      </c>
      <c r="O151" s="187" t="s">
        <v>388</v>
      </c>
      <c r="P151" s="187" t="s">
        <v>389</v>
      </c>
      <c r="Q151" s="187" t="s">
        <v>102</v>
      </c>
      <c r="R151" s="187" t="s">
        <v>446</v>
      </c>
      <c r="S151" s="187">
        <v>0</v>
      </c>
      <c r="T151" s="187">
        <v>0</v>
      </c>
      <c r="U151" s="187">
        <v>0</v>
      </c>
      <c r="V151" s="187">
        <v>0</v>
      </c>
      <c r="W151" s="187">
        <v>0</v>
      </c>
      <c r="X151" s="187">
        <v>3</v>
      </c>
      <c r="Y151" s="187">
        <v>0</v>
      </c>
      <c r="Z151" s="187">
        <v>0</v>
      </c>
      <c r="AA151" s="187">
        <v>0</v>
      </c>
      <c r="AB151" s="187">
        <v>0</v>
      </c>
      <c r="AC151" s="187">
        <v>0</v>
      </c>
      <c r="AD151" s="187">
        <v>3</v>
      </c>
      <c r="AE151" s="187">
        <v>0</v>
      </c>
      <c r="AF151" s="187">
        <v>0</v>
      </c>
      <c r="AG151" s="187">
        <v>0</v>
      </c>
      <c r="AH151" s="187">
        <v>0</v>
      </c>
      <c r="AI151" s="187">
        <v>0</v>
      </c>
      <c r="AJ151" s="187">
        <v>0</v>
      </c>
      <c r="AK151" s="187">
        <v>0</v>
      </c>
      <c r="AL151" s="187">
        <v>0</v>
      </c>
      <c r="AM151" s="187">
        <v>0</v>
      </c>
      <c r="AN151" s="187">
        <v>0</v>
      </c>
      <c r="AO151" s="187">
        <v>0</v>
      </c>
      <c r="AP151" s="187">
        <v>0</v>
      </c>
      <c r="AQ151" s="187">
        <v>0</v>
      </c>
      <c r="AR151" s="187">
        <v>0</v>
      </c>
      <c r="AS151" s="187">
        <v>0</v>
      </c>
      <c r="AT151" s="187">
        <v>0</v>
      </c>
      <c r="AU151" s="187" t="s">
        <v>52</v>
      </c>
      <c r="AV151" s="187" t="s">
        <v>391</v>
      </c>
      <c r="AW151" s="187" t="s">
        <v>392</v>
      </c>
      <c r="AX151" s="187" t="s">
        <v>393</v>
      </c>
      <c r="AY151" s="187">
        <v>77077</v>
      </c>
      <c r="AZ151" s="188">
        <v>48200000000</v>
      </c>
      <c r="BA151" s="187" t="s">
        <v>394</v>
      </c>
      <c r="BB151" s="187" t="s">
        <v>395</v>
      </c>
      <c r="BC151" s="187">
        <v>161590</v>
      </c>
      <c r="BD151" s="187">
        <v>2990</v>
      </c>
      <c r="BE151" s="187" t="s">
        <v>396</v>
      </c>
      <c r="BF151" s="187" t="s">
        <v>396</v>
      </c>
      <c r="BG151" s="187" t="s">
        <v>396</v>
      </c>
    </row>
    <row r="152" spans="1:59">
      <c r="A152" s="187">
        <v>408452</v>
      </c>
      <c r="B152" s="187">
        <v>17968107</v>
      </c>
      <c r="C152" s="187">
        <v>2020</v>
      </c>
      <c r="D152" s="187" t="s">
        <v>380</v>
      </c>
      <c r="E152" s="187">
        <v>21</v>
      </c>
      <c r="F152" s="187" t="s">
        <v>426</v>
      </c>
      <c r="G152" s="187" t="s">
        <v>382</v>
      </c>
      <c r="H152" s="187" t="s">
        <v>383</v>
      </c>
      <c r="I152" s="187" t="s">
        <v>398</v>
      </c>
      <c r="J152" s="187">
        <v>29.753969999999999</v>
      </c>
      <c r="K152" s="187">
        <v>-95.606200000000001</v>
      </c>
      <c r="L152" s="187" t="s">
        <v>385</v>
      </c>
      <c r="M152" s="187" t="s">
        <v>400</v>
      </c>
      <c r="N152" s="187" t="s">
        <v>425</v>
      </c>
      <c r="O152" s="187" t="s">
        <v>388</v>
      </c>
      <c r="P152" s="187" t="s">
        <v>389</v>
      </c>
      <c r="Q152" s="187" t="s">
        <v>106</v>
      </c>
      <c r="R152" s="187" t="s">
        <v>416</v>
      </c>
      <c r="S152" s="187">
        <v>0</v>
      </c>
      <c r="T152" s="187">
        <v>0</v>
      </c>
      <c r="U152" s="187">
        <v>0</v>
      </c>
      <c r="V152" s="187">
        <v>0</v>
      </c>
      <c r="W152" s="187">
        <v>0</v>
      </c>
      <c r="X152" s="187">
        <v>2</v>
      </c>
      <c r="Y152" s="187">
        <v>1</v>
      </c>
      <c r="Z152" s="187">
        <v>0</v>
      </c>
      <c r="AA152" s="187">
        <v>0</v>
      </c>
      <c r="AB152" s="187">
        <v>0</v>
      </c>
      <c r="AC152" s="187">
        <v>0</v>
      </c>
      <c r="AD152" s="187">
        <v>2</v>
      </c>
      <c r="AE152" s="187">
        <v>0</v>
      </c>
      <c r="AF152" s="187">
        <v>1</v>
      </c>
      <c r="AG152" s="187">
        <v>0</v>
      </c>
      <c r="AH152" s="187">
        <v>0</v>
      </c>
      <c r="AI152" s="187">
        <v>0</v>
      </c>
      <c r="AJ152" s="187">
        <v>0</v>
      </c>
      <c r="AK152" s="187">
        <v>0</v>
      </c>
      <c r="AL152" s="187">
        <v>0</v>
      </c>
      <c r="AM152" s="187">
        <v>0</v>
      </c>
      <c r="AN152" s="187">
        <v>0</v>
      </c>
      <c r="AO152" s="187">
        <v>0</v>
      </c>
      <c r="AP152" s="187">
        <v>0</v>
      </c>
      <c r="AQ152" s="187">
        <v>0</v>
      </c>
      <c r="AR152" s="187">
        <v>0</v>
      </c>
      <c r="AS152" s="187">
        <v>0</v>
      </c>
      <c r="AT152" s="187">
        <v>0</v>
      </c>
      <c r="AU152" s="187" t="s">
        <v>52</v>
      </c>
      <c r="AV152" s="187" t="s">
        <v>391</v>
      </c>
      <c r="AW152" s="187" t="s">
        <v>392</v>
      </c>
      <c r="AX152" s="187" t="s">
        <v>393</v>
      </c>
      <c r="AY152" s="187">
        <v>77077</v>
      </c>
      <c r="AZ152" s="188">
        <v>48200000000</v>
      </c>
      <c r="BA152" s="187" t="s">
        <v>394</v>
      </c>
      <c r="BB152" s="187" t="s">
        <v>395</v>
      </c>
      <c r="BC152" s="187">
        <v>161370</v>
      </c>
      <c r="BD152" s="187">
        <v>2990</v>
      </c>
      <c r="BE152" s="187" t="s">
        <v>396</v>
      </c>
      <c r="BF152" s="187" t="s">
        <v>396</v>
      </c>
      <c r="BG152" s="187" t="s">
        <v>396</v>
      </c>
    </row>
    <row r="153" spans="1:59">
      <c r="A153" s="187">
        <v>410257</v>
      </c>
      <c r="B153" s="187">
        <v>17975472</v>
      </c>
      <c r="C153" s="187">
        <v>2020</v>
      </c>
      <c r="D153" s="187" t="s">
        <v>380</v>
      </c>
      <c r="E153" s="187">
        <v>22</v>
      </c>
      <c r="F153" s="187" t="s">
        <v>414</v>
      </c>
      <c r="G153" s="187" t="s">
        <v>382</v>
      </c>
      <c r="H153" s="187" t="s">
        <v>404</v>
      </c>
      <c r="I153" s="187" t="s">
        <v>415</v>
      </c>
      <c r="J153" s="187">
        <v>29.769269999999999</v>
      </c>
      <c r="K153" s="187">
        <v>-95.606300000000005</v>
      </c>
      <c r="L153" s="187" t="s">
        <v>385</v>
      </c>
      <c r="M153" s="187" t="s">
        <v>400</v>
      </c>
      <c r="N153" s="187" t="s">
        <v>425</v>
      </c>
      <c r="O153" s="187" t="s">
        <v>388</v>
      </c>
      <c r="P153" s="187" t="s">
        <v>402</v>
      </c>
      <c r="Q153" s="187" t="s">
        <v>102</v>
      </c>
      <c r="R153" s="187" t="s">
        <v>464</v>
      </c>
      <c r="S153" s="187">
        <v>0</v>
      </c>
      <c r="T153" s="187">
        <v>0</v>
      </c>
      <c r="U153" s="187">
        <v>1</v>
      </c>
      <c r="V153" s="187">
        <v>0</v>
      </c>
      <c r="W153" s="187">
        <v>1</v>
      </c>
      <c r="X153" s="187">
        <v>2</v>
      </c>
      <c r="Y153" s="187">
        <v>0</v>
      </c>
      <c r="Z153" s="187">
        <v>0</v>
      </c>
      <c r="AA153" s="187">
        <v>0</v>
      </c>
      <c r="AB153" s="187">
        <v>1</v>
      </c>
      <c r="AC153" s="187">
        <v>0</v>
      </c>
      <c r="AD153" s="187">
        <v>2</v>
      </c>
      <c r="AE153" s="187">
        <v>1</v>
      </c>
      <c r="AF153" s="187">
        <v>0</v>
      </c>
      <c r="AG153" s="187">
        <v>0</v>
      </c>
      <c r="AH153" s="187">
        <v>0</v>
      </c>
      <c r="AI153" s="187">
        <v>0</v>
      </c>
      <c r="AJ153" s="187">
        <v>0</v>
      </c>
      <c r="AK153" s="187">
        <v>0</v>
      </c>
      <c r="AL153" s="187">
        <v>0</v>
      </c>
      <c r="AM153" s="187">
        <v>0</v>
      </c>
      <c r="AN153" s="187">
        <v>0</v>
      </c>
      <c r="AO153" s="187">
        <v>0</v>
      </c>
      <c r="AP153" s="187">
        <v>0</v>
      </c>
      <c r="AQ153" s="187">
        <v>0</v>
      </c>
      <c r="AR153" s="187">
        <v>0</v>
      </c>
      <c r="AS153" s="187">
        <v>0</v>
      </c>
      <c r="AT153" s="187">
        <v>0</v>
      </c>
      <c r="AU153" s="187" t="s">
        <v>52</v>
      </c>
      <c r="AV153" s="187" t="s">
        <v>391</v>
      </c>
      <c r="AW153" s="187" t="s">
        <v>392</v>
      </c>
      <c r="AX153" s="187" t="s">
        <v>393</v>
      </c>
      <c r="AY153" s="187">
        <v>77079</v>
      </c>
      <c r="AZ153" s="188">
        <v>48200000000</v>
      </c>
      <c r="BA153" s="187" t="s">
        <v>394</v>
      </c>
      <c r="BB153" s="187" t="s">
        <v>395</v>
      </c>
      <c r="BC153" s="187">
        <v>161810</v>
      </c>
      <c r="BD153" s="187">
        <v>2990</v>
      </c>
      <c r="BE153" s="187" t="s">
        <v>396</v>
      </c>
      <c r="BF153" s="187" t="s">
        <v>396</v>
      </c>
      <c r="BG153" s="187" t="s">
        <v>396</v>
      </c>
    </row>
    <row r="154" spans="1:59">
      <c r="A154" s="187">
        <v>415734</v>
      </c>
      <c r="B154" s="187">
        <v>17997844</v>
      </c>
      <c r="C154" s="187">
        <v>2020</v>
      </c>
      <c r="D154" s="187" t="s">
        <v>380</v>
      </c>
      <c r="E154" s="187">
        <v>0</v>
      </c>
      <c r="F154" s="187" t="s">
        <v>429</v>
      </c>
      <c r="G154" s="187" t="s">
        <v>382</v>
      </c>
      <c r="H154" s="187" t="s">
        <v>419</v>
      </c>
      <c r="I154" s="187" t="s">
        <v>409</v>
      </c>
      <c r="J154" s="187">
        <v>29.753969999999999</v>
      </c>
      <c r="K154" s="187">
        <v>-95.606200000000001</v>
      </c>
      <c r="L154" s="187" t="s">
        <v>399</v>
      </c>
      <c r="M154" s="187" t="s">
        <v>400</v>
      </c>
      <c r="N154" s="187" t="s">
        <v>401</v>
      </c>
      <c r="O154" s="187" t="s">
        <v>388</v>
      </c>
      <c r="P154" s="187" t="s">
        <v>389</v>
      </c>
      <c r="Q154" s="187" t="s">
        <v>103</v>
      </c>
      <c r="R154" s="187" t="s">
        <v>410</v>
      </c>
      <c r="S154" s="187">
        <v>0</v>
      </c>
      <c r="T154" s="187">
        <v>0</v>
      </c>
      <c r="U154" s="187">
        <v>0</v>
      </c>
      <c r="V154" s="187">
        <v>0</v>
      </c>
      <c r="W154" s="187">
        <v>0</v>
      </c>
      <c r="X154" s="187">
        <v>2</v>
      </c>
      <c r="Y154" s="187">
        <v>1</v>
      </c>
      <c r="Z154" s="187">
        <v>0</v>
      </c>
      <c r="AA154" s="187">
        <v>0</v>
      </c>
      <c r="AB154" s="187">
        <v>0</v>
      </c>
      <c r="AC154" s="187">
        <v>0</v>
      </c>
      <c r="AD154" s="187">
        <v>2</v>
      </c>
      <c r="AE154" s="187">
        <v>0</v>
      </c>
      <c r="AF154" s="187">
        <v>1</v>
      </c>
      <c r="AG154" s="187">
        <v>0</v>
      </c>
      <c r="AH154" s="187">
        <v>0</v>
      </c>
      <c r="AI154" s="187">
        <v>0</v>
      </c>
      <c r="AJ154" s="187">
        <v>0</v>
      </c>
      <c r="AK154" s="187">
        <v>0</v>
      </c>
      <c r="AL154" s="187">
        <v>0</v>
      </c>
      <c r="AM154" s="187">
        <v>0</v>
      </c>
      <c r="AN154" s="187">
        <v>0</v>
      </c>
      <c r="AO154" s="187">
        <v>0</v>
      </c>
      <c r="AP154" s="187">
        <v>0</v>
      </c>
      <c r="AQ154" s="187">
        <v>0</v>
      </c>
      <c r="AR154" s="187">
        <v>0</v>
      </c>
      <c r="AS154" s="187">
        <v>0</v>
      </c>
      <c r="AT154" s="187">
        <v>0</v>
      </c>
      <c r="AU154" s="187" t="s">
        <v>52</v>
      </c>
      <c r="AV154" s="187" t="s">
        <v>391</v>
      </c>
      <c r="AW154" s="187" t="s">
        <v>392</v>
      </c>
      <c r="AX154" s="187" t="s">
        <v>393</v>
      </c>
      <c r="AY154" s="187">
        <v>77077</v>
      </c>
      <c r="AZ154" s="188">
        <v>48200000000</v>
      </c>
      <c r="BA154" s="187" t="s">
        <v>394</v>
      </c>
      <c r="BB154" s="187" t="s">
        <v>395</v>
      </c>
      <c r="BC154" s="187">
        <v>161370</v>
      </c>
      <c r="BD154" s="187">
        <v>2990</v>
      </c>
      <c r="BE154" s="187" t="s">
        <v>396</v>
      </c>
      <c r="BF154" s="187" t="s">
        <v>396</v>
      </c>
      <c r="BG154" s="187" t="s">
        <v>396</v>
      </c>
    </row>
    <row r="155" spans="1:59">
      <c r="A155" s="187">
        <v>416941</v>
      </c>
      <c r="B155" s="187">
        <v>18002886</v>
      </c>
      <c r="C155" s="187">
        <v>2020</v>
      </c>
      <c r="D155" s="187" t="s">
        <v>380</v>
      </c>
      <c r="E155" s="187">
        <v>18</v>
      </c>
      <c r="F155" s="187" t="s">
        <v>426</v>
      </c>
      <c r="G155" s="187" t="s">
        <v>382</v>
      </c>
      <c r="H155" s="187" t="s">
        <v>383</v>
      </c>
      <c r="I155" s="187" t="s">
        <v>398</v>
      </c>
      <c r="J155" s="187">
        <v>29.756699999999999</v>
      </c>
      <c r="K155" s="187">
        <v>-95.606099999999998</v>
      </c>
      <c r="L155" s="187" t="s">
        <v>385</v>
      </c>
      <c r="M155" s="187" t="s">
        <v>386</v>
      </c>
      <c r="N155" s="187" t="s">
        <v>418</v>
      </c>
      <c r="O155" s="187" t="s">
        <v>388</v>
      </c>
      <c r="P155" s="187" t="s">
        <v>389</v>
      </c>
      <c r="Q155" s="187" t="s">
        <v>102</v>
      </c>
      <c r="R155" s="187" t="s">
        <v>403</v>
      </c>
      <c r="S155" s="187">
        <v>0</v>
      </c>
      <c r="T155" s="187">
        <v>0</v>
      </c>
      <c r="U155" s="187">
        <v>0</v>
      </c>
      <c r="V155" s="187">
        <v>0</v>
      </c>
      <c r="W155" s="187">
        <v>0</v>
      </c>
      <c r="X155" s="187">
        <v>3</v>
      </c>
      <c r="Y155" s="187">
        <v>0</v>
      </c>
      <c r="Z155" s="187">
        <v>0</v>
      </c>
      <c r="AA155" s="187">
        <v>0</v>
      </c>
      <c r="AB155" s="187">
        <v>0</v>
      </c>
      <c r="AC155" s="187">
        <v>0</v>
      </c>
      <c r="AD155" s="187">
        <v>3</v>
      </c>
      <c r="AE155" s="187">
        <v>0</v>
      </c>
      <c r="AF155" s="187">
        <v>0</v>
      </c>
      <c r="AG155" s="187">
        <v>0</v>
      </c>
      <c r="AH155" s="187">
        <v>0</v>
      </c>
      <c r="AI155" s="187">
        <v>0</v>
      </c>
      <c r="AJ155" s="187">
        <v>0</v>
      </c>
      <c r="AK155" s="187">
        <v>0</v>
      </c>
      <c r="AL155" s="187">
        <v>0</v>
      </c>
      <c r="AM155" s="187">
        <v>0</v>
      </c>
      <c r="AN155" s="187">
        <v>0</v>
      </c>
      <c r="AO155" s="187">
        <v>0</v>
      </c>
      <c r="AP155" s="187">
        <v>0</v>
      </c>
      <c r="AQ155" s="187">
        <v>0</v>
      </c>
      <c r="AR155" s="187">
        <v>0</v>
      </c>
      <c r="AS155" s="187">
        <v>0</v>
      </c>
      <c r="AT155" s="187">
        <v>0</v>
      </c>
      <c r="AU155" s="187" t="s">
        <v>52</v>
      </c>
      <c r="AV155" s="187" t="s">
        <v>391</v>
      </c>
      <c r="AW155" s="187" t="s">
        <v>392</v>
      </c>
      <c r="AX155" s="187" t="s">
        <v>393</v>
      </c>
      <c r="AY155" s="187">
        <v>77077</v>
      </c>
      <c r="AZ155" s="188">
        <v>48200000000</v>
      </c>
      <c r="BA155" s="187" t="s">
        <v>394</v>
      </c>
      <c r="BB155" s="187" t="s">
        <v>395</v>
      </c>
      <c r="BC155" s="187">
        <v>161370</v>
      </c>
      <c r="BD155" s="187">
        <v>2990</v>
      </c>
      <c r="BE155" s="187" t="s">
        <v>396</v>
      </c>
      <c r="BF155" s="187" t="s">
        <v>396</v>
      </c>
      <c r="BG155" s="187" t="s">
        <v>396</v>
      </c>
    </row>
    <row r="156" spans="1:59">
      <c r="A156" s="187">
        <v>427704</v>
      </c>
      <c r="B156" s="187">
        <v>18057992</v>
      </c>
      <c r="C156" s="187">
        <v>2020</v>
      </c>
      <c r="D156" s="187" t="s">
        <v>380</v>
      </c>
      <c r="E156" s="187">
        <v>17</v>
      </c>
      <c r="F156" s="187" t="s">
        <v>411</v>
      </c>
      <c r="G156" s="187" t="s">
        <v>382</v>
      </c>
      <c r="H156" s="187" t="s">
        <v>419</v>
      </c>
      <c r="I156" s="187" t="s">
        <v>415</v>
      </c>
      <c r="J156" s="187">
        <v>29.753969999999999</v>
      </c>
      <c r="K156" s="187">
        <v>-95.606399999999994</v>
      </c>
      <c r="L156" s="187" t="s">
        <v>385</v>
      </c>
      <c r="M156" s="187" t="s">
        <v>386</v>
      </c>
      <c r="N156" s="187" t="s">
        <v>425</v>
      </c>
      <c r="O156" s="187" t="s">
        <v>388</v>
      </c>
      <c r="P156" s="187" t="s">
        <v>389</v>
      </c>
      <c r="Q156" s="187" t="s">
        <v>105</v>
      </c>
      <c r="R156" s="187" t="s">
        <v>416</v>
      </c>
      <c r="S156" s="187">
        <v>0</v>
      </c>
      <c r="T156" s="187">
        <v>0</v>
      </c>
      <c r="U156" s="187">
        <v>0</v>
      </c>
      <c r="V156" s="187">
        <v>0</v>
      </c>
      <c r="W156" s="187">
        <v>0</v>
      </c>
      <c r="X156" s="187">
        <v>3</v>
      </c>
      <c r="Y156" s="187">
        <v>1</v>
      </c>
      <c r="Z156" s="187">
        <v>0</v>
      </c>
      <c r="AA156" s="187">
        <v>0</v>
      </c>
      <c r="AB156" s="187">
        <v>0</v>
      </c>
      <c r="AC156" s="187">
        <v>0</v>
      </c>
      <c r="AD156" s="187">
        <v>3</v>
      </c>
      <c r="AE156" s="187">
        <v>0</v>
      </c>
      <c r="AF156" s="187">
        <v>1</v>
      </c>
      <c r="AG156" s="187">
        <v>0</v>
      </c>
      <c r="AH156" s="187">
        <v>0</v>
      </c>
      <c r="AI156" s="187">
        <v>0</v>
      </c>
      <c r="AJ156" s="187">
        <v>0</v>
      </c>
      <c r="AK156" s="187">
        <v>0</v>
      </c>
      <c r="AL156" s="187">
        <v>0</v>
      </c>
      <c r="AM156" s="187">
        <v>0</v>
      </c>
      <c r="AN156" s="187">
        <v>0</v>
      </c>
      <c r="AO156" s="187">
        <v>0</v>
      </c>
      <c r="AP156" s="187">
        <v>0</v>
      </c>
      <c r="AQ156" s="187">
        <v>0</v>
      </c>
      <c r="AR156" s="187">
        <v>0</v>
      </c>
      <c r="AS156" s="187">
        <v>0</v>
      </c>
      <c r="AT156" s="187">
        <v>0</v>
      </c>
      <c r="AU156" s="187" t="s">
        <v>52</v>
      </c>
      <c r="AV156" s="187" t="s">
        <v>391</v>
      </c>
      <c r="AW156" s="187" t="s">
        <v>392</v>
      </c>
      <c r="AX156" s="187" t="s">
        <v>393</v>
      </c>
      <c r="AY156" s="187">
        <v>77077</v>
      </c>
      <c r="AZ156" s="188">
        <v>48200000000</v>
      </c>
      <c r="BA156" s="187" t="s">
        <v>394</v>
      </c>
      <c r="BB156" s="187" t="s">
        <v>395</v>
      </c>
      <c r="BC156" s="187">
        <v>161370</v>
      </c>
      <c r="BD156" s="187">
        <v>2990</v>
      </c>
      <c r="BE156" s="187" t="s">
        <v>396</v>
      </c>
      <c r="BF156" s="187" t="s">
        <v>396</v>
      </c>
      <c r="BG156" s="187" t="s">
        <v>465</v>
      </c>
    </row>
    <row r="157" spans="1:59">
      <c r="A157" s="187">
        <v>431123</v>
      </c>
      <c r="B157" s="187">
        <v>18052716</v>
      </c>
      <c r="C157" s="187">
        <v>2021</v>
      </c>
      <c r="D157" s="189">
        <v>44205</v>
      </c>
      <c r="E157" s="187">
        <v>12</v>
      </c>
      <c r="F157" s="187" t="s">
        <v>426</v>
      </c>
      <c r="G157" s="187" t="s">
        <v>382</v>
      </c>
      <c r="H157" s="187" t="s">
        <v>443</v>
      </c>
      <c r="I157" s="187" t="s">
        <v>422</v>
      </c>
      <c r="J157" s="187">
        <v>29.77007</v>
      </c>
      <c r="K157" s="187">
        <v>-95.606200000000001</v>
      </c>
      <c r="L157" s="187" t="s">
        <v>385</v>
      </c>
      <c r="M157" s="187" t="s">
        <v>386</v>
      </c>
      <c r="N157" s="187" t="s">
        <v>425</v>
      </c>
      <c r="O157" s="187" t="s">
        <v>388</v>
      </c>
      <c r="P157" s="187" t="s">
        <v>389</v>
      </c>
      <c r="Q157" s="187" t="s">
        <v>105</v>
      </c>
      <c r="R157" s="187" t="s">
        <v>428</v>
      </c>
      <c r="S157" s="187">
        <v>0</v>
      </c>
      <c r="T157" s="187">
        <v>0</v>
      </c>
      <c r="U157" s="187">
        <v>0</v>
      </c>
      <c r="V157" s="187">
        <v>0</v>
      </c>
      <c r="W157" s="187">
        <v>0</v>
      </c>
      <c r="X157" s="187">
        <v>2</v>
      </c>
      <c r="Y157" s="187">
        <v>0</v>
      </c>
      <c r="Z157" s="187">
        <v>0</v>
      </c>
      <c r="AA157" s="187">
        <v>0</v>
      </c>
      <c r="AB157" s="187">
        <v>0</v>
      </c>
      <c r="AC157" s="187">
        <v>0</v>
      </c>
      <c r="AD157" s="187">
        <v>2</v>
      </c>
      <c r="AE157" s="187">
        <v>0</v>
      </c>
      <c r="AF157" s="187">
        <v>0</v>
      </c>
      <c r="AG157" s="187">
        <v>0</v>
      </c>
      <c r="AH157" s="187">
        <v>0</v>
      </c>
      <c r="AI157" s="187">
        <v>0</v>
      </c>
      <c r="AJ157" s="187">
        <v>0</v>
      </c>
      <c r="AK157" s="187">
        <v>0</v>
      </c>
      <c r="AL157" s="187">
        <v>0</v>
      </c>
      <c r="AM157" s="187">
        <v>0</v>
      </c>
      <c r="AN157" s="187">
        <v>0</v>
      </c>
      <c r="AO157" s="187">
        <v>0</v>
      </c>
      <c r="AP157" s="187">
        <v>0</v>
      </c>
      <c r="AQ157" s="187">
        <v>0</v>
      </c>
      <c r="AR157" s="187">
        <v>0</v>
      </c>
      <c r="AS157" s="187">
        <v>0</v>
      </c>
      <c r="AT157" s="187">
        <v>0</v>
      </c>
      <c r="AU157" s="187" t="s">
        <v>52</v>
      </c>
      <c r="AV157" s="187" t="s">
        <v>391</v>
      </c>
      <c r="AW157" s="187" t="s">
        <v>392</v>
      </c>
      <c r="AX157" s="187" t="s">
        <v>393</v>
      </c>
      <c r="AY157" s="187">
        <v>77079</v>
      </c>
      <c r="AZ157" s="188">
        <v>48200000000</v>
      </c>
      <c r="BA157" s="187" t="s">
        <v>394</v>
      </c>
      <c r="BB157" s="187" t="s">
        <v>395</v>
      </c>
      <c r="BC157" s="187">
        <v>162030</v>
      </c>
      <c r="BD157" s="187">
        <v>2990</v>
      </c>
      <c r="BE157" s="187" t="s">
        <v>396</v>
      </c>
      <c r="BF157" s="187" t="s">
        <v>396</v>
      </c>
      <c r="BG157" s="187" t="s">
        <v>396</v>
      </c>
    </row>
    <row r="158" spans="1:59">
      <c r="A158" s="187">
        <v>432780</v>
      </c>
      <c r="B158" s="187">
        <v>18062030</v>
      </c>
      <c r="C158" s="187">
        <v>2021</v>
      </c>
      <c r="D158" s="187" t="s">
        <v>380</v>
      </c>
      <c r="E158" s="187">
        <v>16</v>
      </c>
      <c r="F158" s="187" t="s">
        <v>414</v>
      </c>
      <c r="G158" s="187" t="s">
        <v>382</v>
      </c>
      <c r="H158" s="187" t="s">
        <v>383</v>
      </c>
      <c r="I158" s="187" t="s">
        <v>384</v>
      </c>
      <c r="J158" s="187">
        <v>29.75835</v>
      </c>
      <c r="K158" s="187">
        <v>-95.606099999999998</v>
      </c>
      <c r="L158" s="187" t="s">
        <v>385</v>
      </c>
      <c r="M158" s="187" t="s">
        <v>386</v>
      </c>
      <c r="N158" s="187" t="s">
        <v>406</v>
      </c>
      <c r="O158" s="187" t="s">
        <v>388</v>
      </c>
      <c r="P158" s="187" t="s">
        <v>389</v>
      </c>
      <c r="Q158" s="187" t="s">
        <v>103</v>
      </c>
      <c r="R158" s="187" t="s">
        <v>466</v>
      </c>
      <c r="S158" s="187">
        <v>0</v>
      </c>
      <c r="T158" s="187">
        <v>0</v>
      </c>
      <c r="U158" s="187">
        <v>0</v>
      </c>
      <c r="V158" s="187">
        <v>0</v>
      </c>
      <c r="W158" s="187">
        <v>0</v>
      </c>
      <c r="X158" s="187">
        <v>1</v>
      </c>
      <c r="Y158" s="187">
        <v>1</v>
      </c>
      <c r="Z158" s="187">
        <v>0</v>
      </c>
      <c r="AA158" s="187">
        <v>0</v>
      </c>
      <c r="AB158" s="187">
        <v>0</v>
      </c>
      <c r="AC158" s="187">
        <v>0</v>
      </c>
      <c r="AD158" s="187">
        <v>1</v>
      </c>
      <c r="AE158" s="187">
        <v>0</v>
      </c>
      <c r="AF158" s="187">
        <v>1</v>
      </c>
      <c r="AG158" s="187">
        <v>0</v>
      </c>
      <c r="AH158" s="187">
        <v>0</v>
      </c>
      <c r="AI158" s="187">
        <v>0</v>
      </c>
      <c r="AJ158" s="187">
        <v>0</v>
      </c>
      <c r="AK158" s="187">
        <v>0</v>
      </c>
      <c r="AL158" s="187">
        <v>0</v>
      </c>
      <c r="AM158" s="187">
        <v>0</v>
      </c>
      <c r="AN158" s="187">
        <v>0</v>
      </c>
      <c r="AO158" s="187">
        <v>0</v>
      </c>
      <c r="AP158" s="187">
        <v>0</v>
      </c>
      <c r="AQ158" s="187">
        <v>0</v>
      </c>
      <c r="AR158" s="187">
        <v>0</v>
      </c>
      <c r="AS158" s="187">
        <v>0</v>
      </c>
      <c r="AT158" s="187">
        <v>0</v>
      </c>
      <c r="AU158" s="187" t="s">
        <v>52</v>
      </c>
      <c r="AV158" s="187" t="s">
        <v>391</v>
      </c>
      <c r="AW158" s="187" t="s">
        <v>392</v>
      </c>
      <c r="AX158" s="187" t="s">
        <v>393</v>
      </c>
      <c r="AY158" s="187">
        <v>77077</v>
      </c>
      <c r="AZ158" s="188">
        <v>48200000000</v>
      </c>
      <c r="BA158" s="187" t="s">
        <v>394</v>
      </c>
      <c r="BB158" s="187" t="s">
        <v>395</v>
      </c>
      <c r="BC158" s="187">
        <v>161590</v>
      </c>
      <c r="BD158" s="187">
        <v>2990</v>
      </c>
      <c r="BE158" s="187" t="s">
        <v>396</v>
      </c>
      <c r="BF158" s="187" t="s">
        <v>396</v>
      </c>
      <c r="BG158" s="187" t="s">
        <v>396</v>
      </c>
    </row>
    <row r="159" spans="1:59">
      <c r="A159" s="187">
        <v>433654</v>
      </c>
      <c r="B159" s="187">
        <v>18065814</v>
      </c>
      <c r="C159" s="187">
        <v>2021</v>
      </c>
      <c r="D159" s="189">
        <v>44205</v>
      </c>
      <c r="E159" s="187">
        <v>13</v>
      </c>
      <c r="F159" s="187" t="s">
        <v>426</v>
      </c>
      <c r="G159" s="187" t="s">
        <v>382</v>
      </c>
      <c r="H159" s="187" t="s">
        <v>452</v>
      </c>
      <c r="I159" s="187" t="s">
        <v>415</v>
      </c>
      <c r="J159" s="187">
        <v>29.75816</v>
      </c>
      <c r="K159" s="187">
        <v>-95.606300000000005</v>
      </c>
      <c r="L159" s="187" t="s">
        <v>385</v>
      </c>
      <c r="M159" s="187" t="s">
        <v>386</v>
      </c>
      <c r="N159" s="187" t="s">
        <v>467</v>
      </c>
      <c r="O159" s="187" t="s">
        <v>388</v>
      </c>
      <c r="P159" s="187" t="s">
        <v>389</v>
      </c>
      <c r="Q159" s="187" t="s">
        <v>103</v>
      </c>
      <c r="R159" s="187" t="s">
        <v>432</v>
      </c>
      <c r="S159" s="187">
        <v>0</v>
      </c>
      <c r="T159" s="187">
        <v>0</v>
      </c>
      <c r="U159" s="187">
        <v>0</v>
      </c>
      <c r="V159" s="187">
        <v>0</v>
      </c>
      <c r="W159" s="187">
        <v>0</v>
      </c>
      <c r="X159" s="187">
        <v>2</v>
      </c>
      <c r="Y159" s="187">
        <v>0</v>
      </c>
      <c r="Z159" s="187">
        <v>0</v>
      </c>
      <c r="AA159" s="187">
        <v>0</v>
      </c>
      <c r="AB159" s="187">
        <v>0</v>
      </c>
      <c r="AC159" s="187">
        <v>0</v>
      </c>
      <c r="AD159" s="187">
        <v>2</v>
      </c>
      <c r="AE159" s="187">
        <v>0</v>
      </c>
      <c r="AF159" s="187">
        <v>0</v>
      </c>
      <c r="AG159" s="187">
        <v>0</v>
      </c>
      <c r="AH159" s="187">
        <v>0</v>
      </c>
      <c r="AI159" s="187">
        <v>0</v>
      </c>
      <c r="AJ159" s="187">
        <v>0</v>
      </c>
      <c r="AK159" s="187">
        <v>0</v>
      </c>
      <c r="AL159" s="187">
        <v>0</v>
      </c>
      <c r="AM159" s="187">
        <v>0</v>
      </c>
      <c r="AN159" s="187">
        <v>0</v>
      </c>
      <c r="AO159" s="187">
        <v>0</v>
      </c>
      <c r="AP159" s="187">
        <v>0</v>
      </c>
      <c r="AQ159" s="187">
        <v>0</v>
      </c>
      <c r="AR159" s="187">
        <v>0</v>
      </c>
      <c r="AS159" s="187">
        <v>0</v>
      </c>
      <c r="AT159" s="187">
        <v>0</v>
      </c>
      <c r="AU159" s="187" t="s">
        <v>52</v>
      </c>
      <c r="AV159" s="187" t="s">
        <v>391</v>
      </c>
      <c r="AW159" s="187" t="s">
        <v>392</v>
      </c>
      <c r="AX159" s="187" t="s">
        <v>393</v>
      </c>
      <c r="AY159" s="187">
        <v>77077</v>
      </c>
      <c r="AZ159" s="188">
        <v>48200000000</v>
      </c>
      <c r="BA159" s="187" t="s">
        <v>394</v>
      </c>
      <c r="BB159" s="187" t="s">
        <v>395</v>
      </c>
      <c r="BC159" s="187">
        <v>161590</v>
      </c>
      <c r="BD159" s="187">
        <v>2990</v>
      </c>
      <c r="BE159" s="187" t="s">
        <v>396</v>
      </c>
      <c r="BF159" s="187" t="s">
        <v>396</v>
      </c>
      <c r="BG159" s="187" t="s">
        <v>396</v>
      </c>
    </row>
    <row r="160" spans="1:59">
      <c r="A160" s="187">
        <v>434170</v>
      </c>
      <c r="B160" s="187">
        <v>18068604</v>
      </c>
      <c r="C160" s="187">
        <v>2021</v>
      </c>
      <c r="D160" s="187" t="s">
        <v>380</v>
      </c>
      <c r="E160" s="187">
        <v>14</v>
      </c>
      <c r="F160" s="187" t="s">
        <v>381</v>
      </c>
      <c r="G160" s="187" t="s">
        <v>382</v>
      </c>
      <c r="H160" s="187" t="s">
        <v>404</v>
      </c>
      <c r="I160" s="187" t="s">
        <v>398</v>
      </c>
      <c r="J160" s="187">
        <v>29.76839</v>
      </c>
      <c r="K160" s="187">
        <v>-95.606300000000005</v>
      </c>
      <c r="L160" s="187" t="s">
        <v>385</v>
      </c>
      <c r="M160" s="187" t="s">
        <v>386</v>
      </c>
      <c r="N160" s="187" t="s">
        <v>425</v>
      </c>
      <c r="O160" s="187" t="s">
        <v>388</v>
      </c>
      <c r="P160" s="187" t="s">
        <v>342</v>
      </c>
      <c r="Q160" s="187" t="s">
        <v>106</v>
      </c>
      <c r="R160" s="187" t="s">
        <v>403</v>
      </c>
      <c r="S160" s="187">
        <v>0</v>
      </c>
      <c r="T160" s="187">
        <v>0</v>
      </c>
      <c r="U160" s="187">
        <v>0</v>
      </c>
      <c r="V160" s="187">
        <v>1</v>
      </c>
      <c r="W160" s="187">
        <v>1</v>
      </c>
      <c r="X160" s="187">
        <v>2</v>
      </c>
      <c r="Y160" s="187">
        <v>0</v>
      </c>
      <c r="Z160" s="187">
        <v>0</v>
      </c>
      <c r="AA160" s="187">
        <v>0</v>
      </c>
      <c r="AB160" s="187">
        <v>0</v>
      </c>
      <c r="AC160" s="187">
        <v>1</v>
      </c>
      <c r="AD160" s="187">
        <v>2</v>
      </c>
      <c r="AE160" s="187">
        <v>1</v>
      </c>
      <c r="AF160" s="187">
        <v>0</v>
      </c>
      <c r="AG160" s="187">
        <v>0</v>
      </c>
      <c r="AH160" s="187">
        <v>0</v>
      </c>
      <c r="AI160" s="187">
        <v>0</v>
      </c>
      <c r="AJ160" s="187">
        <v>0</v>
      </c>
      <c r="AK160" s="187">
        <v>0</v>
      </c>
      <c r="AL160" s="187">
        <v>0</v>
      </c>
      <c r="AM160" s="187">
        <v>0</v>
      </c>
      <c r="AN160" s="187">
        <v>0</v>
      </c>
      <c r="AO160" s="187">
        <v>0</v>
      </c>
      <c r="AP160" s="187">
        <v>0</v>
      </c>
      <c r="AQ160" s="187">
        <v>0</v>
      </c>
      <c r="AR160" s="187">
        <v>0</v>
      </c>
      <c r="AS160" s="187">
        <v>0</v>
      </c>
      <c r="AT160" s="187">
        <v>0</v>
      </c>
      <c r="AU160" s="187" t="s">
        <v>52</v>
      </c>
      <c r="AV160" s="187" t="s">
        <v>391</v>
      </c>
      <c r="AW160" s="187" t="s">
        <v>392</v>
      </c>
      <c r="AX160" s="187" t="s">
        <v>393</v>
      </c>
      <c r="AY160" s="187">
        <v>77079</v>
      </c>
      <c r="AZ160" s="188">
        <v>48200000000</v>
      </c>
      <c r="BA160" s="187" t="s">
        <v>394</v>
      </c>
      <c r="BB160" s="187" t="s">
        <v>395</v>
      </c>
      <c r="BC160" s="187">
        <v>161810</v>
      </c>
      <c r="BD160" s="187">
        <v>2990</v>
      </c>
      <c r="BE160" s="187" t="s">
        <v>396</v>
      </c>
      <c r="BF160" s="187" t="s">
        <v>396</v>
      </c>
      <c r="BG160" s="187" t="s">
        <v>396</v>
      </c>
    </row>
    <row r="161" spans="1:59">
      <c r="A161" s="187">
        <v>434792</v>
      </c>
      <c r="B161" s="187">
        <v>18071392</v>
      </c>
      <c r="C161" s="187">
        <v>2021</v>
      </c>
      <c r="D161" s="187" t="s">
        <v>380</v>
      </c>
      <c r="E161" s="187">
        <v>19</v>
      </c>
      <c r="F161" s="187" t="s">
        <v>421</v>
      </c>
      <c r="G161" s="187" t="s">
        <v>382</v>
      </c>
      <c r="H161" s="187" t="s">
        <v>383</v>
      </c>
      <c r="I161" s="187" t="s">
        <v>409</v>
      </c>
      <c r="J161" s="187">
        <v>29.7546</v>
      </c>
      <c r="K161" s="187">
        <v>-95.606200000000001</v>
      </c>
      <c r="L161" s="187" t="s">
        <v>399</v>
      </c>
      <c r="M161" s="187" t="s">
        <v>439</v>
      </c>
      <c r="N161" s="187" t="s">
        <v>406</v>
      </c>
      <c r="O161" s="187" t="s">
        <v>388</v>
      </c>
      <c r="P161" s="187" t="s">
        <v>389</v>
      </c>
      <c r="Q161" s="187" t="s">
        <v>103</v>
      </c>
      <c r="R161" s="187" t="s">
        <v>407</v>
      </c>
      <c r="S161" s="187">
        <v>0</v>
      </c>
      <c r="T161" s="187">
        <v>0</v>
      </c>
      <c r="U161" s="187">
        <v>0</v>
      </c>
      <c r="V161" s="187">
        <v>0</v>
      </c>
      <c r="W161" s="187">
        <v>0</v>
      </c>
      <c r="X161" s="187">
        <v>2</v>
      </c>
      <c r="Y161" s="187">
        <v>0</v>
      </c>
      <c r="Z161" s="187">
        <v>0</v>
      </c>
      <c r="AA161" s="187">
        <v>0</v>
      </c>
      <c r="AB161" s="187">
        <v>0</v>
      </c>
      <c r="AC161" s="187">
        <v>0</v>
      </c>
      <c r="AD161" s="187">
        <v>2</v>
      </c>
      <c r="AE161" s="187">
        <v>0</v>
      </c>
      <c r="AF161" s="187">
        <v>0</v>
      </c>
      <c r="AG161" s="187">
        <v>0</v>
      </c>
      <c r="AH161" s="187">
        <v>0</v>
      </c>
      <c r="AI161" s="187">
        <v>0</v>
      </c>
      <c r="AJ161" s="187">
        <v>0</v>
      </c>
      <c r="AK161" s="187">
        <v>0</v>
      </c>
      <c r="AL161" s="187">
        <v>0</v>
      </c>
      <c r="AM161" s="187">
        <v>0</v>
      </c>
      <c r="AN161" s="187">
        <v>0</v>
      </c>
      <c r="AO161" s="187">
        <v>0</v>
      </c>
      <c r="AP161" s="187">
        <v>0</v>
      </c>
      <c r="AQ161" s="187">
        <v>0</v>
      </c>
      <c r="AR161" s="187">
        <v>0</v>
      </c>
      <c r="AS161" s="187">
        <v>0</v>
      </c>
      <c r="AT161" s="187">
        <v>0</v>
      </c>
      <c r="AU161" s="187" t="s">
        <v>52</v>
      </c>
      <c r="AV161" s="187" t="s">
        <v>391</v>
      </c>
      <c r="AW161" s="187" t="s">
        <v>392</v>
      </c>
      <c r="AX161" s="187" t="s">
        <v>393</v>
      </c>
      <c r="AY161" s="187">
        <v>77077</v>
      </c>
      <c r="AZ161" s="188">
        <v>48200000000</v>
      </c>
      <c r="BA161" s="187" t="s">
        <v>394</v>
      </c>
      <c r="BB161" s="187" t="s">
        <v>395</v>
      </c>
      <c r="BC161" s="187">
        <v>161370</v>
      </c>
      <c r="BD161" s="187">
        <v>2990</v>
      </c>
      <c r="BE161" s="187" t="s">
        <v>396</v>
      </c>
      <c r="BF161" s="187" t="s">
        <v>396</v>
      </c>
      <c r="BG161" s="187" t="s">
        <v>396</v>
      </c>
    </row>
    <row r="162" spans="1:59">
      <c r="A162" s="187">
        <v>437061</v>
      </c>
      <c r="B162" s="187">
        <v>18081801</v>
      </c>
      <c r="C162" s="187">
        <v>2021</v>
      </c>
      <c r="D162" s="187" t="s">
        <v>380</v>
      </c>
      <c r="E162" s="187">
        <v>15</v>
      </c>
      <c r="F162" s="187" t="s">
        <v>381</v>
      </c>
      <c r="G162" s="187" t="s">
        <v>382</v>
      </c>
      <c r="H162" s="187" t="s">
        <v>468</v>
      </c>
      <c r="I162" s="187" t="s">
        <v>409</v>
      </c>
      <c r="J162" s="187">
        <v>29.758150000000001</v>
      </c>
      <c r="K162" s="187">
        <v>-95.606300000000005</v>
      </c>
      <c r="L162" s="187" t="s">
        <v>385</v>
      </c>
      <c r="M162" s="187" t="s">
        <v>386</v>
      </c>
      <c r="N162" s="187" t="s">
        <v>425</v>
      </c>
      <c r="O162" s="187" t="s">
        <v>388</v>
      </c>
      <c r="P162" s="187" t="s">
        <v>389</v>
      </c>
      <c r="Q162" s="187" t="s">
        <v>102</v>
      </c>
      <c r="R162" s="187" t="s">
        <v>390</v>
      </c>
      <c r="S162" s="187">
        <v>0</v>
      </c>
      <c r="T162" s="187">
        <v>0</v>
      </c>
      <c r="U162" s="187">
        <v>0</v>
      </c>
      <c r="V162" s="187">
        <v>0</v>
      </c>
      <c r="W162" s="187">
        <v>0</v>
      </c>
      <c r="X162" s="187">
        <v>2</v>
      </c>
      <c r="Y162" s="187">
        <v>1</v>
      </c>
      <c r="Z162" s="187">
        <v>0</v>
      </c>
      <c r="AA162" s="187">
        <v>0</v>
      </c>
      <c r="AB162" s="187">
        <v>0</v>
      </c>
      <c r="AC162" s="187">
        <v>0</v>
      </c>
      <c r="AD162" s="187">
        <v>2</v>
      </c>
      <c r="AE162" s="187">
        <v>0</v>
      </c>
      <c r="AF162" s="187">
        <v>1</v>
      </c>
      <c r="AG162" s="187">
        <v>0</v>
      </c>
      <c r="AH162" s="187">
        <v>0</v>
      </c>
      <c r="AI162" s="187">
        <v>0</v>
      </c>
      <c r="AJ162" s="187">
        <v>0</v>
      </c>
      <c r="AK162" s="187">
        <v>0</v>
      </c>
      <c r="AL162" s="187">
        <v>0</v>
      </c>
      <c r="AM162" s="187">
        <v>0</v>
      </c>
      <c r="AN162" s="187">
        <v>0</v>
      </c>
      <c r="AO162" s="187">
        <v>0</v>
      </c>
      <c r="AP162" s="187">
        <v>0</v>
      </c>
      <c r="AQ162" s="187">
        <v>0</v>
      </c>
      <c r="AR162" s="187">
        <v>0</v>
      </c>
      <c r="AS162" s="187">
        <v>0</v>
      </c>
      <c r="AT162" s="187">
        <v>0</v>
      </c>
      <c r="AU162" s="187" t="s">
        <v>52</v>
      </c>
      <c r="AV162" s="187" t="s">
        <v>391</v>
      </c>
      <c r="AW162" s="187" t="s">
        <v>392</v>
      </c>
      <c r="AX162" s="187" t="s">
        <v>393</v>
      </c>
      <c r="AY162" s="187">
        <v>77077</v>
      </c>
      <c r="AZ162" s="188">
        <v>48200000000</v>
      </c>
      <c r="BA162" s="187" t="s">
        <v>394</v>
      </c>
      <c r="BB162" s="187" t="s">
        <v>395</v>
      </c>
      <c r="BC162" s="187">
        <v>161590</v>
      </c>
      <c r="BD162" s="187">
        <v>2990</v>
      </c>
      <c r="BE162" s="187" t="s">
        <v>396</v>
      </c>
      <c r="BF162" s="187" t="s">
        <v>396</v>
      </c>
      <c r="BG162" s="187" t="s">
        <v>396</v>
      </c>
    </row>
    <row r="163" spans="1:59">
      <c r="A163" s="187">
        <v>442177</v>
      </c>
      <c r="B163" s="187">
        <v>18103198</v>
      </c>
      <c r="C163" s="187">
        <v>2021</v>
      </c>
      <c r="D163" s="187" t="s">
        <v>380</v>
      </c>
      <c r="E163" s="187">
        <v>11</v>
      </c>
      <c r="F163" s="187" t="s">
        <v>397</v>
      </c>
      <c r="G163" s="187" t="s">
        <v>382</v>
      </c>
      <c r="H163" s="187" t="s">
        <v>404</v>
      </c>
      <c r="I163" s="187" t="s">
        <v>398</v>
      </c>
      <c r="J163" s="187">
        <v>29.764520000000001</v>
      </c>
      <c r="K163" s="187">
        <v>-95.606300000000005</v>
      </c>
      <c r="L163" s="187" t="s">
        <v>385</v>
      </c>
      <c r="M163" s="187" t="s">
        <v>386</v>
      </c>
      <c r="N163" s="187" t="s">
        <v>425</v>
      </c>
      <c r="O163" s="187" t="s">
        <v>388</v>
      </c>
      <c r="P163" s="187" t="s">
        <v>389</v>
      </c>
      <c r="Q163" s="187" t="s">
        <v>102</v>
      </c>
      <c r="R163" s="187" t="s">
        <v>403</v>
      </c>
      <c r="S163" s="187">
        <v>0</v>
      </c>
      <c r="T163" s="187">
        <v>0</v>
      </c>
      <c r="U163" s="187">
        <v>0</v>
      </c>
      <c r="V163" s="187">
        <v>0</v>
      </c>
      <c r="W163" s="187">
        <v>0</v>
      </c>
      <c r="X163" s="187">
        <v>2</v>
      </c>
      <c r="Y163" s="187">
        <v>0</v>
      </c>
      <c r="Z163" s="187">
        <v>0</v>
      </c>
      <c r="AA163" s="187">
        <v>0</v>
      </c>
      <c r="AB163" s="187">
        <v>0</v>
      </c>
      <c r="AC163" s="187">
        <v>0</v>
      </c>
      <c r="AD163" s="187">
        <v>2</v>
      </c>
      <c r="AE163" s="187">
        <v>0</v>
      </c>
      <c r="AF163" s="187">
        <v>0</v>
      </c>
      <c r="AG163" s="187">
        <v>0</v>
      </c>
      <c r="AH163" s="187">
        <v>0</v>
      </c>
      <c r="AI163" s="187">
        <v>0</v>
      </c>
      <c r="AJ163" s="187">
        <v>0</v>
      </c>
      <c r="AK163" s="187">
        <v>0</v>
      </c>
      <c r="AL163" s="187">
        <v>0</v>
      </c>
      <c r="AM163" s="187">
        <v>0</v>
      </c>
      <c r="AN163" s="187">
        <v>0</v>
      </c>
      <c r="AO163" s="187">
        <v>0</v>
      </c>
      <c r="AP163" s="187">
        <v>0</v>
      </c>
      <c r="AQ163" s="187">
        <v>0</v>
      </c>
      <c r="AR163" s="187">
        <v>0</v>
      </c>
      <c r="AS163" s="187">
        <v>0</v>
      </c>
      <c r="AT163" s="187">
        <v>0</v>
      </c>
      <c r="AU163" s="187" t="s">
        <v>52</v>
      </c>
      <c r="AV163" s="187" t="s">
        <v>391</v>
      </c>
      <c r="AW163" s="187" t="s">
        <v>392</v>
      </c>
      <c r="AX163" s="187" t="s">
        <v>393</v>
      </c>
      <c r="AY163" s="187">
        <v>77079</v>
      </c>
      <c r="AZ163" s="188">
        <v>48200000000</v>
      </c>
      <c r="BA163" s="187" t="s">
        <v>394</v>
      </c>
      <c r="BB163" s="187" t="s">
        <v>395</v>
      </c>
      <c r="BC163" s="187">
        <v>161810</v>
      </c>
      <c r="BD163" s="187">
        <v>2990</v>
      </c>
      <c r="BE163" s="187" t="s">
        <v>396</v>
      </c>
      <c r="BF163" s="187" t="s">
        <v>396</v>
      </c>
      <c r="BG163" s="187" t="s">
        <v>396</v>
      </c>
    </row>
    <row r="164" spans="1:59">
      <c r="A164" s="187">
        <v>442679</v>
      </c>
      <c r="B164" s="187">
        <v>18105472</v>
      </c>
      <c r="C164" s="187">
        <v>2021</v>
      </c>
      <c r="D164" s="187" t="s">
        <v>380</v>
      </c>
      <c r="E164" s="187">
        <v>10</v>
      </c>
      <c r="F164" s="187" t="s">
        <v>397</v>
      </c>
      <c r="G164" s="187" t="s">
        <v>382</v>
      </c>
      <c r="H164" s="187" t="s">
        <v>404</v>
      </c>
      <c r="I164" s="187" t="s">
        <v>415</v>
      </c>
      <c r="J164" s="187">
        <v>29.77009</v>
      </c>
      <c r="K164" s="187">
        <v>-95.606300000000005</v>
      </c>
      <c r="L164" s="187" t="s">
        <v>405</v>
      </c>
      <c r="M164" s="187" t="s">
        <v>386</v>
      </c>
      <c r="N164" s="187" t="s">
        <v>401</v>
      </c>
      <c r="O164" s="187" t="s">
        <v>388</v>
      </c>
      <c r="P164" s="187" t="s">
        <v>389</v>
      </c>
      <c r="Q164" s="187" t="s">
        <v>106</v>
      </c>
      <c r="R164" s="187" t="s">
        <v>403</v>
      </c>
      <c r="S164" s="187">
        <v>0</v>
      </c>
      <c r="T164" s="187">
        <v>0</v>
      </c>
      <c r="U164" s="187">
        <v>0</v>
      </c>
      <c r="V164" s="187">
        <v>0</v>
      </c>
      <c r="W164" s="187">
        <v>0</v>
      </c>
      <c r="X164" s="187">
        <v>1</v>
      </c>
      <c r="Y164" s="187">
        <v>1</v>
      </c>
      <c r="Z164" s="187">
        <v>0</v>
      </c>
      <c r="AA164" s="187">
        <v>0</v>
      </c>
      <c r="AB164" s="187">
        <v>0</v>
      </c>
      <c r="AC164" s="187">
        <v>0</v>
      </c>
      <c r="AD164" s="187">
        <v>1</v>
      </c>
      <c r="AE164" s="187">
        <v>0</v>
      </c>
      <c r="AF164" s="187">
        <v>1</v>
      </c>
      <c r="AG164" s="187">
        <v>0</v>
      </c>
      <c r="AH164" s="187">
        <v>0</v>
      </c>
      <c r="AI164" s="187">
        <v>0</v>
      </c>
      <c r="AJ164" s="187">
        <v>0</v>
      </c>
      <c r="AK164" s="187">
        <v>0</v>
      </c>
      <c r="AL164" s="187">
        <v>0</v>
      </c>
      <c r="AM164" s="187">
        <v>0</v>
      </c>
      <c r="AN164" s="187">
        <v>0</v>
      </c>
      <c r="AO164" s="187">
        <v>0</v>
      </c>
      <c r="AP164" s="187">
        <v>0</v>
      </c>
      <c r="AQ164" s="187">
        <v>0</v>
      </c>
      <c r="AR164" s="187">
        <v>0</v>
      </c>
      <c r="AS164" s="187">
        <v>0</v>
      </c>
      <c r="AT164" s="187">
        <v>0</v>
      </c>
      <c r="AU164" s="187" t="s">
        <v>52</v>
      </c>
      <c r="AV164" s="187" t="s">
        <v>391</v>
      </c>
      <c r="AW164" s="187" t="s">
        <v>392</v>
      </c>
      <c r="AX164" s="187" t="s">
        <v>393</v>
      </c>
      <c r="AY164" s="187">
        <v>77079</v>
      </c>
      <c r="AZ164" s="188">
        <v>48200000000</v>
      </c>
      <c r="BA164" s="187" t="s">
        <v>394</v>
      </c>
      <c r="BB164" s="187" t="s">
        <v>395</v>
      </c>
      <c r="BC164" s="187">
        <v>162030</v>
      </c>
      <c r="BD164" s="187">
        <v>2990</v>
      </c>
      <c r="BE164" s="187" t="s">
        <v>396</v>
      </c>
      <c r="BF164" s="187" t="s">
        <v>396</v>
      </c>
      <c r="BG164" s="187" t="s">
        <v>396</v>
      </c>
    </row>
    <row r="165" spans="1:59">
      <c r="A165" s="187">
        <v>444377</v>
      </c>
      <c r="B165" s="187">
        <v>18112527</v>
      </c>
      <c r="C165" s="187">
        <v>2021</v>
      </c>
      <c r="D165" s="189">
        <v>44233</v>
      </c>
      <c r="E165" s="187">
        <v>15</v>
      </c>
      <c r="F165" s="187" t="s">
        <v>426</v>
      </c>
      <c r="G165" s="187" t="s">
        <v>382</v>
      </c>
      <c r="H165" s="187" t="s">
        <v>404</v>
      </c>
      <c r="I165" s="187" t="s">
        <v>384</v>
      </c>
      <c r="J165" s="187">
        <v>29.77007</v>
      </c>
      <c r="K165" s="187">
        <v>-95.606300000000005</v>
      </c>
      <c r="L165" s="187" t="s">
        <v>405</v>
      </c>
      <c r="M165" s="187" t="s">
        <v>386</v>
      </c>
      <c r="N165" s="187" t="s">
        <v>425</v>
      </c>
      <c r="O165" s="187" t="s">
        <v>388</v>
      </c>
      <c r="P165" s="187" t="s">
        <v>389</v>
      </c>
      <c r="Q165" s="187" t="s">
        <v>102</v>
      </c>
      <c r="R165" s="187" t="s">
        <v>433</v>
      </c>
      <c r="S165" s="187">
        <v>0</v>
      </c>
      <c r="T165" s="187">
        <v>0</v>
      </c>
      <c r="U165" s="187">
        <v>0</v>
      </c>
      <c r="V165" s="187">
        <v>0</v>
      </c>
      <c r="W165" s="187">
        <v>0</v>
      </c>
      <c r="X165" s="187">
        <v>2</v>
      </c>
      <c r="Y165" s="187">
        <v>0</v>
      </c>
      <c r="Z165" s="187">
        <v>0</v>
      </c>
      <c r="AA165" s="187">
        <v>0</v>
      </c>
      <c r="AB165" s="187">
        <v>0</v>
      </c>
      <c r="AC165" s="187">
        <v>0</v>
      </c>
      <c r="AD165" s="187">
        <v>2</v>
      </c>
      <c r="AE165" s="187">
        <v>0</v>
      </c>
      <c r="AF165" s="187">
        <v>0</v>
      </c>
      <c r="AG165" s="187">
        <v>0</v>
      </c>
      <c r="AH165" s="187">
        <v>0</v>
      </c>
      <c r="AI165" s="187">
        <v>0</v>
      </c>
      <c r="AJ165" s="187">
        <v>0</v>
      </c>
      <c r="AK165" s="187">
        <v>0</v>
      </c>
      <c r="AL165" s="187">
        <v>0</v>
      </c>
      <c r="AM165" s="187">
        <v>0</v>
      </c>
      <c r="AN165" s="187">
        <v>0</v>
      </c>
      <c r="AO165" s="187">
        <v>0</v>
      </c>
      <c r="AP165" s="187">
        <v>0</v>
      </c>
      <c r="AQ165" s="187">
        <v>0</v>
      </c>
      <c r="AR165" s="187">
        <v>0</v>
      </c>
      <c r="AS165" s="187">
        <v>0</v>
      </c>
      <c r="AT165" s="187">
        <v>0</v>
      </c>
      <c r="AU165" s="187" t="s">
        <v>52</v>
      </c>
      <c r="AV165" s="187" t="s">
        <v>391</v>
      </c>
      <c r="AW165" s="187" t="s">
        <v>392</v>
      </c>
      <c r="AX165" s="187" t="s">
        <v>393</v>
      </c>
      <c r="AY165" s="187">
        <v>77079</v>
      </c>
      <c r="AZ165" s="188">
        <v>48200000000</v>
      </c>
      <c r="BA165" s="187" t="s">
        <v>394</v>
      </c>
      <c r="BB165" s="187" t="s">
        <v>395</v>
      </c>
      <c r="BC165" s="187">
        <v>162030</v>
      </c>
      <c r="BD165" s="187">
        <v>2990</v>
      </c>
      <c r="BE165" s="187" t="s">
        <v>396</v>
      </c>
      <c r="BF165" s="187" t="s">
        <v>396</v>
      </c>
      <c r="BG165" s="187" t="s">
        <v>396</v>
      </c>
    </row>
    <row r="166" spans="1:59">
      <c r="A166" s="187">
        <v>444403</v>
      </c>
      <c r="B166" s="187">
        <v>18112689</v>
      </c>
      <c r="C166" s="187">
        <v>2021</v>
      </c>
      <c r="D166" s="187" t="s">
        <v>380</v>
      </c>
      <c r="E166" s="187">
        <v>12</v>
      </c>
      <c r="F166" s="187" t="s">
        <v>414</v>
      </c>
      <c r="G166" s="187" t="s">
        <v>382</v>
      </c>
      <c r="H166" s="187" t="s">
        <v>404</v>
      </c>
      <c r="I166" s="187" t="s">
        <v>422</v>
      </c>
      <c r="J166" s="187">
        <v>29.769929999999999</v>
      </c>
      <c r="K166" s="187">
        <v>-95.606300000000005</v>
      </c>
      <c r="L166" s="187" t="s">
        <v>405</v>
      </c>
      <c r="M166" s="187" t="s">
        <v>386</v>
      </c>
      <c r="N166" s="187" t="s">
        <v>425</v>
      </c>
      <c r="O166" s="187" t="s">
        <v>388</v>
      </c>
      <c r="P166" s="187" t="s">
        <v>389</v>
      </c>
      <c r="Q166" s="187" t="s">
        <v>105</v>
      </c>
      <c r="R166" s="187" t="s">
        <v>428</v>
      </c>
      <c r="S166" s="187">
        <v>0</v>
      </c>
      <c r="T166" s="187">
        <v>0</v>
      </c>
      <c r="U166" s="187">
        <v>0</v>
      </c>
      <c r="V166" s="187">
        <v>0</v>
      </c>
      <c r="W166" s="187">
        <v>0</v>
      </c>
      <c r="X166" s="187">
        <v>3</v>
      </c>
      <c r="Y166" s="187">
        <v>0</v>
      </c>
      <c r="Z166" s="187">
        <v>0</v>
      </c>
      <c r="AA166" s="187">
        <v>0</v>
      </c>
      <c r="AB166" s="187">
        <v>0</v>
      </c>
      <c r="AC166" s="187">
        <v>0</v>
      </c>
      <c r="AD166" s="187">
        <v>3</v>
      </c>
      <c r="AE166" s="187">
        <v>0</v>
      </c>
      <c r="AF166" s="187">
        <v>0</v>
      </c>
      <c r="AG166" s="187">
        <v>0</v>
      </c>
      <c r="AH166" s="187">
        <v>0</v>
      </c>
      <c r="AI166" s="187">
        <v>0</v>
      </c>
      <c r="AJ166" s="187">
        <v>0</v>
      </c>
      <c r="AK166" s="187">
        <v>0</v>
      </c>
      <c r="AL166" s="187">
        <v>0</v>
      </c>
      <c r="AM166" s="187">
        <v>0</v>
      </c>
      <c r="AN166" s="187">
        <v>0</v>
      </c>
      <c r="AO166" s="187">
        <v>0</v>
      </c>
      <c r="AP166" s="187">
        <v>0</v>
      </c>
      <c r="AQ166" s="187">
        <v>0</v>
      </c>
      <c r="AR166" s="187">
        <v>0</v>
      </c>
      <c r="AS166" s="187">
        <v>0</v>
      </c>
      <c r="AT166" s="187">
        <v>0</v>
      </c>
      <c r="AU166" s="187" t="s">
        <v>52</v>
      </c>
      <c r="AV166" s="187" t="s">
        <v>391</v>
      </c>
      <c r="AW166" s="187" t="s">
        <v>392</v>
      </c>
      <c r="AX166" s="187" t="s">
        <v>393</v>
      </c>
      <c r="AY166" s="187">
        <v>77079</v>
      </c>
      <c r="AZ166" s="188">
        <v>48200000000</v>
      </c>
      <c r="BA166" s="187" t="s">
        <v>394</v>
      </c>
      <c r="BB166" s="187" t="s">
        <v>395</v>
      </c>
      <c r="BC166" s="187">
        <v>162030</v>
      </c>
      <c r="BD166" s="187">
        <v>2990</v>
      </c>
      <c r="BE166" s="187" t="s">
        <v>396</v>
      </c>
      <c r="BF166" s="187" t="s">
        <v>396</v>
      </c>
      <c r="BG166" s="187" t="s">
        <v>396</v>
      </c>
    </row>
    <row r="167" spans="1:59">
      <c r="A167" s="187">
        <v>450291</v>
      </c>
      <c r="B167" s="187">
        <v>18137910</v>
      </c>
      <c r="C167" s="187">
        <v>2021</v>
      </c>
      <c r="D167" s="189">
        <v>44261</v>
      </c>
      <c r="E167" s="187">
        <v>12</v>
      </c>
      <c r="F167" s="187" t="s">
        <v>426</v>
      </c>
      <c r="G167" s="187" t="s">
        <v>382</v>
      </c>
      <c r="H167" s="187" t="s">
        <v>404</v>
      </c>
      <c r="I167" s="187" t="s">
        <v>415</v>
      </c>
      <c r="J167" s="187">
        <v>29.76979</v>
      </c>
      <c r="K167" s="187">
        <v>-95.606300000000005</v>
      </c>
      <c r="L167" s="187" t="s">
        <v>385</v>
      </c>
      <c r="M167" s="187" t="s">
        <v>386</v>
      </c>
      <c r="N167" s="187" t="s">
        <v>425</v>
      </c>
      <c r="O167" s="187" t="s">
        <v>388</v>
      </c>
      <c r="P167" s="187" t="s">
        <v>389</v>
      </c>
      <c r="Q167" s="187" t="s">
        <v>102</v>
      </c>
      <c r="R167" s="187" t="s">
        <v>469</v>
      </c>
      <c r="S167" s="187">
        <v>0</v>
      </c>
      <c r="T167" s="187">
        <v>0</v>
      </c>
      <c r="U167" s="187">
        <v>0</v>
      </c>
      <c r="V167" s="187">
        <v>0</v>
      </c>
      <c r="W167" s="187">
        <v>0</v>
      </c>
      <c r="X167" s="187">
        <v>1</v>
      </c>
      <c r="Y167" s="187">
        <v>1</v>
      </c>
      <c r="Z167" s="187">
        <v>0</v>
      </c>
      <c r="AA167" s="187">
        <v>0</v>
      </c>
      <c r="AB167" s="187">
        <v>0</v>
      </c>
      <c r="AC167" s="187">
        <v>0</v>
      </c>
      <c r="AD167" s="187">
        <v>1</v>
      </c>
      <c r="AE167" s="187">
        <v>0</v>
      </c>
      <c r="AF167" s="187">
        <v>1</v>
      </c>
      <c r="AG167" s="187">
        <v>0</v>
      </c>
      <c r="AH167" s="187">
        <v>0</v>
      </c>
      <c r="AI167" s="187">
        <v>0</v>
      </c>
      <c r="AJ167" s="187">
        <v>0</v>
      </c>
      <c r="AK167" s="187">
        <v>0</v>
      </c>
      <c r="AL167" s="187">
        <v>0</v>
      </c>
      <c r="AM167" s="187">
        <v>0</v>
      </c>
      <c r="AN167" s="187">
        <v>0</v>
      </c>
      <c r="AO167" s="187">
        <v>0</v>
      </c>
      <c r="AP167" s="187">
        <v>0</v>
      </c>
      <c r="AQ167" s="187">
        <v>0</v>
      </c>
      <c r="AR167" s="187">
        <v>0</v>
      </c>
      <c r="AS167" s="187">
        <v>0</v>
      </c>
      <c r="AT167" s="187">
        <v>0</v>
      </c>
      <c r="AU167" s="187" t="s">
        <v>52</v>
      </c>
      <c r="AV167" s="187" t="s">
        <v>391</v>
      </c>
      <c r="AW167" s="187" t="s">
        <v>392</v>
      </c>
      <c r="AX167" s="187" t="s">
        <v>393</v>
      </c>
      <c r="AY167" s="187">
        <v>77079</v>
      </c>
      <c r="AZ167" s="188">
        <v>48200000000</v>
      </c>
      <c r="BA167" s="187" t="s">
        <v>394</v>
      </c>
      <c r="BB167" s="187" t="s">
        <v>395</v>
      </c>
      <c r="BC167" s="187">
        <v>162030</v>
      </c>
      <c r="BD167" s="187">
        <v>2990</v>
      </c>
      <c r="BE167" s="187" t="s">
        <v>396</v>
      </c>
      <c r="BF167" s="187" t="s">
        <v>396</v>
      </c>
      <c r="BG167" s="187" t="s">
        <v>396</v>
      </c>
    </row>
    <row r="168" spans="1:59">
      <c r="A168" s="187">
        <v>451696</v>
      </c>
      <c r="B168" s="187">
        <v>18143858</v>
      </c>
      <c r="C168" s="187">
        <v>2021</v>
      </c>
      <c r="D168" s="187" t="s">
        <v>380</v>
      </c>
      <c r="E168" s="187">
        <v>7</v>
      </c>
      <c r="F168" s="187" t="s">
        <v>414</v>
      </c>
      <c r="G168" s="187" t="s">
        <v>382</v>
      </c>
      <c r="H168" s="187" t="s">
        <v>404</v>
      </c>
      <c r="I168" s="187" t="s">
        <v>398</v>
      </c>
      <c r="J168" s="187">
        <v>29.76952</v>
      </c>
      <c r="K168" s="187">
        <v>-95.606300000000005</v>
      </c>
      <c r="L168" s="187" t="s">
        <v>399</v>
      </c>
      <c r="M168" s="187" t="s">
        <v>386</v>
      </c>
      <c r="N168" s="187" t="s">
        <v>412</v>
      </c>
      <c r="O168" s="187" t="s">
        <v>388</v>
      </c>
      <c r="P168" s="187" t="s">
        <v>342</v>
      </c>
      <c r="Q168" s="187" t="s">
        <v>106</v>
      </c>
      <c r="R168" s="187" t="s">
        <v>403</v>
      </c>
      <c r="S168" s="187">
        <v>0</v>
      </c>
      <c r="T168" s="187">
        <v>0</v>
      </c>
      <c r="U168" s="187">
        <v>0</v>
      </c>
      <c r="V168" s="187">
        <v>1</v>
      </c>
      <c r="W168" s="187">
        <v>1</v>
      </c>
      <c r="X168" s="187">
        <v>1</v>
      </c>
      <c r="Y168" s="187">
        <v>0</v>
      </c>
      <c r="Z168" s="187">
        <v>0</v>
      </c>
      <c r="AA168" s="187">
        <v>0</v>
      </c>
      <c r="AB168" s="187">
        <v>0</v>
      </c>
      <c r="AC168" s="187">
        <v>1</v>
      </c>
      <c r="AD168" s="187">
        <v>1</v>
      </c>
      <c r="AE168" s="187">
        <v>1</v>
      </c>
      <c r="AF168" s="187">
        <v>0</v>
      </c>
      <c r="AG168" s="187">
        <v>0</v>
      </c>
      <c r="AH168" s="187">
        <v>0</v>
      </c>
      <c r="AI168" s="187">
        <v>0</v>
      </c>
      <c r="AJ168" s="187">
        <v>0</v>
      </c>
      <c r="AK168" s="187">
        <v>0</v>
      </c>
      <c r="AL168" s="187">
        <v>0</v>
      </c>
      <c r="AM168" s="187">
        <v>0</v>
      </c>
      <c r="AN168" s="187">
        <v>0</v>
      </c>
      <c r="AO168" s="187">
        <v>0</v>
      </c>
      <c r="AP168" s="187">
        <v>0</v>
      </c>
      <c r="AQ168" s="187">
        <v>0</v>
      </c>
      <c r="AR168" s="187">
        <v>0</v>
      </c>
      <c r="AS168" s="187">
        <v>0</v>
      </c>
      <c r="AT168" s="187">
        <v>0</v>
      </c>
      <c r="AU168" s="187" t="s">
        <v>52</v>
      </c>
      <c r="AV168" s="187" t="s">
        <v>391</v>
      </c>
      <c r="AW168" s="187" t="s">
        <v>392</v>
      </c>
      <c r="AX168" s="187" t="s">
        <v>393</v>
      </c>
      <c r="AY168" s="187">
        <v>77079</v>
      </c>
      <c r="AZ168" s="188">
        <v>48200000000</v>
      </c>
      <c r="BA168" s="187" t="s">
        <v>394</v>
      </c>
      <c r="BB168" s="187" t="s">
        <v>395</v>
      </c>
      <c r="BC168" s="187">
        <v>162030</v>
      </c>
      <c r="BD168" s="187">
        <v>2990</v>
      </c>
      <c r="BE168" s="187" t="s">
        <v>396</v>
      </c>
      <c r="BF168" s="187" t="s">
        <v>396</v>
      </c>
      <c r="BG168" s="187" t="s">
        <v>396</v>
      </c>
    </row>
    <row r="169" spans="1:59">
      <c r="A169" s="187">
        <v>452665</v>
      </c>
      <c r="B169" s="187">
        <v>18147228</v>
      </c>
      <c r="C169" s="187">
        <v>2021</v>
      </c>
      <c r="D169" s="189">
        <v>44235</v>
      </c>
      <c r="E169" s="187">
        <v>5</v>
      </c>
      <c r="F169" s="187" t="s">
        <v>411</v>
      </c>
      <c r="G169" s="187" t="s">
        <v>382</v>
      </c>
      <c r="H169" s="187" t="s">
        <v>383</v>
      </c>
      <c r="I169" s="187" t="s">
        <v>422</v>
      </c>
      <c r="J169" s="187">
        <v>29.753969999999999</v>
      </c>
      <c r="K169" s="187">
        <v>-95.606200000000001</v>
      </c>
      <c r="L169" s="187" t="s">
        <v>385</v>
      </c>
      <c r="M169" s="187" t="s">
        <v>400</v>
      </c>
      <c r="N169" s="187" t="s">
        <v>401</v>
      </c>
      <c r="O169" s="187" t="s">
        <v>388</v>
      </c>
      <c r="P169" s="187" t="s">
        <v>342</v>
      </c>
      <c r="Q169" s="187" t="s">
        <v>103</v>
      </c>
      <c r="R169" s="187" t="s">
        <v>410</v>
      </c>
      <c r="S169" s="187">
        <v>0</v>
      </c>
      <c r="T169" s="187">
        <v>0</v>
      </c>
      <c r="U169" s="187">
        <v>0</v>
      </c>
      <c r="V169" s="187">
        <v>1</v>
      </c>
      <c r="W169" s="187">
        <v>1</v>
      </c>
      <c r="X169" s="187">
        <v>1</v>
      </c>
      <c r="Y169" s="187">
        <v>0</v>
      </c>
      <c r="Z169" s="187">
        <v>0</v>
      </c>
      <c r="AA169" s="187">
        <v>0</v>
      </c>
      <c r="AB169" s="187">
        <v>0</v>
      </c>
      <c r="AC169" s="187">
        <v>1</v>
      </c>
      <c r="AD169" s="187">
        <v>1</v>
      </c>
      <c r="AE169" s="187">
        <v>1</v>
      </c>
      <c r="AF169" s="187">
        <v>0</v>
      </c>
      <c r="AG169" s="187">
        <v>0</v>
      </c>
      <c r="AH169" s="187">
        <v>0</v>
      </c>
      <c r="AI169" s="187">
        <v>0</v>
      </c>
      <c r="AJ169" s="187">
        <v>0</v>
      </c>
      <c r="AK169" s="187">
        <v>0</v>
      </c>
      <c r="AL169" s="187">
        <v>0</v>
      </c>
      <c r="AM169" s="187">
        <v>0</v>
      </c>
      <c r="AN169" s="187">
        <v>0</v>
      </c>
      <c r="AO169" s="187">
        <v>0</v>
      </c>
      <c r="AP169" s="187">
        <v>0</v>
      </c>
      <c r="AQ169" s="187">
        <v>0</v>
      </c>
      <c r="AR169" s="187">
        <v>0</v>
      </c>
      <c r="AS169" s="187">
        <v>0</v>
      </c>
      <c r="AT169" s="187">
        <v>0</v>
      </c>
      <c r="AU169" s="187" t="s">
        <v>52</v>
      </c>
      <c r="AV169" s="187" t="s">
        <v>391</v>
      </c>
      <c r="AW169" s="187" t="s">
        <v>392</v>
      </c>
      <c r="AX169" s="187" t="s">
        <v>393</v>
      </c>
      <c r="AY169" s="187">
        <v>77077</v>
      </c>
      <c r="AZ169" s="188">
        <v>48200000000</v>
      </c>
      <c r="BA169" s="187" t="s">
        <v>394</v>
      </c>
      <c r="BB169" s="187" t="s">
        <v>395</v>
      </c>
      <c r="BC169" s="187">
        <v>161370</v>
      </c>
      <c r="BD169" s="187">
        <v>2990</v>
      </c>
      <c r="BE169" s="187" t="s">
        <v>396</v>
      </c>
      <c r="BF169" s="187" t="s">
        <v>396</v>
      </c>
      <c r="BG169" s="187" t="s">
        <v>396</v>
      </c>
    </row>
    <row r="170" spans="1:59">
      <c r="A170" s="187">
        <v>453001</v>
      </c>
      <c r="B170" s="187">
        <v>18148747</v>
      </c>
      <c r="C170" s="187">
        <v>2021</v>
      </c>
      <c r="D170" s="189">
        <v>44257</v>
      </c>
      <c r="E170" s="187">
        <v>1</v>
      </c>
      <c r="F170" s="187" t="s">
        <v>381</v>
      </c>
      <c r="G170" s="187" t="s">
        <v>382</v>
      </c>
      <c r="H170" s="187" t="s">
        <v>419</v>
      </c>
      <c r="I170" s="187" t="s">
        <v>422</v>
      </c>
      <c r="J170" s="187">
        <v>29.75384</v>
      </c>
      <c r="K170" s="187">
        <v>-95.606099999999998</v>
      </c>
      <c r="L170" s="187" t="s">
        <v>399</v>
      </c>
      <c r="M170" s="187" t="s">
        <v>400</v>
      </c>
      <c r="N170" s="187" t="s">
        <v>425</v>
      </c>
      <c r="O170" s="187" t="s">
        <v>388</v>
      </c>
      <c r="P170" s="187" t="s">
        <v>389</v>
      </c>
      <c r="Q170" s="187" t="s">
        <v>106</v>
      </c>
      <c r="R170" s="187" t="s">
        <v>470</v>
      </c>
      <c r="S170" s="187">
        <v>0</v>
      </c>
      <c r="T170" s="187">
        <v>0</v>
      </c>
      <c r="U170" s="187">
        <v>0</v>
      </c>
      <c r="V170" s="187">
        <v>0</v>
      </c>
      <c r="W170" s="187">
        <v>0</v>
      </c>
      <c r="X170" s="187">
        <v>2</v>
      </c>
      <c r="Y170" s="187">
        <v>0</v>
      </c>
      <c r="Z170" s="187">
        <v>0</v>
      </c>
      <c r="AA170" s="187">
        <v>0</v>
      </c>
      <c r="AB170" s="187">
        <v>0</v>
      </c>
      <c r="AC170" s="187">
        <v>0</v>
      </c>
      <c r="AD170" s="187">
        <v>2</v>
      </c>
      <c r="AE170" s="187">
        <v>0</v>
      </c>
      <c r="AF170" s="187">
        <v>0</v>
      </c>
      <c r="AG170" s="187">
        <v>0</v>
      </c>
      <c r="AH170" s="187">
        <v>0</v>
      </c>
      <c r="AI170" s="187">
        <v>0</v>
      </c>
      <c r="AJ170" s="187">
        <v>0</v>
      </c>
      <c r="AK170" s="187">
        <v>0</v>
      </c>
      <c r="AL170" s="187">
        <v>0</v>
      </c>
      <c r="AM170" s="187">
        <v>0</v>
      </c>
      <c r="AN170" s="187">
        <v>0</v>
      </c>
      <c r="AO170" s="187">
        <v>0</v>
      </c>
      <c r="AP170" s="187">
        <v>0</v>
      </c>
      <c r="AQ170" s="187">
        <v>0</v>
      </c>
      <c r="AR170" s="187">
        <v>0</v>
      </c>
      <c r="AS170" s="187">
        <v>0</v>
      </c>
      <c r="AT170" s="187">
        <v>0</v>
      </c>
      <c r="AU170" s="187" t="s">
        <v>52</v>
      </c>
      <c r="AV170" s="187" t="s">
        <v>391</v>
      </c>
      <c r="AW170" s="187" t="s">
        <v>392</v>
      </c>
      <c r="AX170" s="187" t="s">
        <v>393</v>
      </c>
      <c r="AY170" s="187">
        <v>77077</v>
      </c>
      <c r="AZ170" s="188">
        <v>48200000000</v>
      </c>
      <c r="BA170" s="187" t="s">
        <v>394</v>
      </c>
      <c r="BB170" s="187" t="s">
        <v>395</v>
      </c>
      <c r="BC170" s="187">
        <v>161370</v>
      </c>
      <c r="BD170" s="187">
        <v>2990</v>
      </c>
      <c r="BE170" s="187" t="s">
        <v>396</v>
      </c>
      <c r="BF170" s="187" t="s">
        <v>396</v>
      </c>
      <c r="BG170" s="187" t="s">
        <v>396</v>
      </c>
    </row>
    <row r="171" spans="1:59">
      <c r="A171" s="187">
        <v>453073</v>
      </c>
      <c r="B171" s="187">
        <v>18149340</v>
      </c>
      <c r="C171" s="187">
        <v>2021</v>
      </c>
      <c r="D171" s="187" t="s">
        <v>380</v>
      </c>
      <c r="E171" s="187">
        <v>16</v>
      </c>
      <c r="F171" s="187" t="s">
        <v>429</v>
      </c>
      <c r="G171" s="187" t="s">
        <v>382</v>
      </c>
      <c r="H171" s="187" t="s">
        <v>383</v>
      </c>
      <c r="I171" s="187" t="s">
        <v>409</v>
      </c>
      <c r="J171" s="187">
        <v>29.758150000000001</v>
      </c>
      <c r="K171" s="187">
        <v>-95.606300000000005</v>
      </c>
      <c r="L171" s="187" t="s">
        <v>399</v>
      </c>
      <c r="M171" s="187" t="s">
        <v>386</v>
      </c>
      <c r="N171" s="187" t="s">
        <v>401</v>
      </c>
      <c r="O171" s="187" t="s">
        <v>388</v>
      </c>
      <c r="P171" s="187" t="s">
        <v>389</v>
      </c>
      <c r="Q171" s="187" t="s">
        <v>103</v>
      </c>
      <c r="R171" s="187" t="s">
        <v>444</v>
      </c>
      <c r="S171" s="187">
        <v>0</v>
      </c>
      <c r="T171" s="187">
        <v>0</v>
      </c>
      <c r="U171" s="187">
        <v>0</v>
      </c>
      <c r="V171" s="187">
        <v>0</v>
      </c>
      <c r="W171" s="187">
        <v>0</v>
      </c>
      <c r="X171" s="187">
        <v>2</v>
      </c>
      <c r="Y171" s="187">
        <v>0</v>
      </c>
      <c r="Z171" s="187">
        <v>0</v>
      </c>
      <c r="AA171" s="187">
        <v>0</v>
      </c>
      <c r="AB171" s="187">
        <v>0</v>
      </c>
      <c r="AC171" s="187">
        <v>0</v>
      </c>
      <c r="AD171" s="187">
        <v>2</v>
      </c>
      <c r="AE171" s="187">
        <v>0</v>
      </c>
      <c r="AF171" s="187">
        <v>0</v>
      </c>
      <c r="AG171" s="187">
        <v>0</v>
      </c>
      <c r="AH171" s="187">
        <v>0</v>
      </c>
      <c r="AI171" s="187">
        <v>0</v>
      </c>
      <c r="AJ171" s="187">
        <v>0</v>
      </c>
      <c r="AK171" s="187">
        <v>0</v>
      </c>
      <c r="AL171" s="187">
        <v>0</v>
      </c>
      <c r="AM171" s="187">
        <v>0</v>
      </c>
      <c r="AN171" s="187">
        <v>0</v>
      </c>
      <c r="AO171" s="187">
        <v>0</v>
      </c>
      <c r="AP171" s="187">
        <v>0</v>
      </c>
      <c r="AQ171" s="187">
        <v>0</v>
      </c>
      <c r="AR171" s="187">
        <v>0</v>
      </c>
      <c r="AS171" s="187">
        <v>0</v>
      </c>
      <c r="AT171" s="187">
        <v>0</v>
      </c>
      <c r="AU171" s="187" t="s">
        <v>52</v>
      </c>
      <c r="AV171" s="187" t="s">
        <v>391</v>
      </c>
      <c r="AW171" s="187" t="s">
        <v>392</v>
      </c>
      <c r="AX171" s="187" t="s">
        <v>393</v>
      </c>
      <c r="AY171" s="187">
        <v>77077</v>
      </c>
      <c r="AZ171" s="188">
        <v>48200000000</v>
      </c>
      <c r="BA171" s="187" t="s">
        <v>394</v>
      </c>
      <c r="BB171" s="187" t="s">
        <v>395</v>
      </c>
      <c r="BC171" s="187">
        <v>161590</v>
      </c>
      <c r="BD171" s="187">
        <v>2990</v>
      </c>
      <c r="BE171" s="187" t="s">
        <v>396</v>
      </c>
      <c r="BF171" s="187" t="s">
        <v>396</v>
      </c>
      <c r="BG171" s="187" t="s">
        <v>396</v>
      </c>
    </row>
    <row r="172" spans="1:59">
      <c r="A172" s="187">
        <v>453419</v>
      </c>
      <c r="B172" s="187">
        <v>18150886</v>
      </c>
      <c r="C172" s="187">
        <v>2021</v>
      </c>
      <c r="D172" s="187" t="s">
        <v>380</v>
      </c>
      <c r="E172" s="187">
        <v>16</v>
      </c>
      <c r="F172" s="187" t="s">
        <v>397</v>
      </c>
      <c r="G172" s="187" t="s">
        <v>382</v>
      </c>
      <c r="H172" s="187" t="s">
        <v>408</v>
      </c>
      <c r="I172" s="187" t="s">
        <v>409</v>
      </c>
      <c r="J172" s="187">
        <v>29.77007</v>
      </c>
      <c r="K172" s="187">
        <v>-95.605999999999995</v>
      </c>
      <c r="L172" s="187" t="s">
        <v>385</v>
      </c>
      <c r="M172" s="187" t="s">
        <v>386</v>
      </c>
      <c r="N172" s="187" t="s">
        <v>425</v>
      </c>
      <c r="O172" s="187" t="s">
        <v>388</v>
      </c>
      <c r="P172" s="187" t="s">
        <v>389</v>
      </c>
      <c r="Q172" s="187" t="s">
        <v>105</v>
      </c>
      <c r="R172" s="187" t="s">
        <v>428</v>
      </c>
      <c r="S172" s="187">
        <v>0</v>
      </c>
      <c r="T172" s="187">
        <v>0</v>
      </c>
      <c r="U172" s="187">
        <v>0</v>
      </c>
      <c r="V172" s="187">
        <v>0</v>
      </c>
      <c r="W172" s="187">
        <v>0</v>
      </c>
      <c r="X172" s="187">
        <v>1</v>
      </c>
      <c r="Y172" s="187">
        <v>1</v>
      </c>
      <c r="Z172" s="187">
        <v>0</v>
      </c>
      <c r="AA172" s="187">
        <v>0</v>
      </c>
      <c r="AB172" s="187">
        <v>0</v>
      </c>
      <c r="AC172" s="187">
        <v>0</v>
      </c>
      <c r="AD172" s="187">
        <v>1</v>
      </c>
      <c r="AE172" s="187">
        <v>0</v>
      </c>
      <c r="AF172" s="187">
        <v>1</v>
      </c>
      <c r="AG172" s="187">
        <v>0</v>
      </c>
      <c r="AH172" s="187">
        <v>0</v>
      </c>
      <c r="AI172" s="187">
        <v>0</v>
      </c>
      <c r="AJ172" s="187">
        <v>0</v>
      </c>
      <c r="AK172" s="187">
        <v>0</v>
      </c>
      <c r="AL172" s="187">
        <v>0</v>
      </c>
      <c r="AM172" s="187">
        <v>0</v>
      </c>
      <c r="AN172" s="187">
        <v>0</v>
      </c>
      <c r="AO172" s="187">
        <v>0</v>
      </c>
      <c r="AP172" s="187">
        <v>0</v>
      </c>
      <c r="AQ172" s="187">
        <v>0</v>
      </c>
      <c r="AR172" s="187">
        <v>0</v>
      </c>
      <c r="AS172" s="187">
        <v>0</v>
      </c>
      <c r="AT172" s="187">
        <v>0</v>
      </c>
      <c r="AU172" s="187" t="s">
        <v>52</v>
      </c>
      <c r="AV172" s="187" t="s">
        <v>391</v>
      </c>
      <c r="AW172" s="187" t="s">
        <v>392</v>
      </c>
      <c r="AX172" s="187" t="s">
        <v>393</v>
      </c>
      <c r="AY172" s="187">
        <v>77079</v>
      </c>
      <c r="AZ172" s="188">
        <v>48200000000</v>
      </c>
      <c r="BA172" s="187" t="s">
        <v>394</v>
      </c>
      <c r="BB172" s="187" t="s">
        <v>395</v>
      </c>
      <c r="BC172" s="187">
        <v>162030</v>
      </c>
      <c r="BD172" s="187">
        <v>2990</v>
      </c>
      <c r="BE172" s="187" t="s">
        <v>396</v>
      </c>
      <c r="BF172" s="187" t="s">
        <v>396</v>
      </c>
      <c r="BG172" s="187" t="s">
        <v>396</v>
      </c>
    </row>
    <row r="173" spans="1:59">
      <c r="A173" s="187">
        <v>455541</v>
      </c>
      <c r="B173" s="187">
        <v>18159402</v>
      </c>
      <c r="C173" s="187">
        <v>2021</v>
      </c>
      <c r="D173" s="187" t="s">
        <v>380</v>
      </c>
      <c r="E173" s="187">
        <v>12</v>
      </c>
      <c r="F173" s="187" t="s">
        <v>429</v>
      </c>
      <c r="G173" s="187" t="s">
        <v>382</v>
      </c>
      <c r="H173" s="187" t="s">
        <v>383</v>
      </c>
      <c r="I173" s="187" t="s">
        <v>415</v>
      </c>
      <c r="J173" s="187">
        <v>29.75535</v>
      </c>
      <c r="K173" s="187">
        <v>-95.606200000000001</v>
      </c>
      <c r="L173" s="187" t="s">
        <v>399</v>
      </c>
      <c r="M173" s="187" t="s">
        <v>386</v>
      </c>
      <c r="N173" s="187" t="s">
        <v>425</v>
      </c>
      <c r="O173" s="187" t="s">
        <v>388</v>
      </c>
      <c r="P173" s="187" t="s">
        <v>389</v>
      </c>
      <c r="Q173" s="187" t="s">
        <v>102</v>
      </c>
      <c r="R173" s="187" t="s">
        <v>403</v>
      </c>
      <c r="S173" s="187">
        <v>0</v>
      </c>
      <c r="T173" s="187">
        <v>0</v>
      </c>
      <c r="U173" s="187">
        <v>0</v>
      </c>
      <c r="V173" s="187">
        <v>0</v>
      </c>
      <c r="W173" s="187">
        <v>0</v>
      </c>
      <c r="X173" s="187">
        <v>3</v>
      </c>
      <c r="Y173" s="187">
        <v>0</v>
      </c>
      <c r="Z173" s="187">
        <v>0</v>
      </c>
      <c r="AA173" s="187">
        <v>0</v>
      </c>
      <c r="AB173" s="187">
        <v>0</v>
      </c>
      <c r="AC173" s="187">
        <v>0</v>
      </c>
      <c r="AD173" s="187">
        <v>3</v>
      </c>
      <c r="AE173" s="187">
        <v>0</v>
      </c>
      <c r="AF173" s="187">
        <v>0</v>
      </c>
      <c r="AG173" s="187">
        <v>0</v>
      </c>
      <c r="AH173" s="187">
        <v>0</v>
      </c>
      <c r="AI173" s="187">
        <v>0</v>
      </c>
      <c r="AJ173" s="187">
        <v>0</v>
      </c>
      <c r="AK173" s="187">
        <v>0</v>
      </c>
      <c r="AL173" s="187">
        <v>0</v>
      </c>
      <c r="AM173" s="187">
        <v>0</v>
      </c>
      <c r="AN173" s="187">
        <v>0</v>
      </c>
      <c r="AO173" s="187">
        <v>0</v>
      </c>
      <c r="AP173" s="187">
        <v>0</v>
      </c>
      <c r="AQ173" s="187">
        <v>0</v>
      </c>
      <c r="AR173" s="187">
        <v>0</v>
      </c>
      <c r="AS173" s="187">
        <v>0</v>
      </c>
      <c r="AT173" s="187">
        <v>0</v>
      </c>
      <c r="AU173" s="187" t="s">
        <v>52</v>
      </c>
      <c r="AV173" s="187" t="s">
        <v>391</v>
      </c>
      <c r="AW173" s="187" t="s">
        <v>392</v>
      </c>
      <c r="AX173" s="187" t="s">
        <v>393</v>
      </c>
      <c r="AY173" s="187">
        <v>77077</v>
      </c>
      <c r="AZ173" s="188">
        <v>48200000000</v>
      </c>
      <c r="BA173" s="187" t="s">
        <v>394</v>
      </c>
      <c r="BB173" s="187" t="s">
        <v>395</v>
      </c>
      <c r="BC173" s="187">
        <v>161370</v>
      </c>
      <c r="BD173" s="187">
        <v>2990</v>
      </c>
      <c r="BE173" s="187" t="s">
        <v>396</v>
      </c>
      <c r="BF173" s="187" t="s">
        <v>396</v>
      </c>
      <c r="BG173" s="187" t="s">
        <v>396</v>
      </c>
    </row>
    <row r="174" spans="1:59">
      <c r="A174" s="187">
        <v>465215</v>
      </c>
      <c r="B174" s="187">
        <v>18199485</v>
      </c>
      <c r="C174" s="187">
        <v>2021</v>
      </c>
      <c r="D174" s="187" t="s">
        <v>380</v>
      </c>
      <c r="E174" s="187">
        <v>19</v>
      </c>
      <c r="F174" s="187" t="s">
        <v>421</v>
      </c>
      <c r="G174" s="187" t="s">
        <v>382</v>
      </c>
      <c r="H174" s="187" t="s">
        <v>404</v>
      </c>
      <c r="I174" s="187" t="s">
        <v>415</v>
      </c>
      <c r="J174" s="187">
        <v>29.770019999999999</v>
      </c>
      <c r="K174" s="187">
        <v>-95.606300000000005</v>
      </c>
      <c r="L174" s="187" t="s">
        <v>385</v>
      </c>
      <c r="M174" s="187" t="s">
        <v>400</v>
      </c>
      <c r="N174" s="187" t="s">
        <v>425</v>
      </c>
      <c r="O174" s="187" t="s">
        <v>388</v>
      </c>
      <c r="P174" s="187" t="s">
        <v>389</v>
      </c>
      <c r="Q174" s="187" t="s">
        <v>102</v>
      </c>
      <c r="R174" s="187" t="s">
        <v>428</v>
      </c>
      <c r="S174" s="187">
        <v>0</v>
      </c>
      <c r="T174" s="187">
        <v>0</v>
      </c>
      <c r="U174" s="187">
        <v>0</v>
      </c>
      <c r="V174" s="187">
        <v>0</v>
      </c>
      <c r="W174" s="187">
        <v>0</v>
      </c>
      <c r="X174" s="187">
        <v>2</v>
      </c>
      <c r="Y174" s="187">
        <v>0</v>
      </c>
      <c r="Z174" s="187">
        <v>0</v>
      </c>
      <c r="AA174" s="187">
        <v>0</v>
      </c>
      <c r="AB174" s="187">
        <v>0</v>
      </c>
      <c r="AC174" s="187">
        <v>0</v>
      </c>
      <c r="AD174" s="187">
        <v>2</v>
      </c>
      <c r="AE174" s="187">
        <v>0</v>
      </c>
      <c r="AF174" s="187">
        <v>0</v>
      </c>
      <c r="AG174" s="187">
        <v>0</v>
      </c>
      <c r="AH174" s="187">
        <v>0</v>
      </c>
      <c r="AI174" s="187">
        <v>0</v>
      </c>
      <c r="AJ174" s="187">
        <v>0</v>
      </c>
      <c r="AK174" s="187">
        <v>0</v>
      </c>
      <c r="AL174" s="187">
        <v>0</v>
      </c>
      <c r="AM174" s="187">
        <v>0</v>
      </c>
      <c r="AN174" s="187">
        <v>0</v>
      </c>
      <c r="AO174" s="187">
        <v>0</v>
      </c>
      <c r="AP174" s="187">
        <v>0</v>
      </c>
      <c r="AQ174" s="187">
        <v>0</v>
      </c>
      <c r="AR174" s="187">
        <v>0</v>
      </c>
      <c r="AS174" s="187">
        <v>0</v>
      </c>
      <c r="AT174" s="187">
        <v>0</v>
      </c>
      <c r="AU174" s="187" t="s">
        <v>52</v>
      </c>
      <c r="AV174" s="187" t="s">
        <v>391</v>
      </c>
      <c r="AW174" s="187" t="s">
        <v>392</v>
      </c>
      <c r="AX174" s="187" t="s">
        <v>393</v>
      </c>
      <c r="AY174" s="187">
        <v>77079</v>
      </c>
      <c r="AZ174" s="188">
        <v>48200000000</v>
      </c>
      <c r="BA174" s="187" t="s">
        <v>394</v>
      </c>
      <c r="BB174" s="187" t="s">
        <v>395</v>
      </c>
      <c r="BC174" s="187">
        <v>162030</v>
      </c>
      <c r="BD174" s="187">
        <v>2990</v>
      </c>
      <c r="BE174" s="187" t="s">
        <v>396</v>
      </c>
      <c r="BF174" s="187" t="s">
        <v>396</v>
      </c>
      <c r="BG174" s="187" t="s">
        <v>396</v>
      </c>
    </row>
    <row r="175" spans="1:59">
      <c r="A175" s="187">
        <v>468702</v>
      </c>
      <c r="B175" s="187">
        <v>18212350</v>
      </c>
      <c r="C175" s="187">
        <v>2021</v>
      </c>
      <c r="D175" s="189">
        <v>44256</v>
      </c>
      <c r="E175" s="187">
        <v>19</v>
      </c>
      <c r="F175" s="187" t="s">
        <v>411</v>
      </c>
      <c r="G175" s="187" t="s">
        <v>382</v>
      </c>
      <c r="H175" s="187" t="s">
        <v>383</v>
      </c>
      <c r="I175" s="187" t="s">
        <v>415</v>
      </c>
      <c r="J175" s="187">
        <v>29.7578</v>
      </c>
      <c r="K175" s="187">
        <v>-95.606099999999998</v>
      </c>
      <c r="L175" s="187" t="s">
        <v>399</v>
      </c>
      <c r="M175" s="187" t="s">
        <v>400</v>
      </c>
      <c r="N175" s="187" t="s">
        <v>425</v>
      </c>
      <c r="O175" s="187" t="s">
        <v>388</v>
      </c>
      <c r="P175" s="187" t="s">
        <v>389</v>
      </c>
      <c r="Q175" s="187" t="s">
        <v>102</v>
      </c>
      <c r="R175" s="187" t="s">
        <v>436</v>
      </c>
      <c r="S175" s="187">
        <v>0</v>
      </c>
      <c r="T175" s="187">
        <v>0</v>
      </c>
      <c r="U175" s="187">
        <v>0</v>
      </c>
      <c r="V175" s="187">
        <v>0</v>
      </c>
      <c r="W175" s="187">
        <v>0</v>
      </c>
      <c r="X175" s="187">
        <v>2</v>
      </c>
      <c r="Y175" s="187">
        <v>0</v>
      </c>
      <c r="Z175" s="187">
        <v>0</v>
      </c>
      <c r="AA175" s="187">
        <v>0</v>
      </c>
      <c r="AB175" s="187">
        <v>0</v>
      </c>
      <c r="AC175" s="187">
        <v>0</v>
      </c>
      <c r="AD175" s="187">
        <v>2</v>
      </c>
      <c r="AE175" s="187">
        <v>0</v>
      </c>
      <c r="AF175" s="187">
        <v>0</v>
      </c>
      <c r="AG175" s="187">
        <v>0</v>
      </c>
      <c r="AH175" s="187">
        <v>0</v>
      </c>
      <c r="AI175" s="187">
        <v>0</v>
      </c>
      <c r="AJ175" s="187">
        <v>0</v>
      </c>
      <c r="AK175" s="187">
        <v>0</v>
      </c>
      <c r="AL175" s="187">
        <v>0</v>
      </c>
      <c r="AM175" s="187">
        <v>0</v>
      </c>
      <c r="AN175" s="187">
        <v>0</v>
      </c>
      <c r="AO175" s="187">
        <v>0</v>
      </c>
      <c r="AP175" s="187">
        <v>0</v>
      </c>
      <c r="AQ175" s="187">
        <v>0</v>
      </c>
      <c r="AR175" s="187">
        <v>0</v>
      </c>
      <c r="AS175" s="187">
        <v>0</v>
      </c>
      <c r="AT175" s="187">
        <v>0</v>
      </c>
      <c r="AU175" s="187" t="s">
        <v>52</v>
      </c>
      <c r="AV175" s="187" t="s">
        <v>391</v>
      </c>
      <c r="AW175" s="187" t="s">
        <v>392</v>
      </c>
      <c r="AX175" s="187" t="s">
        <v>393</v>
      </c>
      <c r="AY175" s="187">
        <v>77077</v>
      </c>
      <c r="AZ175" s="188">
        <v>48200000000</v>
      </c>
      <c r="BA175" s="187" t="s">
        <v>394</v>
      </c>
      <c r="BB175" s="187" t="s">
        <v>395</v>
      </c>
      <c r="BC175" s="187">
        <v>161590</v>
      </c>
      <c r="BD175" s="187">
        <v>2990</v>
      </c>
      <c r="BE175" s="187" t="s">
        <v>396</v>
      </c>
      <c r="BF175" s="187" t="s">
        <v>396</v>
      </c>
      <c r="BG175" s="187" t="s">
        <v>396</v>
      </c>
    </row>
    <row r="176" spans="1:59">
      <c r="A176" s="187">
        <v>472549</v>
      </c>
      <c r="B176" s="187">
        <v>18228285</v>
      </c>
      <c r="C176" s="187">
        <v>2021</v>
      </c>
      <c r="D176" s="187" t="s">
        <v>380</v>
      </c>
      <c r="E176" s="187">
        <v>14</v>
      </c>
      <c r="F176" s="187" t="s">
        <v>411</v>
      </c>
      <c r="G176" s="187" t="s">
        <v>382</v>
      </c>
      <c r="H176" s="187" t="s">
        <v>383</v>
      </c>
      <c r="I176" s="187" t="s">
        <v>409</v>
      </c>
      <c r="J176" s="187">
        <v>29.753969999999999</v>
      </c>
      <c r="K176" s="187">
        <v>-95.606200000000001</v>
      </c>
      <c r="L176" s="187" t="s">
        <v>385</v>
      </c>
      <c r="M176" s="187" t="s">
        <v>386</v>
      </c>
      <c r="N176" s="187" t="s">
        <v>401</v>
      </c>
      <c r="O176" s="187" t="s">
        <v>388</v>
      </c>
      <c r="P176" s="187" t="s">
        <v>389</v>
      </c>
      <c r="Q176" s="187" t="s">
        <v>106</v>
      </c>
      <c r="R176" s="187" t="s">
        <v>433</v>
      </c>
      <c r="S176" s="187">
        <v>0</v>
      </c>
      <c r="T176" s="187">
        <v>0</v>
      </c>
      <c r="U176" s="187">
        <v>0</v>
      </c>
      <c r="V176" s="187">
        <v>0</v>
      </c>
      <c r="W176" s="187">
        <v>0</v>
      </c>
      <c r="X176" s="187">
        <v>2</v>
      </c>
      <c r="Y176" s="187">
        <v>1</v>
      </c>
      <c r="Z176" s="187">
        <v>0</v>
      </c>
      <c r="AA176" s="187">
        <v>0</v>
      </c>
      <c r="AB176" s="187">
        <v>0</v>
      </c>
      <c r="AC176" s="187">
        <v>0</v>
      </c>
      <c r="AD176" s="187">
        <v>2</v>
      </c>
      <c r="AE176" s="187">
        <v>0</v>
      </c>
      <c r="AF176" s="187">
        <v>1</v>
      </c>
      <c r="AG176" s="187">
        <v>0</v>
      </c>
      <c r="AH176" s="187">
        <v>0</v>
      </c>
      <c r="AI176" s="187">
        <v>0</v>
      </c>
      <c r="AJ176" s="187">
        <v>0</v>
      </c>
      <c r="AK176" s="187">
        <v>0</v>
      </c>
      <c r="AL176" s="187">
        <v>0</v>
      </c>
      <c r="AM176" s="187">
        <v>0</v>
      </c>
      <c r="AN176" s="187">
        <v>0</v>
      </c>
      <c r="AO176" s="187">
        <v>0</v>
      </c>
      <c r="AP176" s="187">
        <v>0</v>
      </c>
      <c r="AQ176" s="187">
        <v>0</v>
      </c>
      <c r="AR176" s="187">
        <v>0</v>
      </c>
      <c r="AS176" s="187">
        <v>0</v>
      </c>
      <c r="AT176" s="187">
        <v>0</v>
      </c>
      <c r="AU176" s="187" t="s">
        <v>52</v>
      </c>
      <c r="AV176" s="187" t="s">
        <v>391</v>
      </c>
      <c r="AW176" s="187" t="s">
        <v>392</v>
      </c>
      <c r="AX176" s="187" t="s">
        <v>393</v>
      </c>
      <c r="AY176" s="187">
        <v>77077</v>
      </c>
      <c r="AZ176" s="188">
        <v>48200000000</v>
      </c>
      <c r="BA176" s="187" t="s">
        <v>394</v>
      </c>
      <c r="BB176" s="187" t="s">
        <v>395</v>
      </c>
      <c r="BC176" s="187">
        <v>161370</v>
      </c>
      <c r="BD176" s="187">
        <v>2990</v>
      </c>
      <c r="BE176" s="187" t="s">
        <v>396</v>
      </c>
      <c r="BF176" s="187" t="s">
        <v>396</v>
      </c>
      <c r="BG176" s="187" t="s">
        <v>396</v>
      </c>
    </row>
    <row r="177" spans="1:59">
      <c r="A177" s="187">
        <v>472572</v>
      </c>
      <c r="B177" s="187">
        <v>18228405</v>
      </c>
      <c r="C177" s="187">
        <v>2021</v>
      </c>
      <c r="D177" s="187" t="s">
        <v>380</v>
      </c>
      <c r="E177" s="187">
        <v>14</v>
      </c>
      <c r="F177" s="187" t="s">
        <v>421</v>
      </c>
      <c r="G177" s="187" t="s">
        <v>382</v>
      </c>
      <c r="H177" s="187" t="s">
        <v>383</v>
      </c>
      <c r="I177" s="187" t="s">
        <v>415</v>
      </c>
      <c r="J177" s="187">
        <v>29.755410000000001</v>
      </c>
      <c r="K177" s="187">
        <v>-95.606200000000001</v>
      </c>
      <c r="L177" s="187" t="s">
        <v>385</v>
      </c>
      <c r="M177" s="187" t="s">
        <v>386</v>
      </c>
      <c r="N177" s="187" t="s">
        <v>425</v>
      </c>
      <c r="O177" s="187" t="s">
        <v>388</v>
      </c>
      <c r="P177" s="187" t="s">
        <v>389</v>
      </c>
      <c r="Q177" s="187" t="s">
        <v>102</v>
      </c>
      <c r="R177" s="187" t="s">
        <v>390</v>
      </c>
      <c r="S177" s="187">
        <v>0</v>
      </c>
      <c r="T177" s="187">
        <v>0</v>
      </c>
      <c r="U177" s="187">
        <v>0</v>
      </c>
      <c r="V177" s="187">
        <v>0</v>
      </c>
      <c r="W177" s="187">
        <v>0</v>
      </c>
      <c r="X177" s="187">
        <v>4</v>
      </c>
      <c r="Y177" s="187">
        <v>0</v>
      </c>
      <c r="Z177" s="187">
        <v>0</v>
      </c>
      <c r="AA177" s="187">
        <v>0</v>
      </c>
      <c r="AB177" s="187">
        <v>0</v>
      </c>
      <c r="AC177" s="187">
        <v>0</v>
      </c>
      <c r="AD177" s="187">
        <v>4</v>
      </c>
      <c r="AE177" s="187">
        <v>0</v>
      </c>
      <c r="AF177" s="187">
        <v>0</v>
      </c>
      <c r="AG177" s="187">
        <v>0</v>
      </c>
      <c r="AH177" s="187">
        <v>0</v>
      </c>
      <c r="AI177" s="187">
        <v>0</v>
      </c>
      <c r="AJ177" s="187">
        <v>0</v>
      </c>
      <c r="AK177" s="187">
        <v>0</v>
      </c>
      <c r="AL177" s="187">
        <v>0</v>
      </c>
      <c r="AM177" s="187">
        <v>0</v>
      </c>
      <c r="AN177" s="187">
        <v>0</v>
      </c>
      <c r="AO177" s="187">
        <v>0</v>
      </c>
      <c r="AP177" s="187">
        <v>0</v>
      </c>
      <c r="AQ177" s="187">
        <v>0</v>
      </c>
      <c r="AR177" s="187">
        <v>0</v>
      </c>
      <c r="AS177" s="187">
        <v>0</v>
      </c>
      <c r="AT177" s="187">
        <v>0</v>
      </c>
      <c r="AU177" s="187" t="s">
        <v>52</v>
      </c>
      <c r="AV177" s="187" t="s">
        <v>391</v>
      </c>
      <c r="AW177" s="187" t="s">
        <v>392</v>
      </c>
      <c r="AX177" s="187" t="s">
        <v>393</v>
      </c>
      <c r="AY177" s="187">
        <v>77077</v>
      </c>
      <c r="AZ177" s="188">
        <v>48200000000</v>
      </c>
      <c r="BA177" s="187" t="s">
        <v>394</v>
      </c>
      <c r="BB177" s="187" t="s">
        <v>395</v>
      </c>
      <c r="BC177" s="187">
        <v>161370</v>
      </c>
      <c r="BD177" s="187">
        <v>2990</v>
      </c>
      <c r="BE177" s="187" t="s">
        <v>396</v>
      </c>
      <c r="BF177" s="187" t="s">
        <v>396</v>
      </c>
      <c r="BG177" s="187" t="s">
        <v>396</v>
      </c>
    </row>
    <row r="178" spans="1:59">
      <c r="A178" s="187">
        <v>473055</v>
      </c>
      <c r="B178" s="187">
        <v>18229822</v>
      </c>
      <c r="C178" s="187">
        <v>2021</v>
      </c>
      <c r="D178" s="187" t="s">
        <v>380</v>
      </c>
      <c r="E178" s="187">
        <v>12</v>
      </c>
      <c r="F178" s="187" t="s">
        <v>426</v>
      </c>
      <c r="G178" s="187" t="s">
        <v>382</v>
      </c>
      <c r="H178" s="187" t="s">
        <v>408</v>
      </c>
      <c r="I178" s="187" t="s">
        <v>471</v>
      </c>
      <c r="J178" s="187">
        <v>29.76999</v>
      </c>
      <c r="K178" s="187">
        <v>-95.606300000000005</v>
      </c>
      <c r="L178" s="187" t="s">
        <v>385</v>
      </c>
      <c r="M178" s="187" t="s">
        <v>386</v>
      </c>
      <c r="N178" s="187" t="s">
        <v>416</v>
      </c>
      <c r="O178" s="187" t="s">
        <v>431</v>
      </c>
      <c r="P178" s="187" t="s">
        <v>389</v>
      </c>
      <c r="Q178" s="187" t="s">
        <v>102</v>
      </c>
      <c r="R178" s="187" t="s">
        <v>416</v>
      </c>
      <c r="S178" s="187">
        <v>0</v>
      </c>
      <c r="T178" s="187">
        <v>0</v>
      </c>
      <c r="U178" s="187">
        <v>0</v>
      </c>
      <c r="V178" s="187">
        <v>0</v>
      </c>
      <c r="W178" s="187">
        <v>0</v>
      </c>
      <c r="X178" s="187">
        <v>1</v>
      </c>
      <c r="Y178" s="187">
        <v>0</v>
      </c>
      <c r="Z178" s="187">
        <v>0</v>
      </c>
      <c r="AA178" s="187">
        <v>0</v>
      </c>
      <c r="AB178" s="187">
        <v>0</v>
      </c>
      <c r="AC178" s="187">
        <v>0</v>
      </c>
      <c r="AD178" s="187">
        <v>1</v>
      </c>
      <c r="AE178" s="187">
        <v>0</v>
      </c>
      <c r="AF178" s="187">
        <v>0</v>
      </c>
      <c r="AG178" s="187">
        <v>0</v>
      </c>
      <c r="AH178" s="187">
        <v>0</v>
      </c>
      <c r="AI178" s="187">
        <v>0</v>
      </c>
      <c r="AJ178" s="187">
        <v>0</v>
      </c>
      <c r="AK178" s="187">
        <v>0</v>
      </c>
      <c r="AL178" s="187">
        <v>0</v>
      </c>
      <c r="AM178" s="187">
        <v>0</v>
      </c>
      <c r="AN178" s="187">
        <v>0</v>
      </c>
      <c r="AO178" s="187">
        <v>0</v>
      </c>
      <c r="AP178" s="187">
        <v>0</v>
      </c>
      <c r="AQ178" s="187">
        <v>0</v>
      </c>
      <c r="AR178" s="187">
        <v>0</v>
      </c>
      <c r="AS178" s="187">
        <v>0</v>
      </c>
      <c r="AT178" s="187">
        <v>0</v>
      </c>
      <c r="AU178" s="187" t="s">
        <v>52</v>
      </c>
      <c r="AV178" s="187" t="s">
        <v>391</v>
      </c>
      <c r="AW178" s="187" t="s">
        <v>392</v>
      </c>
      <c r="AX178" s="187" t="s">
        <v>393</v>
      </c>
      <c r="AY178" s="187">
        <v>77079</v>
      </c>
      <c r="AZ178" s="188">
        <v>48200000000</v>
      </c>
      <c r="BA178" s="187" t="s">
        <v>394</v>
      </c>
      <c r="BB178" s="187" t="s">
        <v>395</v>
      </c>
      <c r="BC178" s="187">
        <v>162030</v>
      </c>
      <c r="BD178" s="187">
        <v>2990</v>
      </c>
      <c r="BE178" s="187" t="s">
        <v>396</v>
      </c>
      <c r="BF178" s="187" t="s">
        <v>396</v>
      </c>
      <c r="BG178" s="187" t="s">
        <v>396</v>
      </c>
    </row>
    <row r="179" spans="1:59">
      <c r="A179" s="187">
        <v>480986</v>
      </c>
      <c r="B179" s="187">
        <v>18261505</v>
      </c>
      <c r="C179" s="187">
        <v>2021</v>
      </c>
      <c r="D179" s="187" t="s">
        <v>380</v>
      </c>
      <c r="E179" s="187">
        <v>10</v>
      </c>
      <c r="F179" s="187" t="s">
        <v>397</v>
      </c>
      <c r="G179" s="187" t="s">
        <v>430</v>
      </c>
      <c r="H179" s="187" t="s">
        <v>408</v>
      </c>
      <c r="I179" s="187" t="s">
        <v>398</v>
      </c>
      <c r="J179" s="187">
        <v>29.76999</v>
      </c>
      <c r="K179" s="187">
        <v>-95.606300000000005</v>
      </c>
      <c r="L179" s="187" t="s">
        <v>385</v>
      </c>
      <c r="M179" s="187" t="s">
        <v>386</v>
      </c>
      <c r="N179" s="187" t="s">
        <v>418</v>
      </c>
      <c r="O179" s="187" t="s">
        <v>388</v>
      </c>
      <c r="P179" s="187" t="s">
        <v>389</v>
      </c>
      <c r="Q179" s="187" t="s">
        <v>102</v>
      </c>
      <c r="R179" s="187" t="s">
        <v>449</v>
      </c>
      <c r="S179" s="187">
        <v>0</v>
      </c>
      <c r="T179" s="187">
        <v>0</v>
      </c>
      <c r="U179" s="187">
        <v>0</v>
      </c>
      <c r="V179" s="187">
        <v>0</v>
      </c>
      <c r="W179" s="187">
        <v>0</v>
      </c>
      <c r="X179" s="187">
        <v>1</v>
      </c>
      <c r="Y179" s="187">
        <v>1</v>
      </c>
      <c r="Z179" s="187">
        <v>0</v>
      </c>
      <c r="AA179" s="187">
        <v>0</v>
      </c>
      <c r="AB179" s="187">
        <v>0</v>
      </c>
      <c r="AC179" s="187">
        <v>0</v>
      </c>
      <c r="AD179" s="187">
        <v>1</v>
      </c>
      <c r="AE179" s="187">
        <v>0</v>
      </c>
      <c r="AF179" s="187">
        <v>1</v>
      </c>
      <c r="AG179" s="187">
        <v>0</v>
      </c>
      <c r="AH179" s="187">
        <v>0</v>
      </c>
      <c r="AI179" s="187">
        <v>0</v>
      </c>
      <c r="AJ179" s="187">
        <v>0</v>
      </c>
      <c r="AK179" s="187">
        <v>0</v>
      </c>
      <c r="AL179" s="187">
        <v>0</v>
      </c>
      <c r="AM179" s="187">
        <v>0</v>
      </c>
      <c r="AN179" s="187">
        <v>0</v>
      </c>
      <c r="AO179" s="187">
        <v>0</v>
      </c>
      <c r="AP179" s="187">
        <v>0</v>
      </c>
      <c r="AQ179" s="187">
        <v>0</v>
      </c>
      <c r="AR179" s="187">
        <v>0</v>
      </c>
      <c r="AS179" s="187">
        <v>0</v>
      </c>
      <c r="AT179" s="187">
        <v>0</v>
      </c>
      <c r="AU179" s="187" t="s">
        <v>52</v>
      </c>
      <c r="AV179" s="187" t="s">
        <v>391</v>
      </c>
      <c r="AW179" s="187" t="s">
        <v>392</v>
      </c>
      <c r="AX179" s="187" t="s">
        <v>393</v>
      </c>
      <c r="AY179" s="187">
        <v>77079</v>
      </c>
      <c r="AZ179" s="188">
        <v>48200000000</v>
      </c>
      <c r="BA179" s="187" t="s">
        <v>394</v>
      </c>
      <c r="BB179" s="187" t="s">
        <v>395</v>
      </c>
      <c r="BC179" s="187">
        <v>162030</v>
      </c>
      <c r="BD179" s="187">
        <v>2990</v>
      </c>
      <c r="BE179" s="187" t="s">
        <v>396</v>
      </c>
      <c r="BF179" s="187" t="s">
        <v>396</v>
      </c>
      <c r="BG179" s="187" t="s">
        <v>396</v>
      </c>
    </row>
    <row r="180" spans="1:59">
      <c r="A180" s="187">
        <v>486331</v>
      </c>
      <c r="B180" s="187">
        <v>18281867</v>
      </c>
      <c r="C180" s="187">
        <v>2021</v>
      </c>
      <c r="D180" s="187" t="s">
        <v>380</v>
      </c>
      <c r="E180" s="187">
        <v>22</v>
      </c>
      <c r="F180" s="187" t="s">
        <v>414</v>
      </c>
      <c r="G180" s="187" t="s">
        <v>382</v>
      </c>
      <c r="H180" s="187" t="s">
        <v>383</v>
      </c>
      <c r="I180" s="187" t="s">
        <v>398</v>
      </c>
      <c r="J180" s="187">
        <v>29.753830000000001</v>
      </c>
      <c r="K180" s="187">
        <v>-95.606200000000001</v>
      </c>
      <c r="L180" s="187" t="s">
        <v>385</v>
      </c>
      <c r="M180" s="187" t="s">
        <v>400</v>
      </c>
      <c r="N180" s="187" t="s">
        <v>425</v>
      </c>
      <c r="O180" s="187" t="s">
        <v>388</v>
      </c>
      <c r="P180" s="187" t="s">
        <v>342</v>
      </c>
      <c r="Q180" s="187" t="s">
        <v>102</v>
      </c>
      <c r="R180" s="187" t="s">
        <v>403</v>
      </c>
      <c r="S180" s="187">
        <v>0</v>
      </c>
      <c r="T180" s="187">
        <v>0</v>
      </c>
      <c r="U180" s="187">
        <v>0</v>
      </c>
      <c r="V180" s="187">
        <v>1</v>
      </c>
      <c r="W180" s="187">
        <v>1</v>
      </c>
      <c r="X180" s="187">
        <v>2</v>
      </c>
      <c r="Y180" s="187">
        <v>0</v>
      </c>
      <c r="Z180" s="187">
        <v>0</v>
      </c>
      <c r="AA180" s="187">
        <v>0</v>
      </c>
      <c r="AB180" s="187">
        <v>0</v>
      </c>
      <c r="AC180" s="187">
        <v>1</v>
      </c>
      <c r="AD180" s="187">
        <v>2</v>
      </c>
      <c r="AE180" s="187">
        <v>1</v>
      </c>
      <c r="AF180" s="187">
        <v>0</v>
      </c>
      <c r="AG180" s="187">
        <v>0</v>
      </c>
      <c r="AH180" s="187">
        <v>0</v>
      </c>
      <c r="AI180" s="187">
        <v>0</v>
      </c>
      <c r="AJ180" s="187">
        <v>0</v>
      </c>
      <c r="AK180" s="187">
        <v>0</v>
      </c>
      <c r="AL180" s="187">
        <v>0</v>
      </c>
      <c r="AM180" s="187">
        <v>0</v>
      </c>
      <c r="AN180" s="187">
        <v>0</v>
      </c>
      <c r="AO180" s="187">
        <v>0</v>
      </c>
      <c r="AP180" s="187">
        <v>0</v>
      </c>
      <c r="AQ180" s="187">
        <v>0</v>
      </c>
      <c r="AR180" s="187">
        <v>0</v>
      </c>
      <c r="AS180" s="187">
        <v>0</v>
      </c>
      <c r="AT180" s="187">
        <v>0</v>
      </c>
      <c r="AU180" s="187" t="s">
        <v>52</v>
      </c>
      <c r="AV180" s="187" t="s">
        <v>391</v>
      </c>
      <c r="AW180" s="187" t="s">
        <v>392</v>
      </c>
      <c r="AX180" s="187" t="s">
        <v>393</v>
      </c>
      <c r="AY180" s="187">
        <v>77077</v>
      </c>
      <c r="AZ180" s="188">
        <v>48200000000</v>
      </c>
      <c r="BA180" s="187" t="s">
        <v>394</v>
      </c>
      <c r="BB180" s="187" t="s">
        <v>395</v>
      </c>
      <c r="BC180" s="187">
        <v>161370</v>
      </c>
      <c r="BD180" s="187">
        <v>2990</v>
      </c>
      <c r="BE180" s="187" t="s">
        <v>396</v>
      </c>
      <c r="BF180" s="187" t="s">
        <v>396</v>
      </c>
      <c r="BG180" s="187" t="s">
        <v>396</v>
      </c>
    </row>
    <row r="181" spans="1:59">
      <c r="A181" s="187">
        <v>486695</v>
      </c>
      <c r="B181" s="187">
        <v>18283004</v>
      </c>
      <c r="C181" s="187">
        <v>2021</v>
      </c>
      <c r="D181" s="187" t="s">
        <v>380</v>
      </c>
      <c r="E181" s="187">
        <v>12</v>
      </c>
      <c r="F181" s="187" t="s">
        <v>426</v>
      </c>
      <c r="G181" s="187" t="s">
        <v>382</v>
      </c>
      <c r="H181" s="187" t="s">
        <v>419</v>
      </c>
      <c r="I181" s="187" t="s">
        <v>415</v>
      </c>
      <c r="J181" s="187">
        <v>29.753969999999999</v>
      </c>
      <c r="K181" s="187">
        <v>-95.606200000000001</v>
      </c>
      <c r="L181" s="187" t="s">
        <v>405</v>
      </c>
      <c r="M181" s="187" t="s">
        <v>386</v>
      </c>
      <c r="N181" s="187" t="s">
        <v>401</v>
      </c>
      <c r="O181" s="187" t="s">
        <v>388</v>
      </c>
      <c r="P181" s="187" t="s">
        <v>389</v>
      </c>
      <c r="Q181" s="187" t="s">
        <v>103</v>
      </c>
      <c r="R181" s="187" t="s">
        <v>410</v>
      </c>
      <c r="S181" s="187">
        <v>0</v>
      </c>
      <c r="T181" s="187">
        <v>0</v>
      </c>
      <c r="U181" s="187">
        <v>0</v>
      </c>
      <c r="V181" s="187">
        <v>0</v>
      </c>
      <c r="W181" s="187">
        <v>0</v>
      </c>
      <c r="X181" s="187">
        <v>2</v>
      </c>
      <c r="Y181" s="187">
        <v>1</v>
      </c>
      <c r="Z181" s="187">
        <v>0</v>
      </c>
      <c r="AA181" s="187">
        <v>0</v>
      </c>
      <c r="AB181" s="187">
        <v>0</v>
      </c>
      <c r="AC181" s="187">
        <v>0</v>
      </c>
      <c r="AD181" s="187">
        <v>2</v>
      </c>
      <c r="AE181" s="187">
        <v>0</v>
      </c>
      <c r="AF181" s="187">
        <v>1</v>
      </c>
      <c r="AG181" s="187">
        <v>0</v>
      </c>
      <c r="AH181" s="187">
        <v>0</v>
      </c>
      <c r="AI181" s="187">
        <v>0</v>
      </c>
      <c r="AJ181" s="187">
        <v>0</v>
      </c>
      <c r="AK181" s="187">
        <v>0</v>
      </c>
      <c r="AL181" s="187">
        <v>0</v>
      </c>
      <c r="AM181" s="187">
        <v>0</v>
      </c>
      <c r="AN181" s="187">
        <v>0</v>
      </c>
      <c r="AO181" s="187">
        <v>0</v>
      </c>
      <c r="AP181" s="187">
        <v>0</v>
      </c>
      <c r="AQ181" s="187">
        <v>0</v>
      </c>
      <c r="AR181" s="187">
        <v>0</v>
      </c>
      <c r="AS181" s="187">
        <v>0</v>
      </c>
      <c r="AT181" s="187">
        <v>0</v>
      </c>
      <c r="AU181" s="187" t="s">
        <v>52</v>
      </c>
      <c r="AV181" s="187" t="s">
        <v>391</v>
      </c>
      <c r="AW181" s="187" t="s">
        <v>392</v>
      </c>
      <c r="AX181" s="187" t="s">
        <v>393</v>
      </c>
      <c r="AY181" s="187">
        <v>77077</v>
      </c>
      <c r="AZ181" s="188">
        <v>48200000000</v>
      </c>
      <c r="BA181" s="187" t="s">
        <v>394</v>
      </c>
      <c r="BB181" s="187" t="s">
        <v>395</v>
      </c>
      <c r="BC181" s="187">
        <v>161370</v>
      </c>
      <c r="BD181" s="187">
        <v>2990</v>
      </c>
      <c r="BE181" s="187" t="s">
        <v>396</v>
      </c>
      <c r="BF181" s="187" t="s">
        <v>396</v>
      </c>
      <c r="BG181" s="187" t="s">
        <v>396</v>
      </c>
    </row>
    <row r="182" spans="1:59">
      <c r="A182" s="187">
        <v>488610</v>
      </c>
      <c r="B182" s="187">
        <v>18291424</v>
      </c>
      <c r="C182" s="187">
        <v>2021</v>
      </c>
      <c r="D182" s="187" t="s">
        <v>380</v>
      </c>
      <c r="E182" s="187">
        <v>12</v>
      </c>
      <c r="F182" s="187" t="s">
        <v>414</v>
      </c>
      <c r="G182" s="187" t="s">
        <v>382</v>
      </c>
      <c r="H182" s="187" t="s">
        <v>419</v>
      </c>
      <c r="I182" s="187" t="s">
        <v>409</v>
      </c>
      <c r="J182" s="187">
        <v>29.753969999999999</v>
      </c>
      <c r="K182" s="187">
        <v>-95.606200000000001</v>
      </c>
      <c r="L182" s="187" t="s">
        <v>405</v>
      </c>
      <c r="M182" s="187" t="s">
        <v>386</v>
      </c>
      <c r="N182" s="187" t="s">
        <v>401</v>
      </c>
      <c r="O182" s="187" t="s">
        <v>388</v>
      </c>
      <c r="P182" s="187" t="s">
        <v>402</v>
      </c>
      <c r="Q182" s="187" t="s">
        <v>103</v>
      </c>
      <c r="R182" s="187" t="s">
        <v>410</v>
      </c>
      <c r="S182" s="187">
        <v>0</v>
      </c>
      <c r="T182" s="187">
        <v>0</v>
      </c>
      <c r="U182" s="187">
        <v>1</v>
      </c>
      <c r="V182" s="187">
        <v>2</v>
      </c>
      <c r="W182" s="187">
        <v>3</v>
      </c>
      <c r="X182" s="187">
        <v>0</v>
      </c>
      <c r="Y182" s="187">
        <v>0</v>
      </c>
      <c r="Z182" s="187">
        <v>0</v>
      </c>
      <c r="AA182" s="187">
        <v>0</v>
      </c>
      <c r="AB182" s="187">
        <v>1</v>
      </c>
      <c r="AC182" s="187">
        <v>2</v>
      </c>
      <c r="AD182" s="187">
        <v>0</v>
      </c>
      <c r="AE182" s="187">
        <v>3</v>
      </c>
      <c r="AF182" s="187">
        <v>0</v>
      </c>
      <c r="AG182" s="187">
        <v>0</v>
      </c>
      <c r="AH182" s="187">
        <v>0</v>
      </c>
      <c r="AI182" s="187">
        <v>0</v>
      </c>
      <c r="AJ182" s="187">
        <v>0</v>
      </c>
      <c r="AK182" s="187">
        <v>0</v>
      </c>
      <c r="AL182" s="187">
        <v>0</v>
      </c>
      <c r="AM182" s="187">
        <v>0</v>
      </c>
      <c r="AN182" s="187">
        <v>0</v>
      </c>
      <c r="AO182" s="187">
        <v>0</v>
      </c>
      <c r="AP182" s="187">
        <v>0</v>
      </c>
      <c r="AQ182" s="187">
        <v>0</v>
      </c>
      <c r="AR182" s="187">
        <v>0</v>
      </c>
      <c r="AS182" s="187">
        <v>0</v>
      </c>
      <c r="AT182" s="187">
        <v>0</v>
      </c>
      <c r="AU182" s="187" t="s">
        <v>52</v>
      </c>
      <c r="AV182" s="187" t="s">
        <v>391</v>
      </c>
      <c r="AW182" s="187" t="s">
        <v>392</v>
      </c>
      <c r="AX182" s="187" t="s">
        <v>393</v>
      </c>
      <c r="AY182" s="187">
        <v>77077</v>
      </c>
      <c r="AZ182" s="188">
        <v>48200000000</v>
      </c>
      <c r="BA182" s="187" t="s">
        <v>394</v>
      </c>
      <c r="BB182" s="187" t="s">
        <v>395</v>
      </c>
      <c r="BC182" s="187">
        <v>161370</v>
      </c>
      <c r="BD182" s="187">
        <v>2990</v>
      </c>
      <c r="BE182" s="187" t="s">
        <v>396</v>
      </c>
      <c r="BF182" s="187" t="s">
        <v>396</v>
      </c>
      <c r="BG182" s="187" t="s">
        <v>396</v>
      </c>
    </row>
    <row r="183" spans="1:59">
      <c r="A183" s="187">
        <v>490455</v>
      </c>
      <c r="B183" s="187">
        <v>18298583</v>
      </c>
      <c r="C183" s="187">
        <v>2021</v>
      </c>
      <c r="D183" s="189">
        <v>44354</v>
      </c>
      <c r="E183" s="187">
        <v>8</v>
      </c>
      <c r="F183" s="187" t="s">
        <v>411</v>
      </c>
      <c r="G183" s="187" t="s">
        <v>382</v>
      </c>
      <c r="H183" s="187" t="s">
        <v>419</v>
      </c>
      <c r="I183" s="187" t="s">
        <v>422</v>
      </c>
      <c r="J183" s="187">
        <v>29.753969999999999</v>
      </c>
      <c r="K183" s="187">
        <v>-95.606200000000001</v>
      </c>
      <c r="L183" s="187" t="s">
        <v>385</v>
      </c>
      <c r="M183" s="187" t="s">
        <v>386</v>
      </c>
      <c r="N183" s="187" t="s">
        <v>401</v>
      </c>
      <c r="O183" s="187" t="s">
        <v>388</v>
      </c>
      <c r="P183" s="187" t="s">
        <v>342</v>
      </c>
      <c r="Q183" s="187" t="s">
        <v>106</v>
      </c>
      <c r="R183" s="187" t="s">
        <v>472</v>
      </c>
      <c r="S183" s="187">
        <v>0</v>
      </c>
      <c r="T183" s="187">
        <v>0</v>
      </c>
      <c r="U183" s="187">
        <v>0</v>
      </c>
      <c r="V183" s="187">
        <v>2</v>
      </c>
      <c r="W183" s="187">
        <v>2</v>
      </c>
      <c r="X183" s="187">
        <v>3</v>
      </c>
      <c r="Y183" s="187">
        <v>0</v>
      </c>
      <c r="Z183" s="187">
        <v>0</v>
      </c>
      <c r="AA183" s="187">
        <v>0</v>
      </c>
      <c r="AB183" s="187">
        <v>0</v>
      </c>
      <c r="AC183" s="187">
        <v>2</v>
      </c>
      <c r="AD183" s="187">
        <v>3</v>
      </c>
      <c r="AE183" s="187">
        <v>2</v>
      </c>
      <c r="AF183" s="187">
        <v>0</v>
      </c>
      <c r="AG183" s="187">
        <v>0</v>
      </c>
      <c r="AH183" s="187">
        <v>0</v>
      </c>
      <c r="AI183" s="187">
        <v>0</v>
      </c>
      <c r="AJ183" s="187">
        <v>0</v>
      </c>
      <c r="AK183" s="187">
        <v>0</v>
      </c>
      <c r="AL183" s="187">
        <v>0</v>
      </c>
      <c r="AM183" s="187">
        <v>0</v>
      </c>
      <c r="AN183" s="187">
        <v>0</v>
      </c>
      <c r="AO183" s="187">
        <v>0</v>
      </c>
      <c r="AP183" s="187">
        <v>0</v>
      </c>
      <c r="AQ183" s="187">
        <v>0</v>
      </c>
      <c r="AR183" s="187">
        <v>0</v>
      </c>
      <c r="AS183" s="187">
        <v>0</v>
      </c>
      <c r="AT183" s="187">
        <v>0</v>
      </c>
      <c r="AU183" s="187" t="s">
        <v>52</v>
      </c>
      <c r="AV183" s="187" t="s">
        <v>391</v>
      </c>
      <c r="AW183" s="187" t="s">
        <v>392</v>
      </c>
      <c r="AX183" s="187" t="s">
        <v>393</v>
      </c>
      <c r="AY183" s="187">
        <v>77077</v>
      </c>
      <c r="AZ183" s="188">
        <v>48200000000</v>
      </c>
      <c r="BA183" s="187" t="s">
        <v>394</v>
      </c>
      <c r="BB183" s="187" t="s">
        <v>395</v>
      </c>
      <c r="BC183" s="187">
        <v>161370</v>
      </c>
      <c r="BD183" s="187">
        <v>2990</v>
      </c>
      <c r="BE183" s="187" t="s">
        <v>396</v>
      </c>
      <c r="BF183" s="187" t="s">
        <v>396</v>
      </c>
      <c r="BG183" s="187" t="s">
        <v>396</v>
      </c>
    </row>
    <row r="184" spans="1:59">
      <c r="A184" s="187">
        <v>492009</v>
      </c>
      <c r="B184" s="187">
        <v>18305072</v>
      </c>
      <c r="C184" s="187">
        <v>2021</v>
      </c>
      <c r="D184" s="187" t="s">
        <v>380</v>
      </c>
      <c r="E184" s="187">
        <v>11</v>
      </c>
      <c r="F184" s="187" t="s">
        <v>397</v>
      </c>
      <c r="G184" s="187" t="s">
        <v>382</v>
      </c>
      <c r="H184" s="187" t="s">
        <v>408</v>
      </c>
      <c r="I184" s="187" t="s">
        <v>422</v>
      </c>
      <c r="J184" s="187">
        <v>29.770060000000001</v>
      </c>
      <c r="K184" s="187">
        <v>-95.606300000000005</v>
      </c>
      <c r="L184" s="187" t="s">
        <v>446</v>
      </c>
      <c r="M184" s="187" t="s">
        <v>386</v>
      </c>
      <c r="N184" s="187" t="s">
        <v>457</v>
      </c>
      <c r="O184" s="187" t="s">
        <v>473</v>
      </c>
      <c r="P184" s="187" t="s">
        <v>402</v>
      </c>
      <c r="Q184" s="187" t="s">
        <v>106</v>
      </c>
      <c r="R184" s="187" t="s">
        <v>474</v>
      </c>
      <c r="S184" s="187">
        <v>0</v>
      </c>
      <c r="T184" s="187">
        <v>0</v>
      </c>
      <c r="U184" s="187">
        <v>1</v>
      </c>
      <c r="V184" s="187">
        <v>0</v>
      </c>
      <c r="W184" s="187">
        <v>1</v>
      </c>
      <c r="X184" s="187">
        <v>0</v>
      </c>
      <c r="Y184" s="187">
        <v>1</v>
      </c>
      <c r="Z184" s="187">
        <v>0</v>
      </c>
      <c r="AA184" s="187">
        <v>0</v>
      </c>
      <c r="AB184" s="187">
        <v>0</v>
      </c>
      <c r="AC184" s="187">
        <v>0</v>
      </c>
      <c r="AD184" s="187">
        <v>0</v>
      </c>
      <c r="AE184" s="187">
        <v>0</v>
      </c>
      <c r="AF184" s="187">
        <v>1</v>
      </c>
      <c r="AG184" s="187">
        <v>0</v>
      </c>
      <c r="AH184" s="187">
        <v>0</v>
      </c>
      <c r="AI184" s="187">
        <v>1</v>
      </c>
      <c r="AJ184" s="187">
        <v>0</v>
      </c>
      <c r="AK184" s="187">
        <v>0</v>
      </c>
      <c r="AL184" s="187">
        <v>1</v>
      </c>
      <c r="AM184" s="187">
        <v>0</v>
      </c>
      <c r="AN184" s="187">
        <v>0</v>
      </c>
      <c r="AO184" s="187">
        <v>0</v>
      </c>
      <c r="AP184" s="187">
        <v>0</v>
      </c>
      <c r="AQ184" s="187">
        <v>0</v>
      </c>
      <c r="AR184" s="187">
        <v>0</v>
      </c>
      <c r="AS184" s="187">
        <v>0</v>
      </c>
      <c r="AT184" s="187">
        <v>0</v>
      </c>
      <c r="AU184" s="187" t="s">
        <v>52</v>
      </c>
      <c r="AV184" s="187" t="s">
        <v>391</v>
      </c>
      <c r="AW184" s="187" t="s">
        <v>392</v>
      </c>
      <c r="AX184" s="187" t="s">
        <v>393</v>
      </c>
      <c r="AY184" s="187">
        <v>77079</v>
      </c>
      <c r="AZ184" s="188">
        <v>48200000000</v>
      </c>
      <c r="BA184" s="187" t="s">
        <v>394</v>
      </c>
      <c r="BB184" s="187" t="s">
        <v>395</v>
      </c>
      <c r="BC184" s="187">
        <v>162030</v>
      </c>
      <c r="BD184" s="187">
        <v>2990</v>
      </c>
      <c r="BE184" s="187" t="s">
        <v>396</v>
      </c>
      <c r="BF184" s="187" t="s">
        <v>396</v>
      </c>
      <c r="BG184" s="187" t="s">
        <v>396</v>
      </c>
    </row>
    <row r="185" spans="1:59">
      <c r="A185" s="187">
        <v>500243</v>
      </c>
      <c r="B185" s="187">
        <v>18337707</v>
      </c>
      <c r="C185" s="187">
        <v>2021</v>
      </c>
      <c r="D185" s="187" t="s">
        <v>380</v>
      </c>
      <c r="E185" s="187">
        <v>12</v>
      </c>
      <c r="F185" s="187" t="s">
        <v>397</v>
      </c>
      <c r="G185" s="187" t="s">
        <v>475</v>
      </c>
      <c r="H185" s="187" t="s">
        <v>383</v>
      </c>
      <c r="I185" s="187" t="s">
        <v>398</v>
      </c>
      <c r="J185" s="187">
        <v>29.756789999999999</v>
      </c>
      <c r="K185" s="187">
        <v>-95.606099999999998</v>
      </c>
      <c r="L185" s="187" t="s">
        <v>385</v>
      </c>
      <c r="M185" s="187" t="s">
        <v>386</v>
      </c>
      <c r="N185" s="187" t="s">
        <v>418</v>
      </c>
      <c r="O185" s="187" t="s">
        <v>441</v>
      </c>
      <c r="P185" s="187" t="s">
        <v>389</v>
      </c>
      <c r="Q185" s="187" t="s">
        <v>102</v>
      </c>
      <c r="R185" s="187" t="s">
        <v>466</v>
      </c>
      <c r="S185" s="187">
        <v>0</v>
      </c>
      <c r="T185" s="187">
        <v>0</v>
      </c>
      <c r="U185" s="187">
        <v>0</v>
      </c>
      <c r="V185" s="187">
        <v>0</v>
      </c>
      <c r="W185" s="187">
        <v>0</v>
      </c>
      <c r="X185" s="187">
        <v>1</v>
      </c>
      <c r="Y185" s="187">
        <v>0</v>
      </c>
      <c r="Z185" s="187">
        <v>0</v>
      </c>
      <c r="AA185" s="187">
        <v>0</v>
      </c>
      <c r="AB185" s="187">
        <v>0</v>
      </c>
      <c r="AC185" s="187">
        <v>0</v>
      </c>
      <c r="AD185" s="187">
        <v>1</v>
      </c>
      <c r="AE185" s="187">
        <v>0</v>
      </c>
      <c r="AF185" s="187">
        <v>0</v>
      </c>
      <c r="AG185" s="187">
        <v>0</v>
      </c>
      <c r="AH185" s="187">
        <v>0</v>
      </c>
      <c r="AI185" s="187">
        <v>0</v>
      </c>
      <c r="AJ185" s="187">
        <v>0</v>
      </c>
      <c r="AK185" s="187">
        <v>0</v>
      </c>
      <c r="AL185" s="187">
        <v>0</v>
      </c>
      <c r="AM185" s="187">
        <v>0</v>
      </c>
      <c r="AN185" s="187">
        <v>0</v>
      </c>
      <c r="AO185" s="187">
        <v>0</v>
      </c>
      <c r="AP185" s="187">
        <v>0</v>
      </c>
      <c r="AQ185" s="187">
        <v>0</v>
      </c>
      <c r="AR185" s="187">
        <v>0</v>
      </c>
      <c r="AS185" s="187">
        <v>0</v>
      </c>
      <c r="AT185" s="187">
        <v>0</v>
      </c>
      <c r="AU185" s="187" t="s">
        <v>52</v>
      </c>
      <c r="AV185" s="187" t="s">
        <v>391</v>
      </c>
      <c r="AW185" s="187" t="s">
        <v>392</v>
      </c>
      <c r="AX185" s="187" t="s">
        <v>393</v>
      </c>
      <c r="AY185" s="187">
        <v>77077</v>
      </c>
      <c r="AZ185" s="188">
        <v>48200000000</v>
      </c>
      <c r="BA185" s="187" t="s">
        <v>394</v>
      </c>
      <c r="BB185" s="187" t="s">
        <v>395</v>
      </c>
      <c r="BC185" s="187">
        <v>161370</v>
      </c>
      <c r="BD185" s="187">
        <v>2990</v>
      </c>
      <c r="BE185" s="187" t="s">
        <v>396</v>
      </c>
      <c r="BF185" s="187" t="s">
        <v>396</v>
      </c>
      <c r="BG185" s="187" t="s">
        <v>396</v>
      </c>
    </row>
    <row r="186" spans="1:59">
      <c r="A186" s="187">
        <v>500586</v>
      </c>
      <c r="B186" s="187">
        <v>18339025</v>
      </c>
      <c r="C186" s="187">
        <v>2021</v>
      </c>
      <c r="D186" s="187" t="s">
        <v>380</v>
      </c>
      <c r="E186" s="187">
        <v>13</v>
      </c>
      <c r="F186" s="187" t="s">
        <v>429</v>
      </c>
      <c r="G186" s="187" t="s">
        <v>382</v>
      </c>
      <c r="H186" s="187" t="s">
        <v>468</v>
      </c>
      <c r="I186" s="187" t="s">
        <v>398</v>
      </c>
      <c r="J186" s="187">
        <v>29.753830000000001</v>
      </c>
      <c r="K186" s="187">
        <v>-95.606200000000001</v>
      </c>
      <c r="L186" s="187" t="s">
        <v>405</v>
      </c>
      <c r="M186" s="187" t="s">
        <v>386</v>
      </c>
      <c r="N186" s="187" t="s">
        <v>412</v>
      </c>
      <c r="O186" s="187" t="s">
        <v>388</v>
      </c>
      <c r="P186" s="187" t="s">
        <v>389</v>
      </c>
      <c r="Q186" s="187" t="s">
        <v>106</v>
      </c>
      <c r="R186" s="187" t="s">
        <v>476</v>
      </c>
      <c r="S186" s="187">
        <v>0</v>
      </c>
      <c r="T186" s="187">
        <v>0</v>
      </c>
      <c r="U186" s="187">
        <v>0</v>
      </c>
      <c r="V186" s="187">
        <v>0</v>
      </c>
      <c r="W186" s="187">
        <v>0</v>
      </c>
      <c r="X186" s="187">
        <v>4</v>
      </c>
      <c r="Y186" s="187">
        <v>0</v>
      </c>
      <c r="Z186" s="187">
        <v>0</v>
      </c>
      <c r="AA186" s="187">
        <v>0</v>
      </c>
      <c r="AB186" s="187">
        <v>0</v>
      </c>
      <c r="AC186" s="187">
        <v>0</v>
      </c>
      <c r="AD186" s="187">
        <v>4</v>
      </c>
      <c r="AE186" s="187">
        <v>0</v>
      </c>
      <c r="AF186" s="187">
        <v>0</v>
      </c>
      <c r="AG186" s="187">
        <v>0</v>
      </c>
      <c r="AH186" s="187">
        <v>0</v>
      </c>
      <c r="AI186" s="187">
        <v>0</v>
      </c>
      <c r="AJ186" s="187">
        <v>0</v>
      </c>
      <c r="AK186" s="187">
        <v>0</v>
      </c>
      <c r="AL186" s="187">
        <v>0</v>
      </c>
      <c r="AM186" s="187">
        <v>0</v>
      </c>
      <c r="AN186" s="187">
        <v>0</v>
      </c>
      <c r="AO186" s="187">
        <v>0</v>
      </c>
      <c r="AP186" s="187">
        <v>0</v>
      </c>
      <c r="AQ186" s="187">
        <v>0</v>
      </c>
      <c r="AR186" s="187">
        <v>0</v>
      </c>
      <c r="AS186" s="187">
        <v>0</v>
      </c>
      <c r="AT186" s="187">
        <v>0</v>
      </c>
      <c r="AU186" s="187" t="s">
        <v>52</v>
      </c>
      <c r="AV186" s="187" t="s">
        <v>391</v>
      </c>
      <c r="AW186" s="187" t="s">
        <v>392</v>
      </c>
      <c r="AX186" s="187" t="s">
        <v>393</v>
      </c>
      <c r="AY186" s="187">
        <v>77077</v>
      </c>
      <c r="AZ186" s="188">
        <v>48200000000</v>
      </c>
      <c r="BA186" s="187" t="s">
        <v>394</v>
      </c>
      <c r="BB186" s="187" t="s">
        <v>395</v>
      </c>
      <c r="BC186" s="187">
        <v>161370</v>
      </c>
      <c r="BD186" s="187">
        <v>2990</v>
      </c>
      <c r="BE186" s="187" t="s">
        <v>396</v>
      </c>
      <c r="BF186" s="187" t="s">
        <v>396</v>
      </c>
      <c r="BG186" s="187" t="s">
        <v>396</v>
      </c>
    </row>
    <row r="187" spans="1:59">
      <c r="A187" s="187">
        <v>505173</v>
      </c>
      <c r="B187" s="187">
        <v>18358087</v>
      </c>
      <c r="C187" s="187">
        <v>2021</v>
      </c>
      <c r="D187" s="189">
        <v>44383</v>
      </c>
      <c r="E187" s="187">
        <v>15</v>
      </c>
      <c r="F187" s="187" t="s">
        <v>381</v>
      </c>
      <c r="G187" s="187" t="s">
        <v>382</v>
      </c>
      <c r="H187" s="187" t="s">
        <v>383</v>
      </c>
      <c r="I187" s="187" t="s">
        <v>398</v>
      </c>
      <c r="J187" s="187">
        <v>29.759509999999999</v>
      </c>
      <c r="K187" s="187">
        <v>-95.606099999999998</v>
      </c>
      <c r="L187" s="187" t="s">
        <v>446</v>
      </c>
      <c r="M187" s="187" t="s">
        <v>386</v>
      </c>
      <c r="N187" s="187" t="s">
        <v>416</v>
      </c>
      <c r="O187" s="187" t="s">
        <v>388</v>
      </c>
      <c r="P187" s="187" t="s">
        <v>389</v>
      </c>
      <c r="Q187" s="187" t="s">
        <v>102</v>
      </c>
      <c r="R187" s="187" t="s">
        <v>403</v>
      </c>
      <c r="S187" s="187">
        <v>0</v>
      </c>
      <c r="T187" s="187">
        <v>0</v>
      </c>
      <c r="U187" s="187">
        <v>0</v>
      </c>
      <c r="V187" s="187">
        <v>0</v>
      </c>
      <c r="W187" s="187">
        <v>0</v>
      </c>
      <c r="X187" s="187">
        <v>2</v>
      </c>
      <c r="Y187" s="187">
        <v>0</v>
      </c>
      <c r="Z187" s="187">
        <v>0</v>
      </c>
      <c r="AA187" s="187">
        <v>0</v>
      </c>
      <c r="AB187" s="187">
        <v>0</v>
      </c>
      <c r="AC187" s="187">
        <v>0</v>
      </c>
      <c r="AD187" s="187">
        <v>2</v>
      </c>
      <c r="AE187" s="187">
        <v>0</v>
      </c>
      <c r="AF187" s="187">
        <v>0</v>
      </c>
      <c r="AG187" s="187">
        <v>0</v>
      </c>
      <c r="AH187" s="187">
        <v>0</v>
      </c>
      <c r="AI187" s="187">
        <v>0</v>
      </c>
      <c r="AJ187" s="187">
        <v>0</v>
      </c>
      <c r="AK187" s="187">
        <v>0</v>
      </c>
      <c r="AL187" s="187">
        <v>0</v>
      </c>
      <c r="AM187" s="187">
        <v>0</v>
      </c>
      <c r="AN187" s="187">
        <v>0</v>
      </c>
      <c r="AO187" s="187">
        <v>0</v>
      </c>
      <c r="AP187" s="187">
        <v>0</v>
      </c>
      <c r="AQ187" s="187">
        <v>0</v>
      </c>
      <c r="AR187" s="187">
        <v>0</v>
      </c>
      <c r="AS187" s="187">
        <v>0</v>
      </c>
      <c r="AT187" s="187">
        <v>0</v>
      </c>
      <c r="AU187" s="187" t="s">
        <v>52</v>
      </c>
      <c r="AV187" s="187" t="s">
        <v>391</v>
      </c>
      <c r="AW187" s="187" t="s">
        <v>392</v>
      </c>
      <c r="AX187" s="187" t="s">
        <v>393</v>
      </c>
      <c r="AY187" s="187">
        <v>77077</v>
      </c>
      <c r="AZ187" s="188">
        <v>48200000000</v>
      </c>
      <c r="BA187" s="187" t="s">
        <v>394</v>
      </c>
      <c r="BB187" s="187" t="s">
        <v>395</v>
      </c>
      <c r="BC187" s="187">
        <v>161590</v>
      </c>
      <c r="BD187" s="187">
        <v>2990</v>
      </c>
      <c r="BE187" s="187" t="s">
        <v>396</v>
      </c>
      <c r="BF187" s="187" t="s">
        <v>396</v>
      </c>
      <c r="BG187" s="187" t="s">
        <v>396</v>
      </c>
    </row>
    <row r="188" spans="1:59">
      <c r="A188" s="187">
        <v>510426</v>
      </c>
      <c r="B188" s="187">
        <v>18378177</v>
      </c>
      <c r="C188" s="187">
        <v>2021</v>
      </c>
      <c r="D188" s="187" t="s">
        <v>380</v>
      </c>
      <c r="E188" s="187">
        <v>16</v>
      </c>
      <c r="F188" s="187" t="s">
        <v>426</v>
      </c>
      <c r="G188" s="187" t="s">
        <v>382</v>
      </c>
      <c r="H188" s="187" t="s">
        <v>419</v>
      </c>
      <c r="I188" s="187" t="s">
        <v>422</v>
      </c>
      <c r="J188" s="187">
        <v>29.753969999999999</v>
      </c>
      <c r="K188" s="187">
        <v>-95.606200000000001</v>
      </c>
      <c r="L188" s="187" t="s">
        <v>385</v>
      </c>
      <c r="M188" s="187" t="s">
        <v>386</v>
      </c>
      <c r="N188" s="187" t="s">
        <v>401</v>
      </c>
      <c r="O188" s="187" t="s">
        <v>388</v>
      </c>
      <c r="P188" s="187" t="s">
        <v>389</v>
      </c>
      <c r="Q188" s="187" t="s">
        <v>106</v>
      </c>
      <c r="R188" s="187" t="s">
        <v>403</v>
      </c>
      <c r="S188" s="187">
        <v>0</v>
      </c>
      <c r="T188" s="187">
        <v>0</v>
      </c>
      <c r="U188" s="187">
        <v>0</v>
      </c>
      <c r="V188" s="187">
        <v>0</v>
      </c>
      <c r="W188" s="187">
        <v>0</v>
      </c>
      <c r="X188" s="187">
        <v>2</v>
      </c>
      <c r="Y188" s="187">
        <v>0</v>
      </c>
      <c r="Z188" s="187">
        <v>0</v>
      </c>
      <c r="AA188" s="187">
        <v>0</v>
      </c>
      <c r="AB188" s="187">
        <v>0</v>
      </c>
      <c r="AC188" s="187">
        <v>0</v>
      </c>
      <c r="AD188" s="187">
        <v>2</v>
      </c>
      <c r="AE188" s="187">
        <v>0</v>
      </c>
      <c r="AF188" s="187">
        <v>0</v>
      </c>
      <c r="AG188" s="187">
        <v>0</v>
      </c>
      <c r="AH188" s="187">
        <v>0</v>
      </c>
      <c r="AI188" s="187">
        <v>0</v>
      </c>
      <c r="AJ188" s="187">
        <v>0</v>
      </c>
      <c r="AK188" s="187">
        <v>0</v>
      </c>
      <c r="AL188" s="187">
        <v>0</v>
      </c>
      <c r="AM188" s="187">
        <v>0</v>
      </c>
      <c r="AN188" s="187">
        <v>0</v>
      </c>
      <c r="AO188" s="187">
        <v>0</v>
      </c>
      <c r="AP188" s="187">
        <v>0</v>
      </c>
      <c r="AQ188" s="187">
        <v>0</v>
      </c>
      <c r="AR188" s="187">
        <v>0</v>
      </c>
      <c r="AS188" s="187">
        <v>0</v>
      </c>
      <c r="AT188" s="187">
        <v>0</v>
      </c>
      <c r="AU188" s="187" t="s">
        <v>52</v>
      </c>
      <c r="AV188" s="187" t="s">
        <v>391</v>
      </c>
      <c r="AW188" s="187" t="s">
        <v>392</v>
      </c>
      <c r="AX188" s="187" t="s">
        <v>393</v>
      </c>
      <c r="AY188" s="187">
        <v>77077</v>
      </c>
      <c r="AZ188" s="188">
        <v>48200000000</v>
      </c>
      <c r="BA188" s="187" t="s">
        <v>394</v>
      </c>
      <c r="BB188" s="187" t="s">
        <v>395</v>
      </c>
      <c r="BC188" s="187">
        <v>161370</v>
      </c>
      <c r="BD188" s="187">
        <v>2990</v>
      </c>
      <c r="BE188" s="187" t="s">
        <v>396</v>
      </c>
      <c r="BF188" s="187" t="s">
        <v>396</v>
      </c>
      <c r="BG188" s="187" t="s">
        <v>396</v>
      </c>
    </row>
    <row r="189" spans="1:59">
      <c r="A189" s="187">
        <v>516342</v>
      </c>
      <c r="B189" s="187">
        <v>18401237</v>
      </c>
      <c r="C189" s="187">
        <v>2021</v>
      </c>
      <c r="D189" s="189">
        <v>44411</v>
      </c>
      <c r="E189" s="187">
        <v>18</v>
      </c>
      <c r="F189" s="187" t="s">
        <v>381</v>
      </c>
      <c r="G189" s="187" t="s">
        <v>382</v>
      </c>
      <c r="H189" s="187" t="s">
        <v>383</v>
      </c>
      <c r="I189" s="187" t="s">
        <v>415</v>
      </c>
      <c r="J189" s="187">
        <v>29.758099999999999</v>
      </c>
      <c r="K189" s="187">
        <v>-95.606300000000005</v>
      </c>
      <c r="L189" s="187" t="s">
        <v>385</v>
      </c>
      <c r="M189" s="187" t="s">
        <v>386</v>
      </c>
      <c r="N189" s="187" t="s">
        <v>425</v>
      </c>
      <c r="O189" s="187" t="s">
        <v>388</v>
      </c>
      <c r="P189" s="187" t="s">
        <v>389</v>
      </c>
      <c r="Q189" s="187" t="s">
        <v>102</v>
      </c>
      <c r="R189" s="187" t="s">
        <v>403</v>
      </c>
      <c r="S189" s="187">
        <v>0</v>
      </c>
      <c r="T189" s="187">
        <v>0</v>
      </c>
      <c r="U189" s="187">
        <v>0</v>
      </c>
      <c r="V189" s="187">
        <v>0</v>
      </c>
      <c r="W189" s="187">
        <v>0</v>
      </c>
      <c r="X189" s="187">
        <v>3</v>
      </c>
      <c r="Y189" s="187">
        <v>0</v>
      </c>
      <c r="Z189" s="187">
        <v>0</v>
      </c>
      <c r="AA189" s="187">
        <v>0</v>
      </c>
      <c r="AB189" s="187">
        <v>0</v>
      </c>
      <c r="AC189" s="187">
        <v>0</v>
      </c>
      <c r="AD189" s="187">
        <v>3</v>
      </c>
      <c r="AE189" s="187">
        <v>0</v>
      </c>
      <c r="AF189" s="187">
        <v>0</v>
      </c>
      <c r="AG189" s="187">
        <v>0</v>
      </c>
      <c r="AH189" s="187">
        <v>0</v>
      </c>
      <c r="AI189" s="187">
        <v>0</v>
      </c>
      <c r="AJ189" s="187">
        <v>0</v>
      </c>
      <c r="AK189" s="187">
        <v>0</v>
      </c>
      <c r="AL189" s="187">
        <v>0</v>
      </c>
      <c r="AM189" s="187">
        <v>0</v>
      </c>
      <c r="AN189" s="187">
        <v>0</v>
      </c>
      <c r="AO189" s="187">
        <v>0</v>
      </c>
      <c r="AP189" s="187">
        <v>0</v>
      </c>
      <c r="AQ189" s="187">
        <v>0</v>
      </c>
      <c r="AR189" s="187">
        <v>0</v>
      </c>
      <c r="AS189" s="187">
        <v>0</v>
      </c>
      <c r="AT189" s="187">
        <v>0</v>
      </c>
      <c r="AU189" s="187" t="s">
        <v>52</v>
      </c>
      <c r="AV189" s="187" t="s">
        <v>391</v>
      </c>
      <c r="AW189" s="187" t="s">
        <v>392</v>
      </c>
      <c r="AX189" s="187" t="s">
        <v>393</v>
      </c>
      <c r="AY189" s="187">
        <v>77077</v>
      </c>
      <c r="AZ189" s="188">
        <v>48200000000</v>
      </c>
      <c r="BA189" s="187" t="s">
        <v>394</v>
      </c>
      <c r="BB189" s="187" t="s">
        <v>395</v>
      </c>
      <c r="BC189" s="187">
        <v>161590</v>
      </c>
      <c r="BD189" s="187">
        <v>2990</v>
      </c>
      <c r="BE189" s="187" t="s">
        <v>396</v>
      </c>
      <c r="BF189" s="187" t="s">
        <v>396</v>
      </c>
      <c r="BG189" s="187" t="s">
        <v>396</v>
      </c>
    </row>
    <row r="190" spans="1:59">
      <c r="A190" s="187">
        <v>520056</v>
      </c>
      <c r="B190" s="187">
        <v>18416413</v>
      </c>
      <c r="C190" s="187">
        <v>2021</v>
      </c>
      <c r="D190" s="189">
        <v>44414</v>
      </c>
      <c r="E190" s="187">
        <v>12</v>
      </c>
      <c r="F190" s="187" t="s">
        <v>397</v>
      </c>
      <c r="G190" s="187" t="s">
        <v>382</v>
      </c>
      <c r="H190" s="187" t="s">
        <v>383</v>
      </c>
      <c r="I190" s="187" t="s">
        <v>415</v>
      </c>
      <c r="J190" s="187">
        <v>29.755279999999999</v>
      </c>
      <c r="K190" s="187">
        <v>-95.606200000000001</v>
      </c>
      <c r="L190" s="187" t="s">
        <v>385</v>
      </c>
      <c r="M190" s="187" t="s">
        <v>386</v>
      </c>
      <c r="N190" s="187" t="s">
        <v>401</v>
      </c>
      <c r="O190" s="187" t="s">
        <v>388</v>
      </c>
      <c r="P190" s="187" t="s">
        <v>389</v>
      </c>
      <c r="Q190" s="187" t="s">
        <v>106</v>
      </c>
      <c r="R190" s="187" t="s">
        <v>433</v>
      </c>
      <c r="S190" s="187">
        <v>0</v>
      </c>
      <c r="T190" s="187">
        <v>0</v>
      </c>
      <c r="U190" s="187">
        <v>0</v>
      </c>
      <c r="V190" s="187">
        <v>0</v>
      </c>
      <c r="W190" s="187">
        <v>0</v>
      </c>
      <c r="X190" s="187">
        <v>2</v>
      </c>
      <c r="Y190" s="187">
        <v>0</v>
      </c>
      <c r="Z190" s="187">
        <v>0</v>
      </c>
      <c r="AA190" s="187">
        <v>0</v>
      </c>
      <c r="AB190" s="187">
        <v>0</v>
      </c>
      <c r="AC190" s="187">
        <v>0</v>
      </c>
      <c r="AD190" s="187">
        <v>2</v>
      </c>
      <c r="AE190" s="187">
        <v>0</v>
      </c>
      <c r="AF190" s="187">
        <v>0</v>
      </c>
      <c r="AG190" s="187">
        <v>0</v>
      </c>
      <c r="AH190" s="187">
        <v>0</v>
      </c>
      <c r="AI190" s="187">
        <v>0</v>
      </c>
      <c r="AJ190" s="187">
        <v>0</v>
      </c>
      <c r="AK190" s="187">
        <v>0</v>
      </c>
      <c r="AL190" s="187">
        <v>0</v>
      </c>
      <c r="AM190" s="187">
        <v>0</v>
      </c>
      <c r="AN190" s="187">
        <v>0</v>
      </c>
      <c r="AO190" s="187">
        <v>0</v>
      </c>
      <c r="AP190" s="187">
        <v>0</v>
      </c>
      <c r="AQ190" s="187">
        <v>0</v>
      </c>
      <c r="AR190" s="187">
        <v>0</v>
      </c>
      <c r="AS190" s="187">
        <v>0</v>
      </c>
      <c r="AT190" s="187">
        <v>0</v>
      </c>
      <c r="AU190" s="187" t="s">
        <v>52</v>
      </c>
      <c r="AV190" s="187" t="s">
        <v>391</v>
      </c>
      <c r="AW190" s="187" t="s">
        <v>392</v>
      </c>
      <c r="AX190" s="187" t="s">
        <v>393</v>
      </c>
      <c r="AY190" s="187">
        <v>77077</v>
      </c>
      <c r="AZ190" s="188">
        <v>48200000000</v>
      </c>
      <c r="BA190" s="187" t="s">
        <v>394</v>
      </c>
      <c r="BB190" s="187" t="s">
        <v>395</v>
      </c>
      <c r="BC190" s="187">
        <v>161370</v>
      </c>
      <c r="BD190" s="187">
        <v>2990</v>
      </c>
      <c r="BE190" s="187" t="s">
        <v>396</v>
      </c>
      <c r="BF190" s="187" t="s">
        <v>396</v>
      </c>
      <c r="BG190" s="187" t="s">
        <v>396</v>
      </c>
    </row>
    <row r="191" spans="1:59">
      <c r="A191" s="187">
        <v>521813</v>
      </c>
      <c r="B191" s="187">
        <v>18423495</v>
      </c>
      <c r="C191" s="187">
        <v>2021</v>
      </c>
      <c r="D191" s="187" t="s">
        <v>380</v>
      </c>
      <c r="E191" s="187">
        <v>16</v>
      </c>
      <c r="F191" s="187" t="s">
        <v>411</v>
      </c>
      <c r="G191" s="187" t="s">
        <v>382</v>
      </c>
      <c r="H191" s="187" t="s">
        <v>404</v>
      </c>
      <c r="I191" s="187" t="s">
        <v>422</v>
      </c>
      <c r="J191" s="187">
        <v>29.770199999999999</v>
      </c>
      <c r="K191" s="187">
        <v>-95.606300000000005</v>
      </c>
      <c r="L191" s="187" t="s">
        <v>385</v>
      </c>
      <c r="M191" s="187" t="s">
        <v>386</v>
      </c>
      <c r="N191" s="187" t="s">
        <v>425</v>
      </c>
      <c r="O191" s="187" t="s">
        <v>388</v>
      </c>
      <c r="P191" s="187" t="s">
        <v>389</v>
      </c>
      <c r="Q191" s="187" t="s">
        <v>105</v>
      </c>
      <c r="R191" s="187" t="s">
        <v>428</v>
      </c>
      <c r="S191" s="187">
        <v>0</v>
      </c>
      <c r="T191" s="187">
        <v>0</v>
      </c>
      <c r="U191" s="187">
        <v>0</v>
      </c>
      <c r="V191" s="187">
        <v>0</v>
      </c>
      <c r="W191" s="187">
        <v>0</v>
      </c>
      <c r="X191" s="187">
        <v>3</v>
      </c>
      <c r="Y191" s="187">
        <v>0</v>
      </c>
      <c r="Z191" s="187">
        <v>0</v>
      </c>
      <c r="AA191" s="187">
        <v>0</v>
      </c>
      <c r="AB191" s="187">
        <v>0</v>
      </c>
      <c r="AC191" s="187">
        <v>0</v>
      </c>
      <c r="AD191" s="187">
        <v>3</v>
      </c>
      <c r="AE191" s="187">
        <v>0</v>
      </c>
      <c r="AF191" s="187">
        <v>0</v>
      </c>
      <c r="AG191" s="187">
        <v>0</v>
      </c>
      <c r="AH191" s="187">
        <v>0</v>
      </c>
      <c r="AI191" s="187">
        <v>0</v>
      </c>
      <c r="AJ191" s="187">
        <v>0</v>
      </c>
      <c r="AK191" s="187">
        <v>0</v>
      </c>
      <c r="AL191" s="187">
        <v>0</v>
      </c>
      <c r="AM191" s="187">
        <v>0</v>
      </c>
      <c r="AN191" s="187">
        <v>0</v>
      </c>
      <c r="AO191" s="187">
        <v>0</v>
      </c>
      <c r="AP191" s="187">
        <v>0</v>
      </c>
      <c r="AQ191" s="187">
        <v>0</v>
      </c>
      <c r="AR191" s="187">
        <v>0</v>
      </c>
      <c r="AS191" s="187">
        <v>0</v>
      </c>
      <c r="AT191" s="187">
        <v>0</v>
      </c>
      <c r="AU191" s="187" t="s">
        <v>52</v>
      </c>
      <c r="AV191" s="187" t="s">
        <v>391</v>
      </c>
      <c r="AW191" s="187" t="s">
        <v>392</v>
      </c>
      <c r="AX191" s="187" t="s">
        <v>393</v>
      </c>
      <c r="AY191" s="187">
        <v>77079</v>
      </c>
      <c r="AZ191" s="188">
        <v>48200000000</v>
      </c>
      <c r="BA191" s="187" t="s">
        <v>394</v>
      </c>
      <c r="BB191" s="187" t="s">
        <v>395</v>
      </c>
      <c r="BC191" s="187">
        <v>162030</v>
      </c>
      <c r="BD191" s="187">
        <v>2990</v>
      </c>
      <c r="BE191" s="187" t="s">
        <v>396</v>
      </c>
      <c r="BF191" s="187" t="s">
        <v>396</v>
      </c>
      <c r="BG191" s="187" t="s">
        <v>396</v>
      </c>
    </row>
    <row r="192" spans="1:59">
      <c r="A192" s="187">
        <v>523339</v>
      </c>
      <c r="B192" s="187">
        <v>18430009</v>
      </c>
      <c r="C192" s="187">
        <v>2021</v>
      </c>
      <c r="D192" s="187" t="s">
        <v>380</v>
      </c>
      <c r="E192" s="187">
        <v>13</v>
      </c>
      <c r="F192" s="187" t="s">
        <v>397</v>
      </c>
      <c r="G192" s="187" t="s">
        <v>382</v>
      </c>
      <c r="H192" s="187" t="s">
        <v>408</v>
      </c>
      <c r="I192" s="187" t="s">
        <v>415</v>
      </c>
      <c r="J192" s="187">
        <v>29.770060000000001</v>
      </c>
      <c r="K192" s="187">
        <v>-95.606300000000005</v>
      </c>
      <c r="L192" s="187" t="s">
        <v>399</v>
      </c>
      <c r="M192" s="187" t="s">
        <v>386</v>
      </c>
      <c r="N192" s="187" t="s">
        <v>401</v>
      </c>
      <c r="O192" s="187" t="s">
        <v>388</v>
      </c>
      <c r="P192" s="187" t="s">
        <v>389</v>
      </c>
      <c r="Q192" s="187" t="s">
        <v>102</v>
      </c>
      <c r="R192" s="187" t="s">
        <v>433</v>
      </c>
      <c r="S192" s="187">
        <v>0</v>
      </c>
      <c r="T192" s="187">
        <v>0</v>
      </c>
      <c r="U192" s="187">
        <v>0</v>
      </c>
      <c r="V192" s="187">
        <v>0</v>
      </c>
      <c r="W192" s="187">
        <v>0</v>
      </c>
      <c r="X192" s="187">
        <v>2</v>
      </c>
      <c r="Y192" s="187">
        <v>0</v>
      </c>
      <c r="Z192" s="187">
        <v>0</v>
      </c>
      <c r="AA192" s="187">
        <v>0</v>
      </c>
      <c r="AB192" s="187">
        <v>0</v>
      </c>
      <c r="AC192" s="187">
        <v>0</v>
      </c>
      <c r="AD192" s="187">
        <v>2</v>
      </c>
      <c r="AE192" s="187">
        <v>0</v>
      </c>
      <c r="AF192" s="187">
        <v>0</v>
      </c>
      <c r="AG192" s="187">
        <v>0</v>
      </c>
      <c r="AH192" s="187">
        <v>0</v>
      </c>
      <c r="AI192" s="187">
        <v>0</v>
      </c>
      <c r="AJ192" s="187">
        <v>0</v>
      </c>
      <c r="AK192" s="187">
        <v>0</v>
      </c>
      <c r="AL192" s="187">
        <v>0</v>
      </c>
      <c r="AM192" s="187">
        <v>0</v>
      </c>
      <c r="AN192" s="187">
        <v>0</v>
      </c>
      <c r="AO192" s="187">
        <v>0</v>
      </c>
      <c r="AP192" s="187">
        <v>0</v>
      </c>
      <c r="AQ192" s="187">
        <v>0</v>
      </c>
      <c r="AR192" s="187">
        <v>0</v>
      </c>
      <c r="AS192" s="187">
        <v>0</v>
      </c>
      <c r="AT192" s="187">
        <v>0</v>
      </c>
      <c r="AU192" s="187" t="s">
        <v>52</v>
      </c>
      <c r="AV192" s="187" t="s">
        <v>391</v>
      </c>
      <c r="AW192" s="187" t="s">
        <v>392</v>
      </c>
      <c r="AX192" s="187" t="s">
        <v>393</v>
      </c>
      <c r="AY192" s="187">
        <v>77079</v>
      </c>
      <c r="AZ192" s="188">
        <v>48200000000</v>
      </c>
      <c r="BA192" s="187" t="s">
        <v>394</v>
      </c>
      <c r="BB192" s="187" t="s">
        <v>395</v>
      </c>
      <c r="BC192" s="187">
        <v>162030</v>
      </c>
      <c r="BD192" s="187">
        <v>2990</v>
      </c>
      <c r="BE192" s="187" t="s">
        <v>396</v>
      </c>
      <c r="BF192" s="187" t="s">
        <v>396</v>
      </c>
      <c r="BG192" s="187" t="s">
        <v>396</v>
      </c>
    </row>
    <row r="193" spans="1:59">
      <c r="A193" s="187">
        <v>525314</v>
      </c>
      <c r="B193" s="187">
        <v>18437975</v>
      </c>
      <c r="C193" s="187">
        <v>2021</v>
      </c>
      <c r="D193" s="189">
        <v>44417</v>
      </c>
      <c r="E193" s="187">
        <v>13</v>
      </c>
      <c r="F193" s="187" t="s">
        <v>411</v>
      </c>
      <c r="G193" s="187" t="s">
        <v>382</v>
      </c>
      <c r="H193" s="187" t="s">
        <v>408</v>
      </c>
      <c r="I193" s="187" t="s">
        <v>409</v>
      </c>
      <c r="J193" s="187">
        <v>29.770060000000001</v>
      </c>
      <c r="K193" s="187">
        <v>-95.606300000000005</v>
      </c>
      <c r="L193" s="187" t="s">
        <v>385</v>
      </c>
      <c r="M193" s="187" t="s">
        <v>416</v>
      </c>
      <c r="N193" s="187" t="s">
        <v>416</v>
      </c>
      <c r="O193" s="187" t="s">
        <v>388</v>
      </c>
      <c r="P193" s="187" t="s">
        <v>389</v>
      </c>
      <c r="Q193" s="187" t="s">
        <v>106</v>
      </c>
      <c r="R193" s="187" t="s">
        <v>446</v>
      </c>
      <c r="S193" s="187">
        <v>0</v>
      </c>
      <c r="T193" s="187">
        <v>0</v>
      </c>
      <c r="U193" s="187">
        <v>0</v>
      </c>
      <c r="V193" s="187">
        <v>0</v>
      </c>
      <c r="W193" s="187">
        <v>0</v>
      </c>
      <c r="X193" s="187">
        <v>1</v>
      </c>
      <c r="Y193" s="187">
        <v>1</v>
      </c>
      <c r="Z193" s="187">
        <v>0</v>
      </c>
      <c r="AA193" s="187">
        <v>0</v>
      </c>
      <c r="AB193" s="187">
        <v>0</v>
      </c>
      <c r="AC193" s="187">
        <v>0</v>
      </c>
      <c r="AD193" s="187">
        <v>1</v>
      </c>
      <c r="AE193" s="187">
        <v>0</v>
      </c>
      <c r="AF193" s="187">
        <v>1</v>
      </c>
      <c r="AG193" s="187">
        <v>0</v>
      </c>
      <c r="AH193" s="187">
        <v>0</v>
      </c>
      <c r="AI193" s="187">
        <v>0</v>
      </c>
      <c r="AJ193" s="187">
        <v>0</v>
      </c>
      <c r="AK193" s="187">
        <v>0</v>
      </c>
      <c r="AL193" s="187">
        <v>0</v>
      </c>
      <c r="AM193" s="187">
        <v>0</v>
      </c>
      <c r="AN193" s="187">
        <v>0</v>
      </c>
      <c r="AO193" s="187">
        <v>0</v>
      </c>
      <c r="AP193" s="187">
        <v>0</v>
      </c>
      <c r="AQ193" s="187">
        <v>0</v>
      </c>
      <c r="AR193" s="187">
        <v>0</v>
      </c>
      <c r="AS193" s="187">
        <v>0</v>
      </c>
      <c r="AT193" s="187">
        <v>0</v>
      </c>
      <c r="AU193" s="187" t="s">
        <v>52</v>
      </c>
      <c r="AV193" s="187" t="s">
        <v>391</v>
      </c>
      <c r="AW193" s="187" t="s">
        <v>392</v>
      </c>
      <c r="AX193" s="187" t="s">
        <v>393</v>
      </c>
      <c r="AY193" s="187">
        <v>77079</v>
      </c>
      <c r="AZ193" s="188">
        <v>48200000000</v>
      </c>
      <c r="BA193" s="187" t="s">
        <v>394</v>
      </c>
      <c r="BB193" s="187" t="s">
        <v>395</v>
      </c>
      <c r="BC193" s="187">
        <v>162030</v>
      </c>
      <c r="BD193" s="187">
        <v>2990</v>
      </c>
      <c r="BE193" s="187" t="s">
        <v>396</v>
      </c>
      <c r="BF193" s="187" t="s">
        <v>396</v>
      </c>
      <c r="BG193" s="187" t="s">
        <v>396</v>
      </c>
    </row>
    <row r="194" spans="1:59">
      <c r="A194" s="187">
        <v>534298</v>
      </c>
      <c r="B194" s="187">
        <v>18473581</v>
      </c>
      <c r="C194" s="187">
        <v>2021</v>
      </c>
      <c r="D194" s="189">
        <v>44446</v>
      </c>
      <c r="E194" s="187">
        <v>14</v>
      </c>
      <c r="F194" s="187" t="s">
        <v>381</v>
      </c>
      <c r="G194" s="187" t="s">
        <v>382</v>
      </c>
      <c r="H194" s="187" t="s">
        <v>383</v>
      </c>
      <c r="I194" s="187" t="s">
        <v>415</v>
      </c>
      <c r="J194" s="187">
        <v>29.75384</v>
      </c>
      <c r="K194" s="187">
        <v>-95.605999999999995</v>
      </c>
      <c r="L194" s="187" t="s">
        <v>385</v>
      </c>
      <c r="M194" s="187" t="s">
        <v>386</v>
      </c>
      <c r="N194" s="187" t="s">
        <v>412</v>
      </c>
      <c r="O194" s="187" t="s">
        <v>388</v>
      </c>
      <c r="P194" s="187" t="s">
        <v>389</v>
      </c>
      <c r="Q194" s="187" t="s">
        <v>102</v>
      </c>
      <c r="R194" s="187" t="s">
        <v>477</v>
      </c>
      <c r="S194" s="187">
        <v>0</v>
      </c>
      <c r="T194" s="187">
        <v>0</v>
      </c>
      <c r="U194" s="187">
        <v>0</v>
      </c>
      <c r="V194" s="187">
        <v>0</v>
      </c>
      <c r="W194" s="187">
        <v>0</v>
      </c>
      <c r="X194" s="187">
        <v>6</v>
      </c>
      <c r="Y194" s="187">
        <v>0</v>
      </c>
      <c r="Z194" s="187">
        <v>0</v>
      </c>
      <c r="AA194" s="187">
        <v>0</v>
      </c>
      <c r="AB194" s="187">
        <v>0</v>
      </c>
      <c r="AC194" s="187">
        <v>0</v>
      </c>
      <c r="AD194" s="187">
        <v>6</v>
      </c>
      <c r="AE194" s="187">
        <v>0</v>
      </c>
      <c r="AF194" s="187">
        <v>0</v>
      </c>
      <c r="AG194" s="187">
        <v>0</v>
      </c>
      <c r="AH194" s="187">
        <v>0</v>
      </c>
      <c r="AI194" s="187">
        <v>0</v>
      </c>
      <c r="AJ194" s="187">
        <v>0</v>
      </c>
      <c r="AK194" s="187">
        <v>0</v>
      </c>
      <c r="AL194" s="187">
        <v>0</v>
      </c>
      <c r="AM194" s="187">
        <v>0</v>
      </c>
      <c r="AN194" s="187">
        <v>0</v>
      </c>
      <c r="AO194" s="187">
        <v>0</v>
      </c>
      <c r="AP194" s="187">
        <v>0</v>
      </c>
      <c r="AQ194" s="187">
        <v>0</v>
      </c>
      <c r="AR194" s="187">
        <v>0</v>
      </c>
      <c r="AS194" s="187">
        <v>0</v>
      </c>
      <c r="AT194" s="187">
        <v>0</v>
      </c>
      <c r="AU194" s="187" t="s">
        <v>52</v>
      </c>
      <c r="AV194" s="187" t="s">
        <v>391</v>
      </c>
      <c r="AW194" s="187" t="s">
        <v>392</v>
      </c>
      <c r="AX194" s="187" t="s">
        <v>393</v>
      </c>
      <c r="AY194" s="187">
        <v>77077</v>
      </c>
      <c r="AZ194" s="188">
        <v>48200000000</v>
      </c>
      <c r="BA194" s="187" t="s">
        <v>394</v>
      </c>
      <c r="BB194" s="187" t="s">
        <v>395</v>
      </c>
      <c r="BC194" s="187">
        <v>161370</v>
      </c>
      <c r="BD194" s="187">
        <v>2990</v>
      </c>
      <c r="BE194" s="187" t="s">
        <v>396</v>
      </c>
      <c r="BF194" s="187" t="s">
        <v>396</v>
      </c>
      <c r="BG194" s="187" t="s">
        <v>396</v>
      </c>
    </row>
    <row r="195" spans="1:59">
      <c r="A195" s="187">
        <v>534299</v>
      </c>
      <c r="B195" s="187">
        <v>18473582</v>
      </c>
      <c r="C195" s="187">
        <v>2021</v>
      </c>
      <c r="D195" s="189">
        <v>44446</v>
      </c>
      <c r="E195" s="187">
        <v>7</v>
      </c>
      <c r="F195" s="187" t="s">
        <v>381</v>
      </c>
      <c r="G195" s="187" t="s">
        <v>382</v>
      </c>
      <c r="H195" s="187" t="s">
        <v>404</v>
      </c>
      <c r="I195" s="187" t="s">
        <v>415</v>
      </c>
      <c r="J195" s="187">
        <v>29.763030000000001</v>
      </c>
      <c r="K195" s="187">
        <v>-95.606200000000001</v>
      </c>
      <c r="L195" s="187" t="s">
        <v>385</v>
      </c>
      <c r="M195" s="187" t="s">
        <v>386</v>
      </c>
      <c r="N195" s="187" t="s">
        <v>412</v>
      </c>
      <c r="O195" s="187" t="s">
        <v>388</v>
      </c>
      <c r="P195" s="187" t="s">
        <v>389</v>
      </c>
      <c r="Q195" s="187" t="s">
        <v>102</v>
      </c>
      <c r="R195" s="187" t="s">
        <v>477</v>
      </c>
      <c r="S195" s="187">
        <v>0</v>
      </c>
      <c r="T195" s="187">
        <v>0</v>
      </c>
      <c r="U195" s="187">
        <v>0</v>
      </c>
      <c r="V195" s="187">
        <v>0</v>
      </c>
      <c r="W195" s="187">
        <v>0</v>
      </c>
      <c r="X195" s="187">
        <v>2</v>
      </c>
      <c r="Y195" s="187">
        <v>0</v>
      </c>
      <c r="Z195" s="187">
        <v>0</v>
      </c>
      <c r="AA195" s="187">
        <v>0</v>
      </c>
      <c r="AB195" s="187">
        <v>0</v>
      </c>
      <c r="AC195" s="187">
        <v>0</v>
      </c>
      <c r="AD195" s="187">
        <v>2</v>
      </c>
      <c r="AE195" s="187">
        <v>0</v>
      </c>
      <c r="AF195" s="187">
        <v>0</v>
      </c>
      <c r="AG195" s="187">
        <v>0</v>
      </c>
      <c r="AH195" s="187">
        <v>0</v>
      </c>
      <c r="AI195" s="187">
        <v>0</v>
      </c>
      <c r="AJ195" s="187">
        <v>0</v>
      </c>
      <c r="AK195" s="187">
        <v>0</v>
      </c>
      <c r="AL195" s="187">
        <v>0</v>
      </c>
      <c r="AM195" s="187">
        <v>0</v>
      </c>
      <c r="AN195" s="187">
        <v>0</v>
      </c>
      <c r="AO195" s="187">
        <v>0</v>
      </c>
      <c r="AP195" s="187">
        <v>0</v>
      </c>
      <c r="AQ195" s="187">
        <v>0</v>
      </c>
      <c r="AR195" s="187">
        <v>0</v>
      </c>
      <c r="AS195" s="187">
        <v>0</v>
      </c>
      <c r="AT195" s="187">
        <v>0</v>
      </c>
      <c r="AU195" s="187" t="s">
        <v>52</v>
      </c>
      <c r="AV195" s="187" t="s">
        <v>391</v>
      </c>
      <c r="AW195" s="187" t="s">
        <v>392</v>
      </c>
      <c r="AX195" s="187" t="s">
        <v>393</v>
      </c>
      <c r="AY195" s="187">
        <v>77079</v>
      </c>
      <c r="AZ195" s="188">
        <v>48200000000</v>
      </c>
      <c r="BA195" s="187" t="s">
        <v>394</v>
      </c>
      <c r="BB195" s="187" t="s">
        <v>395</v>
      </c>
      <c r="BC195" s="187">
        <v>161590</v>
      </c>
      <c r="BD195" s="187">
        <v>2990</v>
      </c>
      <c r="BE195" s="187" t="s">
        <v>396</v>
      </c>
      <c r="BF195" s="187" t="s">
        <v>396</v>
      </c>
      <c r="BG195" s="187" t="s">
        <v>396</v>
      </c>
    </row>
    <row r="196" spans="1:59">
      <c r="A196" s="187">
        <v>537151</v>
      </c>
      <c r="B196" s="187">
        <v>18485762</v>
      </c>
      <c r="C196" s="187">
        <v>2021</v>
      </c>
      <c r="D196" s="187" t="s">
        <v>380</v>
      </c>
      <c r="E196" s="187">
        <v>13</v>
      </c>
      <c r="F196" s="187" t="s">
        <v>426</v>
      </c>
      <c r="G196" s="187" t="s">
        <v>382</v>
      </c>
      <c r="H196" s="187" t="s">
        <v>383</v>
      </c>
      <c r="I196" s="187" t="s">
        <v>398</v>
      </c>
      <c r="J196" s="187">
        <v>29.758099999999999</v>
      </c>
      <c r="K196" s="187">
        <v>-95.606099999999998</v>
      </c>
      <c r="L196" s="187" t="s">
        <v>385</v>
      </c>
      <c r="M196" s="187" t="s">
        <v>386</v>
      </c>
      <c r="N196" s="187" t="s">
        <v>425</v>
      </c>
      <c r="O196" s="187" t="s">
        <v>388</v>
      </c>
      <c r="P196" s="187" t="s">
        <v>389</v>
      </c>
      <c r="Q196" s="187" t="s">
        <v>102</v>
      </c>
      <c r="R196" s="187" t="s">
        <v>390</v>
      </c>
      <c r="S196" s="187">
        <v>0</v>
      </c>
      <c r="T196" s="187">
        <v>0</v>
      </c>
      <c r="U196" s="187">
        <v>0</v>
      </c>
      <c r="V196" s="187">
        <v>0</v>
      </c>
      <c r="W196" s="187">
        <v>0</v>
      </c>
      <c r="X196" s="187">
        <v>3</v>
      </c>
      <c r="Y196" s="187">
        <v>0</v>
      </c>
      <c r="Z196" s="187">
        <v>0</v>
      </c>
      <c r="AA196" s="187">
        <v>0</v>
      </c>
      <c r="AB196" s="187">
        <v>0</v>
      </c>
      <c r="AC196" s="187">
        <v>0</v>
      </c>
      <c r="AD196" s="187">
        <v>3</v>
      </c>
      <c r="AE196" s="187">
        <v>0</v>
      </c>
      <c r="AF196" s="187">
        <v>0</v>
      </c>
      <c r="AG196" s="187">
        <v>0</v>
      </c>
      <c r="AH196" s="187">
        <v>0</v>
      </c>
      <c r="AI196" s="187">
        <v>0</v>
      </c>
      <c r="AJ196" s="187">
        <v>0</v>
      </c>
      <c r="AK196" s="187">
        <v>0</v>
      </c>
      <c r="AL196" s="187">
        <v>0</v>
      </c>
      <c r="AM196" s="187">
        <v>0</v>
      </c>
      <c r="AN196" s="187">
        <v>0</v>
      </c>
      <c r="AO196" s="187">
        <v>0</v>
      </c>
      <c r="AP196" s="187">
        <v>0</v>
      </c>
      <c r="AQ196" s="187">
        <v>0</v>
      </c>
      <c r="AR196" s="187">
        <v>0</v>
      </c>
      <c r="AS196" s="187">
        <v>0</v>
      </c>
      <c r="AT196" s="187">
        <v>0</v>
      </c>
      <c r="AU196" s="187" t="s">
        <v>52</v>
      </c>
      <c r="AV196" s="187" t="s">
        <v>391</v>
      </c>
      <c r="AW196" s="187" t="s">
        <v>392</v>
      </c>
      <c r="AX196" s="187" t="s">
        <v>393</v>
      </c>
      <c r="AY196" s="187">
        <v>77077</v>
      </c>
      <c r="AZ196" s="188">
        <v>48200000000</v>
      </c>
      <c r="BA196" s="187" t="s">
        <v>394</v>
      </c>
      <c r="BB196" s="187" t="s">
        <v>395</v>
      </c>
      <c r="BC196" s="187">
        <v>161590</v>
      </c>
      <c r="BD196" s="187">
        <v>2990</v>
      </c>
      <c r="BE196" s="187" t="s">
        <v>396</v>
      </c>
      <c r="BF196" s="187" t="s">
        <v>396</v>
      </c>
      <c r="BG196" s="187" t="s">
        <v>396</v>
      </c>
    </row>
    <row r="197" spans="1:59">
      <c r="A197" s="187">
        <v>537531</v>
      </c>
      <c r="B197" s="187">
        <v>18487017</v>
      </c>
      <c r="C197" s="187">
        <v>2021</v>
      </c>
      <c r="D197" s="187" t="s">
        <v>380</v>
      </c>
      <c r="E197" s="187">
        <v>11</v>
      </c>
      <c r="F197" s="187" t="s">
        <v>381</v>
      </c>
      <c r="G197" s="187" t="s">
        <v>430</v>
      </c>
      <c r="H197" s="187" t="s">
        <v>408</v>
      </c>
      <c r="I197" s="187" t="s">
        <v>409</v>
      </c>
      <c r="J197" s="187">
        <v>29.76999</v>
      </c>
      <c r="K197" s="187">
        <v>-95.606300000000005</v>
      </c>
      <c r="L197" s="187" t="s">
        <v>446</v>
      </c>
      <c r="M197" s="187" t="s">
        <v>446</v>
      </c>
      <c r="N197" s="187" t="s">
        <v>418</v>
      </c>
      <c r="O197" s="187" t="s">
        <v>388</v>
      </c>
      <c r="P197" s="187" t="s">
        <v>389</v>
      </c>
      <c r="Q197" s="187" t="s">
        <v>102</v>
      </c>
      <c r="R197" s="187" t="s">
        <v>446</v>
      </c>
      <c r="S197" s="187">
        <v>0</v>
      </c>
      <c r="T197" s="187">
        <v>0</v>
      </c>
      <c r="U197" s="187">
        <v>0</v>
      </c>
      <c r="V197" s="187">
        <v>0</v>
      </c>
      <c r="W197" s="187">
        <v>0</v>
      </c>
      <c r="X197" s="187">
        <v>1</v>
      </c>
      <c r="Y197" s="187">
        <v>1</v>
      </c>
      <c r="Z197" s="187">
        <v>0</v>
      </c>
      <c r="AA197" s="187">
        <v>0</v>
      </c>
      <c r="AB197" s="187">
        <v>0</v>
      </c>
      <c r="AC197" s="187">
        <v>0</v>
      </c>
      <c r="AD197" s="187">
        <v>1</v>
      </c>
      <c r="AE197" s="187">
        <v>0</v>
      </c>
      <c r="AF197" s="187">
        <v>1</v>
      </c>
      <c r="AG197" s="187">
        <v>0</v>
      </c>
      <c r="AH197" s="187">
        <v>0</v>
      </c>
      <c r="AI197" s="187">
        <v>0</v>
      </c>
      <c r="AJ197" s="187">
        <v>0</v>
      </c>
      <c r="AK197" s="187">
        <v>0</v>
      </c>
      <c r="AL197" s="187">
        <v>0</v>
      </c>
      <c r="AM197" s="187">
        <v>0</v>
      </c>
      <c r="AN197" s="187">
        <v>0</v>
      </c>
      <c r="AO197" s="187">
        <v>0</v>
      </c>
      <c r="AP197" s="187">
        <v>0</v>
      </c>
      <c r="AQ197" s="187">
        <v>0</v>
      </c>
      <c r="AR197" s="187">
        <v>0</v>
      </c>
      <c r="AS197" s="187">
        <v>0</v>
      </c>
      <c r="AT197" s="187">
        <v>0</v>
      </c>
      <c r="AU197" s="187" t="s">
        <v>52</v>
      </c>
      <c r="AV197" s="187" t="s">
        <v>391</v>
      </c>
      <c r="AW197" s="187" t="s">
        <v>392</v>
      </c>
      <c r="AX197" s="187" t="s">
        <v>393</v>
      </c>
      <c r="AY197" s="187">
        <v>77079</v>
      </c>
      <c r="AZ197" s="188">
        <v>48200000000</v>
      </c>
      <c r="BA197" s="187" t="s">
        <v>394</v>
      </c>
      <c r="BB197" s="187" t="s">
        <v>395</v>
      </c>
      <c r="BC197" s="187">
        <v>162030</v>
      </c>
      <c r="BD197" s="187">
        <v>2990</v>
      </c>
      <c r="BE197" s="187" t="s">
        <v>396</v>
      </c>
      <c r="BF197" s="187" t="s">
        <v>396</v>
      </c>
      <c r="BG197" s="187" t="s">
        <v>396</v>
      </c>
    </row>
    <row r="198" spans="1:59">
      <c r="A198" s="187">
        <v>538533</v>
      </c>
      <c r="B198" s="187">
        <v>18491540</v>
      </c>
      <c r="C198" s="187">
        <v>2021</v>
      </c>
      <c r="D198" s="187" t="s">
        <v>380</v>
      </c>
      <c r="E198" s="187">
        <v>18</v>
      </c>
      <c r="F198" s="187" t="s">
        <v>411</v>
      </c>
      <c r="G198" s="187" t="s">
        <v>382</v>
      </c>
      <c r="H198" s="187" t="s">
        <v>383</v>
      </c>
      <c r="I198" s="187" t="s">
        <v>415</v>
      </c>
      <c r="J198" s="187">
        <v>29.75761</v>
      </c>
      <c r="K198" s="187">
        <v>-95.606300000000005</v>
      </c>
      <c r="L198" s="187" t="s">
        <v>385</v>
      </c>
      <c r="M198" s="187" t="s">
        <v>386</v>
      </c>
      <c r="N198" s="187" t="s">
        <v>425</v>
      </c>
      <c r="O198" s="187" t="s">
        <v>388</v>
      </c>
      <c r="P198" s="187" t="s">
        <v>389</v>
      </c>
      <c r="Q198" s="187" t="s">
        <v>102</v>
      </c>
      <c r="R198" s="187" t="s">
        <v>449</v>
      </c>
      <c r="S198" s="187">
        <v>0</v>
      </c>
      <c r="T198" s="187">
        <v>0</v>
      </c>
      <c r="U198" s="187">
        <v>0</v>
      </c>
      <c r="V198" s="187">
        <v>0</v>
      </c>
      <c r="W198" s="187">
        <v>0</v>
      </c>
      <c r="X198" s="187">
        <v>2</v>
      </c>
      <c r="Y198" s="187">
        <v>0</v>
      </c>
      <c r="Z198" s="187">
        <v>0</v>
      </c>
      <c r="AA198" s="187">
        <v>0</v>
      </c>
      <c r="AB198" s="187">
        <v>0</v>
      </c>
      <c r="AC198" s="187">
        <v>0</v>
      </c>
      <c r="AD198" s="187">
        <v>2</v>
      </c>
      <c r="AE198" s="187">
        <v>0</v>
      </c>
      <c r="AF198" s="187">
        <v>0</v>
      </c>
      <c r="AG198" s="187">
        <v>0</v>
      </c>
      <c r="AH198" s="187">
        <v>0</v>
      </c>
      <c r="AI198" s="187">
        <v>0</v>
      </c>
      <c r="AJ198" s="187">
        <v>0</v>
      </c>
      <c r="AK198" s="187">
        <v>0</v>
      </c>
      <c r="AL198" s="187">
        <v>0</v>
      </c>
      <c r="AM198" s="187">
        <v>0</v>
      </c>
      <c r="AN198" s="187">
        <v>0</v>
      </c>
      <c r="AO198" s="187">
        <v>0</v>
      </c>
      <c r="AP198" s="187">
        <v>0</v>
      </c>
      <c r="AQ198" s="187">
        <v>0</v>
      </c>
      <c r="AR198" s="187">
        <v>0</v>
      </c>
      <c r="AS198" s="187">
        <v>0</v>
      </c>
      <c r="AT198" s="187">
        <v>0</v>
      </c>
      <c r="AU198" s="187" t="s">
        <v>52</v>
      </c>
      <c r="AV198" s="187" t="s">
        <v>391</v>
      </c>
      <c r="AW198" s="187" t="s">
        <v>392</v>
      </c>
      <c r="AX198" s="187" t="s">
        <v>393</v>
      </c>
      <c r="AY198" s="187">
        <v>77077</v>
      </c>
      <c r="AZ198" s="188">
        <v>48200000000</v>
      </c>
      <c r="BA198" s="187" t="s">
        <v>394</v>
      </c>
      <c r="BB198" s="187" t="s">
        <v>395</v>
      </c>
      <c r="BC198" s="187">
        <v>161590</v>
      </c>
      <c r="BD198" s="187">
        <v>2990</v>
      </c>
      <c r="BE198" s="187" t="s">
        <v>396</v>
      </c>
      <c r="BF198" s="187" t="s">
        <v>396</v>
      </c>
      <c r="BG198" s="187" t="s">
        <v>396</v>
      </c>
    </row>
    <row r="199" spans="1:59">
      <c r="A199" s="187">
        <v>543216</v>
      </c>
      <c r="B199" s="187">
        <v>18508983</v>
      </c>
      <c r="C199" s="187">
        <v>2021</v>
      </c>
      <c r="D199" s="187" t="s">
        <v>380</v>
      </c>
      <c r="E199" s="187">
        <v>13</v>
      </c>
      <c r="F199" s="187" t="s">
        <v>421</v>
      </c>
      <c r="G199" s="187" t="s">
        <v>382</v>
      </c>
      <c r="H199" s="187" t="s">
        <v>383</v>
      </c>
      <c r="I199" s="187" t="s">
        <v>409</v>
      </c>
      <c r="J199" s="187">
        <v>29.758150000000001</v>
      </c>
      <c r="K199" s="187">
        <v>-95.606300000000005</v>
      </c>
      <c r="L199" s="187" t="s">
        <v>405</v>
      </c>
      <c r="M199" s="187" t="s">
        <v>386</v>
      </c>
      <c r="N199" s="187" t="s">
        <v>416</v>
      </c>
      <c r="O199" s="187" t="s">
        <v>388</v>
      </c>
      <c r="P199" s="187" t="s">
        <v>342</v>
      </c>
      <c r="Q199" s="187" t="s">
        <v>103</v>
      </c>
      <c r="R199" s="187" t="s">
        <v>424</v>
      </c>
      <c r="S199" s="187">
        <v>0</v>
      </c>
      <c r="T199" s="187">
        <v>0</v>
      </c>
      <c r="U199" s="187">
        <v>0</v>
      </c>
      <c r="V199" s="187">
        <v>3</v>
      </c>
      <c r="W199" s="187">
        <v>3</v>
      </c>
      <c r="X199" s="187">
        <v>0</v>
      </c>
      <c r="Y199" s="187">
        <v>0</v>
      </c>
      <c r="Z199" s="187">
        <v>0</v>
      </c>
      <c r="AA199" s="187">
        <v>0</v>
      </c>
      <c r="AB199" s="187">
        <v>0</v>
      </c>
      <c r="AC199" s="187">
        <v>3</v>
      </c>
      <c r="AD199" s="187">
        <v>0</v>
      </c>
      <c r="AE199" s="187">
        <v>3</v>
      </c>
      <c r="AF199" s="187">
        <v>0</v>
      </c>
      <c r="AG199" s="187">
        <v>0</v>
      </c>
      <c r="AH199" s="187">
        <v>0</v>
      </c>
      <c r="AI199" s="187">
        <v>0</v>
      </c>
      <c r="AJ199" s="187">
        <v>0</v>
      </c>
      <c r="AK199" s="187">
        <v>0</v>
      </c>
      <c r="AL199" s="187">
        <v>0</v>
      </c>
      <c r="AM199" s="187">
        <v>0</v>
      </c>
      <c r="AN199" s="187">
        <v>0</v>
      </c>
      <c r="AO199" s="187">
        <v>0</v>
      </c>
      <c r="AP199" s="187">
        <v>0</v>
      </c>
      <c r="AQ199" s="187">
        <v>0</v>
      </c>
      <c r="AR199" s="187">
        <v>0</v>
      </c>
      <c r="AS199" s="187">
        <v>0</v>
      </c>
      <c r="AT199" s="187">
        <v>0</v>
      </c>
      <c r="AU199" s="187" t="s">
        <v>52</v>
      </c>
      <c r="AV199" s="187" t="s">
        <v>391</v>
      </c>
      <c r="AW199" s="187" t="s">
        <v>392</v>
      </c>
      <c r="AX199" s="187" t="s">
        <v>393</v>
      </c>
      <c r="AY199" s="187">
        <v>77077</v>
      </c>
      <c r="AZ199" s="188">
        <v>48200000000</v>
      </c>
      <c r="BA199" s="187" t="s">
        <v>394</v>
      </c>
      <c r="BB199" s="187" t="s">
        <v>395</v>
      </c>
      <c r="BC199" s="187">
        <v>161590</v>
      </c>
      <c r="BD199" s="187">
        <v>2990</v>
      </c>
      <c r="BE199" s="187" t="s">
        <v>396</v>
      </c>
      <c r="BF199" s="187" t="s">
        <v>396</v>
      </c>
      <c r="BG199" s="187" t="s">
        <v>396</v>
      </c>
    </row>
    <row r="200" spans="1:59">
      <c r="A200" s="187">
        <v>547267</v>
      </c>
      <c r="B200" s="187">
        <v>18525128</v>
      </c>
      <c r="C200" s="187">
        <v>2021</v>
      </c>
      <c r="D200" s="187" t="s">
        <v>380</v>
      </c>
      <c r="E200" s="187">
        <v>22</v>
      </c>
      <c r="F200" s="187" t="s">
        <v>414</v>
      </c>
      <c r="G200" s="187" t="s">
        <v>382</v>
      </c>
      <c r="H200" s="187" t="s">
        <v>383</v>
      </c>
      <c r="I200" s="187" t="s">
        <v>415</v>
      </c>
      <c r="J200" s="187">
        <v>29.75807</v>
      </c>
      <c r="K200" s="187">
        <v>-95.606099999999998</v>
      </c>
      <c r="L200" s="187" t="s">
        <v>385</v>
      </c>
      <c r="M200" s="187" t="s">
        <v>400</v>
      </c>
      <c r="N200" s="187" t="s">
        <v>401</v>
      </c>
      <c r="O200" s="187" t="s">
        <v>388</v>
      </c>
      <c r="P200" s="187" t="s">
        <v>389</v>
      </c>
      <c r="Q200" s="187" t="s">
        <v>103</v>
      </c>
      <c r="R200" s="187" t="s">
        <v>403</v>
      </c>
      <c r="S200" s="187">
        <v>0</v>
      </c>
      <c r="T200" s="187">
        <v>0</v>
      </c>
      <c r="U200" s="187">
        <v>0</v>
      </c>
      <c r="V200" s="187">
        <v>0</v>
      </c>
      <c r="W200" s="187">
        <v>0</v>
      </c>
      <c r="X200" s="187">
        <v>4</v>
      </c>
      <c r="Y200" s="187">
        <v>0</v>
      </c>
      <c r="Z200" s="187">
        <v>0</v>
      </c>
      <c r="AA200" s="187">
        <v>0</v>
      </c>
      <c r="AB200" s="187">
        <v>0</v>
      </c>
      <c r="AC200" s="187">
        <v>0</v>
      </c>
      <c r="AD200" s="187">
        <v>4</v>
      </c>
      <c r="AE200" s="187">
        <v>0</v>
      </c>
      <c r="AF200" s="187">
        <v>0</v>
      </c>
      <c r="AG200" s="187">
        <v>0</v>
      </c>
      <c r="AH200" s="187">
        <v>0</v>
      </c>
      <c r="AI200" s="187">
        <v>0</v>
      </c>
      <c r="AJ200" s="187">
        <v>0</v>
      </c>
      <c r="AK200" s="187">
        <v>0</v>
      </c>
      <c r="AL200" s="187">
        <v>0</v>
      </c>
      <c r="AM200" s="187">
        <v>0</v>
      </c>
      <c r="AN200" s="187">
        <v>0</v>
      </c>
      <c r="AO200" s="187">
        <v>0</v>
      </c>
      <c r="AP200" s="187">
        <v>0</v>
      </c>
      <c r="AQ200" s="187">
        <v>0</v>
      </c>
      <c r="AR200" s="187">
        <v>0</v>
      </c>
      <c r="AS200" s="187">
        <v>0</v>
      </c>
      <c r="AT200" s="187">
        <v>0</v>
      </c>
      <c r="AU200" s="187" t="s">
        <v>52</v>
      </c>
      <c r="AV200" s="187" t="s">
        <v>391</v>
      </c>
      <c r="AW200" s="187" t="s">
        <v>392</v>
      </c>
      <c r="AX200" s="187" t="s">
        <v>393</v>
      </c>
      <c r="AY200" s="187">
        <v>77077</v>
      </c>
      <c r="AZ200" s="188">
        <v>48200000000</v>
      </c>
      <c r="BA200" s="187" t="s">
        <v>394</v>
      </c>
      <c r="BB200" s="187" t="s">
        <v>395</v>
      </c>
      <c r="BC200" s="187">
        <v>161590</v>
      </c>
      <c r="BD200" s="187">
        <v>2990</v>
      </c>
      <c r="BE200" s="187" t="s">
        <v>396</v>
      </c>
      <c r="BF200" s="187" t="s">
        <v>396</v>
      </c>
      <c r="BG200" s="187" t="s">
        <v>396</v>
      </c>
    </row>
    <row r="201" spans="1:59">
      <c r="A201" s="187">
        <v>555131</v>
      </c>
      <c r="B201" s="187">
        <v>18555557</v>
      </c>
      <c r="C201" s="187">
        <v>2021</v>
      </c>
      <c r="D201" s="187" t="s">
        <v>380</v>
      </c>
      <c r="E201" s="187">
        <v>17</v>
      </c>
      <c r="F201" s="187" t="s">
        <v>421</v>
      </c>
      <c r="G201" s="187" t="s">
        <v>382</v>
      </c>
      <c r="H201" s="187" t="s">
        <v>383</v>
      </c>
      <c r="I201" s="187" t="s">
        <v>409</v>
      </c>
      <c r="J201" s="187">
        <v>29.758150000000001</v>
      </c>
      <c r="K201" s="187">
        <v>-95.606300000000005</v>
      </c>
      <c r="L201" s="187" t="s">
        <v>385</v>
      </c>
      <c r="M201" s="187" t="s">
        <v>386</v>
      </c>
      <c r="N201" s="187" t="s">
        <v>401</v>
      </c>
      <c r="O201" s="187" t="s">
        <v>388</v>
      </c>
      <c r="P201" s="187" t="s">
        <v>389</v>
      </c>
      <c r="Q201" s="187" t="s">
        <v>103</v>
      </c>
      <c r="R201" s="187" t="s">
        <v>444</v>
      </c>
      <c r="S201" s="187">
        <v>0</v>
      </c>
      <c r="T201" s="187">
        <v>0</v>
      </c>
      <c r="U201" s="187">
        <v>0</v>
      </c>
      <c r="V201" s="187">
        <v>0</v>
      </c>
      <c r="W201" s="187">
        <v>0</v>
      </c>
      <c r="X201" s="187">
        <v>3</v>
      </c>
      <c r="Y201" s="187">
        <v>0</v>
      </c>
      <c r="Z201" s="187">
        <v>0</v>
      </c>
      <c r="AA201" s="187">
        <v>0</v>
      </c>
      <c r="AB201" s="187">
        <v>0</v>
      </c>
      <c r="AC201" s="187">
        <v>0</v>
      </c>
      <c r="AD201" s="187">
        <v>3</v>
      </c>
      <c r="AE201" s="187">
        <v>0</v>
      </c>
      <c r="AF201" s="187">
        <v>0</v>
      </c>
      <c r="AG201" s="187">
        <v>0</v>
      </c>
      <c r="AH201" s="187">
        <v>0</v>
      </c>
      <c r="AI201" s="187">
        <v>0</v>
      </c>
      <c r="AJ201" s="187">
        <v>0</v>
      </c>
      <c r="AK201" s="187">
        <v>0</v>
      </c>
      <c r="AL201" s="187">
        <v>0</v>
      </c>
      <c r="AM201" s="187">
        <v>0</v>
      </c>
      <c r="AN201" s="187">
        <v>0</v>
      </c>
      <c r="AO201" s="187">
        <v>0</v>
      </c>
      <c r="AP201" s="187">
        <v>0</v>
      </c>
      <c r="AQ201" s="187">
        <v>0</v>
      </c>
      <c r="AR201" s="187">
        <v>0</v>
      </c>
      <c r="AS201" s="187">
        <v>0</v>
      </c>
      <c r="AT201" s="187">
        <v>0</v>
      </c>
      <c r="AU201" s="187" t="s">
        <v>52</v>
      </c>
      <c r="AV201" s="187" t="s">
        <v>391</v>
      </c>
      <c r="AW201" s="187" t="s">
        <v>392</v>
      </c>
      <c r="AX201" s="187" t="s">
        <v>393</v>
      </c>
      <c r="AY201" s="187">
        <v>77077</v>
      </c>
      <c r="AZ201" s="188">
        <v>48200000000</v>
      </c>
      <c r="BA201" s="187" t="s">
        <v>394</v>
      </c>
      <c r="BB201" s="187" t="s">
        <v>395</v>
      </c>
      <c r="BC201" s="187">
        <v>161590</v>
      </c>
      <c r="BD201" s="187">
        <v>2990</v>
      </c>
      <c r="BE201" s="187" t="s">
        <v>396</v>
      </c>
      <c r="BF201" s="187" t="s">
        <v>396</v>
      </c>
      <c r="BG201" s="187" t="s">
        <v>396</v>
      </c>
    </row>
    <row r="202" spans="1:59">
      <c r="A202" s="187">
        <v>557638</v>
      </c>
      <c r="B202" s="187">
        <v>18565856</v>
      </c>
      <c r="C202" s="187">
        <v>2021</v>
      </c>
      <c r="D202" s="187" t="s">
        <v>380</v>
      </c>
      <c r="E202" s="187">
        <v>1</v>
      </c>
      <c r="F202" s="187" t="s">
        <v>397</v>
      </c>
      <c r="G202" s="187" t="s">
        <v>382</v>
      </c>
      <c r="H202" s="187" t="s">
        <v>443</v>
      </c>
      <c r="I202" s="187" t="s">
        <v>415</v>
      </c>
      <c r="J202" s="187">
        <v>29.769290000000002</v>
      </c>
      <c r="K202" s="187">
        <v>-95.606300000000005</v>
      </c>
      <c r="L202" s="187" t="s">
        <v>385</v>
      </c>
      <c r="M202" s="187" t="s">
        <v>400</v>
      </c>
      <c r="N202" s="187" t="s">
        <v>425</v>
      </c>
      <c r="O202" s="187" t="s">
        <v>388</v>
      </c>
      <c r="P202" s="187" t="s">
        <v>389</v>
      </c>
      <c r="Q202" s="187" t="s">
        <v>102</v>
      </c>
      <c r="R202" s="187" t="s">
        <v>413</v>
      </c>
      <c r="S202" s="187">
        <v>0</v>
      </c>
      <c r="T202" s="187">
        <v>0</v>
      </c>
      <c r="U202" s="187">
        <v>0</v>
      </c>
      <c r="V202" s="187">
        <v>0</v>
      </c>
      <c r="W202" s="187">
        <v>0</v>
      </c>
      <c r="X202" s="187">
        <v>2</v>
      </c>
      <c r="Y202" s="187">
        <v>0</v>
      </c>
      <c r="Z202" s="187">
        <v>0</v>
      </c>
      <c r="AA202" s="187">
        <v>0</v>
      </c>
      <c r="AB202" s="187">
        <v>0</v>
      </c>
      <c r="AC202" s="187">
        <v>0</v>
      </c>
      <c r="AD202" s="187">
        <v>2</v>
      </c>
      <c r="AE202" s="187">
        <v>0</v>
      </c>
      <c r="AF202" s="187">
        <v>0</v>
      </c>
      <c r="AG202" s="187">
        <v>0</v>
      </c>
      <c r="AH202" s="187">
        <v>0</v>
      </c>
      <c r="AI202" s="187">
        <v>0</v>
      </c>
      <c r="AJ202" s="187">
        <v>0</v>
      </c>
      <c r="AK202" s="187">
        <v>0</v>
      </c>
      <c r="AL202" s="187">
        <v>0</v>
      </c>
      <c r="AM202" s="187">
        <v>0</v>
      </c>
      <c r="AN202" s="187">
        <v>0</v>
      </c>
      <c r="AO202" s="187">
        <v>0</v>
      </c>
      <c r="AP202" s="187">
        <v>0</v>
      </c>
      <c r="AQ202" s="187">
        <v>0</v>
      </c>
      <c r="AR202" s="187">
        <v>0</v>
      </c>
      <c r="AS202" s="187">
        <v>0</v>
      </c>
      <c r="AT202" s="187">
        <v>0</v>
      </c>
      <c r="AU202" s="187" t="s">
        <v>52</v>
      </c>
      <c r="AV202" s="187" t="s">
        <v>391</v>
      </c>
      <c r="AW202" s="187" t="s">
        <v>392</v>
      </c>
      <c r="AX202" s="187" t="s">
        <v>393</v>
      </c>
      <c r="AY202" s="187">
        <v>77079</v>
      </c>
      <c r="AZ202" s="188">
        <v>48200000000</v>
      </c>
      <c r="BA202" s="187" t="s">
        <v>394</v>
      </c>
      <c r="BB202" s="187" t="s">
        <v>395</v>
      </c>
      <c r="BC202" s="187">
        <v>161810</v>
      </c>
      <c r="BD202" s="187">
        <v>2990</v>
      </c>
      <c r="BE202" s="187" t="s">
        <v>396</v>
      </c>
      <c r="BF202" s="187" t="s">
        <v>396</v>
      </c>
      <c r="BG202" s="187" t="s">
        <v>396</v>
      </c>
    </row>
    <row r="203" spans="1:59">
      <c r="A203" s="187">
        <v>565446</v>
      </c>
      <c r="B203" s="187">
        <v>18597039</v>
      </c>
      <c r="C203" s="187">
        <v>2021</v>
      </c>
      <c r="D203" s="187" t="s">
        <v>380</v>
      </c>
      <c r="E203" s="187">
        <v>9</v>
      </c>
      <c r="F203" s="187" t="s">
        <v>414</v>
      </c>
      <c r="G203" s="187" t="s">
        <v>382</v>
      </c>
      <c r="H203" s="187" t="s">
        <v>404</v>
      </c>
      <c r="I203" s="187" t="s">
        <v>415</v>
      </c>
      <c r="J203" s="187">
        <v>29.766259999999999</v>
      </c>
      <c r="K203" s="187">
        <v>-95.606300000000005</v>
      </c>
      <c r="L203" s="187" t="s">
        <v>385</v>
      </c>
      <c r="M203" s="187" t="s">
        <v>386</v>
      </c>
      <c r="N203" s="187" t="s">
        <v>425</v>
      </c>
      <c r="O203" s="187" t="s">
        <v>388</v>
      </c>
      <c r="P203" s="187" t="s">
        <v>420</v>
      </c>
      <c r="Q203" s="187" t="s">
        <v>102</v>
      </c>
      <c r="R203" s="187" t="s">
        <v>416</v>
      </c>
      <c r="S203" s="187">
        <v>0</v>
      </c>
      <c r="T203" s="187">
        <v>1</v>
      </c>
      <c r="U203" s="187">
        <v>0</v>
      </c>
      <c r="V203" s="187">
        <v>0</v>
      </c>
      <c r="W203" s="187">
        <v>1</v>
      </c>
      <c r="X203" s="187">
        <v>0</v>
      </c>
      <c r="Y203" s="187">
        <v>1</v>
      </c>
      <c r="Z203" s="187">
        <v>0</v>
      </c>
      <c r="AA203" s="187">
        <v>1</v>
      </c>
      <c r="AB203" s="187">
        <v>0</v>
      </c>
      <c r="AC203" s="187">
        <v>0</v>
      </c>
      <c r="AD203" s="187">
        <v>0</v>
      </c>
      <c r="AE203" s="187">
        <v>1</v>
      </c>
      <c r="AF203" s="187">
        <v>1</v>
      </c>
      <c r="AG203" s="187">
        <v>0</v>
      </c>
      <c r="AH203" s="187">
        <v>0</v>
      </c>
      <c r="AI203" s="187">
        <v>0</v>
      </c>
      <c r="AJ203" s="187">
        <v>0</v>
      </c>
      <c r="AK203" s="187">
        <v>0</v>
      </c>
      <c r="AL203" s="187">
        <v>0</v>
      </c>
      <c r="AM203" s="187">
        <v>0</v>
      </c>
      <c r="AN203" s="187">
        <v>0</v>
      </c>
      <c r="AO203" s="187">
        <v>0</v>
      </c>
      <c r="AP203" s="187">
        <v>0</v>
      </c>
      <c r="AQ203" s="187">
        <v>0</v>
      </c>
      <c r="AR203" s="187">
        <v>0</v>
      </c>
      <c r="AS203" s="187">
        <v>0</v>
      </c>
      <c r="AT203" s="187">
        <v>0</v>
      </c>
      <c r="AU203" s="187" t="s">
        <v>52</v>
      </c>
      <c r="AV203" s="187" t="s">
        <v>391</v>
      </c>
      <c r="AW203" s="187" t="s">
        <v>392</v>
      </c>
      <c r="AX203" s="187" t="s">
        <v>393</v>
      </c>
      <c r="AY203" s="187">
        <v>77079</v>
      </c>
      <c r="AZ203" s="188">
        <v>48200000000</v>
      </c>
      <c r="BA203" s="187" t="s">
        <v>394</v>
      </c>
      <c r="BB203" s="187" t="s">
        <v>395</v>
      </c>
      <c r="BC203" s="187">
        <v>161810</v>
      </c>
      <c r="BD203" s="187">
        <v>2990</v>
      </c>
      <c r="BE203" s="187" t="s">
        <v>396</v>
      </c>
      <c r="BF203" s="187" t="s">
        <v>396</v>
      </c>
      <c r="BG203" s="187" t="s">
        <v>396</v>
      </c>
    </row>
    <row r="204" spans="1:59">
      <c r="A204" s="187">
        <v>565636</v>
      </c>
      <c r="B204" s="187">
        <v>18597825</v>
      </c>
      <c r="C204" s="187">
        <v>2021</v>
      </c>
      <c r="D204" s="187" t="s">
        <v>380</v>
      </c>
      <c r="E204" s="187">
        <v>12</v>
      </c>
      <c r="F204" s="187" t="s">
        <v>397</v>
      </c>
      <c r="G204" s="187" t="s">
        <v>382</v>
      </c>
      <c r="H204" s="187" t="s">
        <v>404</v>
      </c>
      <c r="I204" s="187" t="s">
        <v>415</v>
      </c>
      <c r="J204" s="187">
        <v>29.770060000000001</v>
      </c>
      <c r="K204" s="187">
        <v>-95.606300000000005</v>
      </c>
      <c r="L204" s="187" t="s">
        <v>385</v>
      </c>
      <c r="M204" s="187" t="s">
        <v>386</v>
      </c>
      <c r="N204" s="187" t="s">
        <v>401</v>
      </c>
      <c r="O204" s="187" t="s">
        <v>388</v>
      </c>
      <c r="P204" s="187" t="s">
        <v>389</v>
      </c>
      <c r="Q204" s="187" t="s">
        <v>106</v>
      </c>
      <c r="R204" s="187" t="s">
        <v>433</v>
      </c>
      <c r="S204" s="187">
        <v>0</v>
      </c>
      <c r="T204" s="187">
        <v>0</v>
      </c>
      <c r="U204" s="187">
        <v>0</v>
      </c>
      <c r="V204" s="187">
        <v>0</v>
      </c>
      <c r="W204" s="187">
        <v>0</v>
      </c>
      <c r="X204" s="187">
        <v>4</v>
      </c>
      <c r="Y204" s="187">
        <v>0</v>
      </c>
      <c r="Z204" s="187">
        <v>0</v>
      </c>
      <c r="AA204" s="187">
        <v>0</v>
      </c>
      <c r="AB204" s="187">
        <v>0</v>
      </c>
      <c r="AC204" s="187">
        <v>0</v>
      </c>
      <c r="AD204" s="187">
        <v>4</v>
      </c>
      <c r="AE204" s="187">
        <v>0</v>
      </c>
      <c r="AF204" s="187">
        <v>0</v>
      </c>
      <c r="AG204" s="187">
        <v>0</v>
      </c>
      <c r="AH204" s="187">
        <v>0</v>
      </c>
      <c r="AI204" s="187">
        <v>0</v>
      </c>
      <c r="AJ204" s="187">
        <v>0</v>
      </c>
      <c r="AK204" s="187">
        <v>0</v>
      </c>
      <c r="AL204" s="187">
        <v>0</v>
      </c>
      <c r="AM204" s="187">
        <v>0</v>
      </c>
      <c r="AN204" s="187">
        <v>0</v>
      </c>
      <c r="AO204" s="187">
        <v>0</v>
      </c>
      <c r="AP204" s="187">
        <v>0</v>
      </c>
      <c r="AQ204" s="187">
        <v>0</v>
      </c>
      <c r="AR204" s="187">
        <v>0</v>
      </c>
      <c r="AS204" s="187">
        <v>0</v>
      </c>
      <c r="AT204" s="187">
        <v>0</v>
      </c>
      <c r="AU204" s="187" t="s">
        <v>52</v>
      </c>
      <c r="AV204" s="187" t="s">
        <v>391</v>
      </c>
      <c r="AW204" s="187" t="s">
        <v>392</v>
      </c>
      <c r="AX204" s="187" t="s">
        <v>393</v>
      </c>
      <c r="AY204" s="187">
        <v>77079</v>
      </c>
      <c r="AZ204" s="188">
        <v>48200000000</v>
      </c>
      <c r="BA204" s="187" t="s">
        <v>394</v>
      </c>
      <c r="BB204" s="187" t="s">
        <v>395</v>
      </c>
      <c r="BC204" s="187">
        <v>162030</v>
      </c>
      <c r="BD204" s="187">
        <v>2990</v>
      </c>
      <c r="BE204" s="187" t="s">
        <v>396</v>
      </c>
      <c r="BF204" s="187" t="s">
        <v>396</v>
      </c>
      <c r="BG204" s="187" t="s">
        <v>396</v>
      </c>
    </row>
    <row r="205" spans="1:59">
      <c r="A205" s="187">
        <v>571138</v>
      </c>
      <c r="B205" s="187">
        <v>18620290</v>
      </c>
      <c r="C205" s="187">
        <v>2021</v>
      </c>
      <c r="D205" s="187" t="s">
        <v>380</v>
      </c>
      <c r="E205" s="187">
        <v>17</v>
      </c>
      <c r="F205" s="187" t="s">
        <v>414</v>
      </c>
      <c r="G205" s="187" t="s">
        <v>382</v>
      </c>
      <c r="H205" s="187" t="s">
        <v>404</v>
      </c>
      <c r="I205" s="187" t="s">
        <v>415</v>
      </c>
      <c r="J205" s="187">
        <v>29.770130000000002</v>
      </c>
      <c r="K205" s="187">
        <v>-95.606300000000005</v>
      </c>
      <c r="L205" s="187" t="s">
        <v>385</v>
      </c>
      <c r="M205" s="187" t="s">
        <v>400</v>
      </c>
      <c r="N205" s="187" t="s">
        <v>425</v>
      </c>
      <c r="O205" s="187" t="s">
        <v>388</v>
      </c>
      <c r="P205" s="187" t="s">
        <v>402</v>
      </c>
      <c r="Q205" s="187" t="s">
        <v>102</v>
      </c>
      <c r="R205" s="187" t="s">
        <v>403</v>
      </c>
      <c r="S205" s="187">
        <v>0</v>
      </c>
      <c r="T205" s="187">
        <v>0</v>
      </c>
      <c r="U205" s="187">
        <v>1</v>
      </c>
      <c r="V205" s="187">
        <v>0</v>
      </c>
      <c r="W205" s="187">
        <v>1</v>
      </c>
      <c r="X205" s="187">
        <v>0</v>
      </c>
      <c r="Y205" s="187">
        <v>1</v>
      </c>
      <c r="Z205" s="187">
        <v>0</v>
      </c>
      <c r="AA205" s="187">
        <v>0</v>
      </c>
      <c r="AB205" s="187">
        <v>1</v>
      </c>
      <c r="AC205" s="187">
        <v>0</v>
      </c>
      <c r="AD205" s="187">
        <v>0</v>
      </c>
      <c r="AE205" s="187">
        <v>1</v>
      </c>
      <c r="AF205" s="187">
        <v>1</v>
      </c>
      <c r="AG205" s="187">
        <v>0</v>
      </c>
      <c r="AH205" s="187">
        <v>0</v>
      </c>
      <c r="AI205" s="187">
        <v>0</v>
      </c>
      <c r="AJ205" s="187">
        <v>0</v>
      </c>
      <c r="AK205" s="187">
        <v>0</v>
      </c>
      <c r="AL205" s="187">
        <v>0</v>
      </c>
      <c r="AM205" s="187">
        <v>0</v>
      </c>
      <c r="AN205" s="187">
        <v>0</v>
      </c>
      <c r="AO205" s="187">
        <v>0</v>
      </c>
      <c r="AP205" s="187">
        <v>0</v>
      </c>
      <c r="AQ205" s="187">
        <v>0</v>
      </c>
      <c r="AR205" s="187">
        <v>0</v>
      </c>
      <c r="AS205" s="187">
        <v>0</v>
      </c>
      <c r="AT205" s="187">
        <v>0</v>
      </c>
      <c r="AU205" s="187" t="s">
        <v>52</v>
      </c>
      <c r="AV205" s="187" t="s">
        <v>391</v>
      </c>
      <c r="AW205" s="187" t="s">
        <v>392</v>
      </c>
      <c r="AX205" s="187" t="s">
        <v>393</v>
      </c>
      <c r="AY205" s="187">
        <v>77079</v>
      </c>
      <c r="AZ205" s="188">
        <v>48200000000</v>
      </c>
      <c r="BA205" s="187" t="s">
        <v>394</v>
      </c>
      <c r="BB205" s="187" t="s">
        <v>395</v>
      </c>
      <c r="BC205" s="187">
        <v>162030</v>
      </c>
      <c r="BD205" s="187">
        <v>2990</v>
      </c>
      <c r="BE205" s="187" t="s">
        <v>396</v>
      </c>
      <c r="BF205" s="187" t="s">
        <v>396</v>
      </c>
      <c r="BG205" s="187" t="s">
        <v>396</v>
      </c>
    </row>
    <row r="206" spans="1:59">
      <c r="A206" s="187">
        <v>572735</v>
      </c>
      <c r="B206" s="187">
        <v>18626344</v>
      </c>
      <c r="C206" s="187">
        <v>2021</v>
      </c>
      <c r="D206" s="187" t="s">
        <v>380</v>
      </c>
      <c r="E206" s="187">
        <v>8</v>
      </c>
      <c r="F206" s="187" t="s">
        <v>421</v>
      </c>
      <c r="G206" s="187" t="s">
        <v>382</v>
      </c>
      <c r="H206" s="187" t="s">
        <v>383</v>
      </c>
      <c r="I206" s="187" t="s">
        <v>409</v>
      </c>
      <c r="J206" s="187">
        <v>29.758620000000001</v>
      </c>
      <c r="K206" s="187">
        <v>-95.606099999999998</v>
      </c>
      <c r="L206" s="187" t="s">
        <v>385</v>
      </c>
      <c r="M206" s="187" t="s">
        <v>386</v>
      </c>
      <c r="N206" s="187" t="s">
        <v>425</v>
      </c>
      <c r="O206" s="187" t="s">
        <v>388</v>
      </c>
      <c r="P206" s="187" t="s">
        <v>342</v>
      </c>
      <c r="Q206" s="187" t="s">
        <v>106</v>
      </c>
      <c r="R206" s="187" t="s">
        <v>417</v>
      </c>
      <c r="S206" s="187">
        <v>0</v>
      </c>
      <c r="T206" s="187">
        <v>0</v>
      </c>
      <c r="U206" s="187">
        <v>0</v>
      </c>
      <c r="V206" s="187">
        <v>1</v>
      </c>
      <c r="W206" s="187">
        <v>1</v>
      </c>
      <c r="X206" s="187">
        <v>2</v>
      </c>
      <c r="Y206" s="187">
        <v>1</v>
      </c>
      <c r="Z206" s="187">
        <v>0</v>
      </c>
      <c r="AA206" s="187">
        <v>0</v>
      </c>
      <c r="AB206" s="187">
        <v>0</v>
      </c>
      <c r="AC206" s="187">
        <v>1</v>
      </c>
      <c r="AD206" s="187">
        <v>2</v>
      </c>
      <c r="AE206" s="187">
        <v>1</v>
      </c>
      <c r="AF206" s="187">
        <v>1</v>
      </c>
      <c r="AG206" s="187">
        <v>0</v>
      </c>
      <c r="AH206" s="187">
        <v>0</v>
      </c>
      <c r="AI206" s="187">
        <v>0</v>
      </c>
      <c r="AJ206" s="187">
        <v>0</v>
      </c>
      <c r="AK206" s="187">
        <v>0</v>
      </c>
      <c r="AL206" s="187">
        <v>0</v>
      </c>
      <c r="AM206" s="187">
        <v>0</v>
      </c>
      <c r="AN206" s="187">
        <v>0</v>
      </c>
      <c r="AO206" s="187">
        <v>0</v>
      </c>
      <c r="AP206" s="187">
        <v>0</v>
      </c>
      <c r="AQ206" s="187">
        <v>0</v>
      </c>
      <c r="AR206" s="187">
        <v>0</v>
      </c>
      <c r="AS206" s="187">
        <v>0</v>
      </c>
      <c r="AT206" s="187">
        <v>0</v>
      </c>
      <c r="AU206" s="187" t="s">
        <v>52</v>
      </c>
      <c r="AV206" s="187" t="s">
        <v>391</v>
      </c>
      <c r="AW206" s="187" t="s">
        <v>392</v>
      </c>
      <c r="AX206" s="187" t="s">
        <v>393</v>
      </c>
      <c r="AY206" s="187">
        <v>77077</v>
      </c>
      <c r="AZ206" s="188">
        <v>48200000000</v>
      </c>
      <c r="BA206" s="187" t="s">
        <v>394</v>
      </c>
      <c r="BB206" s="187" t="s">
        <v>395</v>
      </c>
      <c r="BC206" s="187">
        <v>161590</v>
      </c>
      <c r="BD206" s="187">
        <v>2990</v>
      </c>
      <c r="BE206" s="187" t="s">
        <v>396</v>
      </c>
      <c r="BF206" s="187" t="s">
        <v>396</v>
      </c>
      <c r="BG206" s="187" t="s">
        <v>396</v>
      </c>
    </row>
    <row r="207" spans="1:59">
      <c r="A207" s="187">
        <v>573972</v>
      </c>
      <c r="B207" s="187">
        <v>18631692</v>
      </c>
      <c r="C207" s="187">
        <v>2021</v>
      </c>
      <c r="D207" s="187" t="s">
        <v>380</v>
      </c>
      <c r="E207" s="187">
        <v>7</v>
      </c>
      <c r="F207" s="187" t="s">
        <v>421</v>
      </c>
      <c r="G207" s="187" t="s">
        <v>382</v>
      </c>
      <c r="H207" s="187" t="s">
        <v>383</v>
      </c>
      <c r="I207" s="187" t="s">
        <v>398</v>
      </c>
      <c r="J207" s="187">
        <v>29.759989999999998</v>
      </c>
      <c r="K207" s="187">
        <v>-95.606099999999998</v>
      </c>
      <c r="L207" s="187" t="s">
        <v>385</v>
      </c>
      <c r="M207" s="187" t="s">
        <v>386</v>
      </c>
      <c r="N207" s="187" t="s">
        <v>401</v>
      </c>
      <c r="O207" s="187" t="s">
        <v>388</v>
      </c>
      <c r="P207" s="187" t="s">
        <v>389</v>
      </c>
      <c r="Q207" s="187" t="s">
        <v>102</v>
      </c>
      <c r="R207" s="187" t="s">
        <v>449</v>
      </c>
      <c r="S207" s="187">
        <v>0</v>
      </c>
      <c r="T207" s="187">
        <v>0</v>
      </c>
      <c r="U207" s="187">
        <v>0</v>
      </c>
      <c r="V207" s="187">
        <v>0</v>
      </c>
      <c r="W207" s="187">
        <v>0</v>
      </c>
      <c r="X207" s="187">
        <v>2</v>
      </c>
      <c r="Y207" s="187">
        <v>0</v>
      </c>
      <c r="Z207" s="187">
        <v>0</v>
      </c>
      <c r="AA207" s="187">
        <v>0</v>
      </c>
      <c r="AB207" s="187">
        <v>0</v>
      </c>
      <c r="AC207" s="187">
        <v>0</v>
      </c>
      <c r="AD207" s="187">
        <v>2</v>
      </c>
      <c r="AE207" s="187">
        <v>0</v>
      </c>
      <c r="AF207" s="187">
        <v>0</v>
      </c>
      <c r="AG207" s="187">
        <v>0</v>
      </c>
      <c r="AH207" s="187">
        <v>0</v>
      </c>
      <c r="AI207" s="187">
        <v>0</v>
      </c>
      <c r="AJ207" s="187">
        <v>0</v>
      </c>
      <c r="AK207" s="187">
        <v>0</v>
      </c>
      <c r="AL207" s="187">
        <v>0</v>
      </c>
      <c r="AM207" s="187">
        <v>0</v>
      </c>
      <c r="AN207" s="187">
        <v>0</v>
      </c>
      <c r="AO207" s="187">
        <v>0</v>
      </c>
      <c r="AP207" s="187">
        <v>0</v>
      </c>
      <c r="AQ207" s="187">
        <v>0</v>
      </c>
      <c r="AR207" s="187">
        <v>0</v>
      </c>
      <c r="AS207" s="187">
        <v>0</v>
      </c>
      <c r="AT207" s="187">
        <v>0</v>
      </c>
      <c r="AU207" s="187" t="s">
        <v>52</v>
      </c>
      <c r="AV207" s="187" t="s">
        <v>391</v>
      </c>
      <c r="AW207" s="187" t="s">
        <v>392</v>
      </c>
      <c r="AX207" s="187" t="s">
        <v>393</v>
      </c>
      <c r="AY207" s="187">
        <v>77077</v>
      </c>
      <c r="AZ207" s="188">
        <v>48200000000</v>
      </c>
      <c r="BA207" s="187" t="s">
        <v>394</v>
      </c>
      <c r="BB207" s="187" t="s">
        <v>395</v>
      </c>
      <c r="BC207" s="187">
        <v>161590</v>
      </c>
      <c r="BD207" s="187">
        <v>2990</v>
      </c>
      <c r="BE207" s="187" t="s">
        <v>396</v>
      </c>
      <c r="BF207" s="187" t="s">
        <v>396</v>
      </c>
      <c r="BG207" s="187" t="s">
        <v>396</v>
      </c>
    </row>
    <row r="208" spans="1:59">
      <c r="A208" s="187">
        <v>575596</v>
      </c>
      <c r="B208" s="187">
        <v>18638668</v>
      </c>
      <c r="C208" s="187">
        <v>2021</v>
      </c>
      <c r="D208" s="187" t="s">
        <v>380</v>
      </c>
      <c r="E208" s="187">
        <v>12</v>
      </c>
      <c r="F208" s="187" t="s">
        <v>381</v>
      </c>
      <c r="G208" s="187" t="s">
        <v>382</v>
      </c>
      <c r="H208" s="187" t="s">
        <v>419</v>
      </c>
      <c r="I208" s="187" t="s">
        <v>398</v>
      </c>
      <c r="J208" s="187">
        <v>29.753810000000001</v>
      </c>
      <c r="K208" s="187">
        <v>-95.606099999999998</v>
      </c>
      <c r="L208" s="187" t="s">
        <v>385</v>
      </c>
      <c r="M208" s="187" t="s">
        <v>386</v>
      </c>
      <c r="N208" s="187" t="s">
        <v>418</v>
      </c>
      <c r="O208" s="187" t="s">
        <v>441</v>
      </c>
      <c r="P208" s="187" t="s">
        <v>389</v>
      </c>
      <c r="Q208" s="187" t="s">
        <v>102</v>
      </c>
      <c r="R208" s="187" t="s">
        <v>403</v>
      </c>
      <c r="S208" s="187">
        <v>0</v>
      </c>
      <c r="T208" s="187">
        <v>0</v>
      </c>
      <c r="U208" s="187">
        <v>0</v>
      </c>
      <c r="V208" s="187">
        <v>0</v>
      </c>
      <c r="W208" s="187">
        <v>0</v>
      </c>
      <c r="X208" s="187">
        <v>1</v>
      </c>
      <c r="Y208" s="187">
        <v>0</v>
      </c>
      <c r="Z208" s="187">
        <v>0</v>
      </c>
      <c r="AA208" s="187">
        <v>0</v>
      </c>
      <c r="AB208" s="187">
        <v>0</v>
      </c>
      <c r="AC208" s="187">
        <v>0</v>
      </c>
      <c r="AD208" s="187">
        <v>1</v>
      </c>
      <c r="AE208" s="187">
        <v>0</v>
      </c>
      <c r="AF208" s="187">
        <v>0</v>
      </c>
      <c r="AG208" s="187">
        <v>0</v>
      </c>
      <c r="AH208" s="187">
        <v>0</v>
      </c>
      <c r="AI208" s="187">
        <v>0</v>
      </c>
      <c r="AJ208" s="187">
        <v>0</v>
      </c>
      <c r="AK208" s="187">
        <v>0</v>
      </c>
      <c r="AL208" s="187">
        <v>0</v>
      </c>
      <c r="AM208" s="187">
        <v>0</v>
      </c>
      <c r="AN208" s="187">
        <v>0</v>
      </c>
      <c r="AO208" s="187">
        <v>0</v>
      </c>
      <c r="AP208" s="187">
        <v>0</v>
      </c>
      <c r="AQ208" s="187">
        <v>0</v>
      </c>
      <c r="AR208" s="187">
        <v>0</v>
      </c>
      <c r="AS208" s="187">
        <v>0</v>
      </c>
      <c r="AT208" s="187">
        <v>0</v>
      </c>
      <c r="AU208" s="187" t="s">
        <v>52</v>
      </c>
      <c r="AV208" s="187" t="s">
        <v>391</v>
      </c>
      <c r="AW208" s="187" t="s">
        <v>392</v>
      </c>
      <c r="AX208" s="187" t="s">
        <v>393</v>
      </c>
      <c r="AY208" s="187">
        <v>77077</v>
      </c>
      <c r="AZ208" s="188">
        <v>48200000000</v>
      </c>
      <c r="BA208" s="187" t="s">
        <v>394</v>
      </c>
      <c r="BB208" s="187" t="s">
        <v>395</v>
      </c>
      <c r="BC208" s="187">
        <v>161370</v>
      </c>
      <c r="BD208" s="187">
        <v>2990</v>
      </c>
      <c r="BE208" s="187" t="s">
        <v>396</v>
      </c>
      <c r="BF208" s="187" t="s">
        <v>396</v>
      </c>
      <c r="BG208" s="187" t="s">
        <v>396</v>
      </c>
    </row>
    <row r="209" spans="1:59">
      <c r="A209" s="187">
        <v>575598</v>
      </c>
      <c r="B209" s="187">
        <v>18638674</v>
      </c>
      <c r="C209" s="187">
        <v>2021</v>
      </c>
      <c r="D209" s="187" t="s">
        <v>380</v>
      </c>
      <c r="E209" s="187">
        <v>15</v>
      </c>
      <c r="F209" s="187" t="s">
        <v>414</v>
      </c>
      <c r="G209" s="187" t="s">
        <v>382</v>
      </c>
      <c r="H209" s="187" t="s">
        <v>383</v>
      </c>
      <c r="I209" s="187" t="s">
        <v>398</v>
      </c>
      <c r="J209" s="187">
        <v>29.758150000000001</v>
      </c>
      <c r="K209" s="187">
        <v>-95.606300000000005</v>
      </c>
      <c r="L209" s="187" t="s">
        <v>405</v>
      </c>
      <c r="M209" s="187" t="s">
        <v>386</v>
      </c>
      <c r="N209" s="187" t="s">
        <v>401</v>
      </c>
      <c r="O209" s="187" t="s">
        <v>388</v>
      </c>
      <c r="P209" s="187" t="s">
        <v>402</v>
      </c>
      <c r="Q209" s="187" t="s">
        <v>103</v>
      </c>
      <c r="R209" s="187" t="s">
        <v>444</v>
      </c>
      <c r="S209" s="187">
        <v>0</v>
      </c>
      <c r="T209" s="187">
        <v>0</v>
      </c>
      <c r="U209" s="187">
        <v>1</v>
      </c>
      <c r="V209" s="187">
        <v>0</v>
      </c>
      <c r="W209" s="187">
        <v>1</v>
      </c>
      <c r="X209" s="187">
        <v>3</v>
      </c>
      <c r="Y209" s="187">
        <v>0</v>
      </c>
      <c r="Z209" s="187">
        <v>0</v>
      </c>
      <c r="AA209" s="187">
        <v>0</v>
      </c>
      <c r="AB209" s="187">
        <v>1</v>
      </c>
      <c r="AC209" s="187">
        <v>0</v>
      </c>
      <c r="AD209" s="187">
        <v>3</v>
      </c>
      <c r="AE209" s="187">
        <v>1</v>
      </c>
      <c r="AF209" s="187">
        <v>0</v>
      </c>
      <c r="AG209" s="187">
        <v>0</v>
      </c>
      <c r="AH209" s="187">
        <v>0</v>
      </c>
      <c r="AI209" s="187">
        <v>0</v>
      </c>
      <c r="AJ209" s="187">
        <v>0</v>
      </c>
      <c r="AK209" s="187">
        <v>0</v>
      </c>
      <c r="AL209" s="187">
        <v>0</v>
      </c>
      <c r="AM209" s="187">
        <v>0</v>
      </c>
      <c r="AN209" s="187">
        <v>0</v>
      </c>
      <c r="AO209" s="187">
        <v>0</v>
      </c>
      <c r="AP209" s="187">
        <v>0</v>
      </c>
      <c r="AQ209" s="187">
        <v>0</v>
      </c>
      <c r="AR209" s="187">
        <v>0</v>
      </c>
      <c r="AS209" s="187">
        <v>0</v>
      </c>
      <c r="AT209" s="187">
        <v>0</v>
      </c>
      <c r="AU209" s="187" t="s">
        <v>52</v>
      </c>
      <c r="AV209" s="187" t="s">
        <v>391</v>
      </c>
      <c r="AW209" s="187" t="s">
        <v>392</v>
      </c>
      <c r="AX209" s="187" t="s">
        <v>393</v>
      </c>
      <c r="AY209" s="187">
        <v>77077</v>
      </c>
      <c r="AZ209" s="188">
        <v>48200000000</v>
      </c>
      <c r="BA209" s="187" t="s">
        <v>394</v>
      </c>
      <c r="BB209" s="187" t="s">
        <v>395</v>
      </c>
      <c r="BC209" s="187">
        <v>161590</v>
      </c>
      <c r="BD209" s="187">
        <v>2990</v>
      </c>
      <c r="BE209" s="187" t="s">
        <v>396</v>
      </c>
      <c r="BF209" s="187" t="s">
        <v>396</v>
      </c>
      <c r="BG209" s="187" t="s">
        <v>396</v>
      </c>
    </row>
    <row r="210" spans="1:59">
      <c r="A210" s="187">
        <v>578203</v>
      </c>
      <c r="B210" s="187">
        <v>18649575</v>
      </c>
      <c r="C210" s="187">
        <v>2021</v>
      </c>
      <c r="D210" s="187" t="s">
        <v>380</v>
      </c>
      <c r="E210" s="187">
        <v>18</v>
      </c>
      <c r="F210" s="187" t="s">
        <v>414</v>
      </c>
      <c r="G210" s="187" t="s">
        <v>382</v>
      </c>
      <c r="H210" s="187" t="s">
        <v>383</v>
      </c>
      <c r="I210" s="187" t="s">
        <v>398</v>
      </c>
      <c r="J210" s="187">
        <v>29.75807</v>
      </c>
      <c r="K210" s="187">
        <v>-95.606099999999998</v>
      </c>
      <c r="L210" s="187" t="s">
        <v>385</v>
      </c>
      <c r="M210" s="187" t="s">
        <v>400</v>
      </c>
      <c r="N210" s="187" t="s">
        <v>401</v>
      </c>
      <c r="O210" s="187" t="s">
        <v>388</v>
      </c>
      <c r="P210" s="187" t="s">
        <v>389</v>
      </c>
      <c r="Q210" s="187" t="s">
        <v>103</v>
      </c>
      <c r="R210" s="187" t="s">
        <v>444</v>
      </c>
      <c r="S210" s="187">
        <v>0</v>
      </c>
      <c r="T210" s="187">
        <v>0</v>
      </c>
      <c r="U210" s="187">
        <v>0</v>
      </c>
      <c r="V210" s="187">
        <v>0</v>
      </c>
      <c r="W210" s="187">
        <v>0</v>
      </c>
      <c r="X210" s="187">
        <v>2</v>
      </c>
      <c r="Y210" s="187">
        <v>0</v>
      </c>
      <c r="Z210" s="187">
        <v>0</v>
      </c>
      <c r="AA210" s="187">
        <v>0</v>
      </c>
      <c r="AB210" s="187">
        <v>0</v>
      </c>
      <c r="AC210" s="187">
        <v>0</v>
      </c>
      <c r="AD210" s="187">
        <v>2</v>
      </c>
      <c r="AE210" s="187">
        <v>0</v>
      </c>
      <c r="AF210" s="187">
        <v>0</v>
      </c>
      <c r="AG210" s="187">
        <v>0</v>
      </c>
      <c r="AH210" s="187">
        <v>0</v>
      </c>
      <c r="AI210" s="187">
        <v>0</v>
      </c>
      <c r="AJ210" s="187">
        <v>0</v>
      </c>
      <c r="AK210" s="187">
        <v>0</v>
      </c>
      <c r="AL210" s="187">
        <v>0</v>
      </c>
      <c r="AM210" s="187">
        <v>0</v>
      </c>
      <c r="AN210" s="187">
        <v>0</v>
      </c>
      <c r="AO210" s="187">
        <v>0</v>
      </c>
      <c r="AP210" s="187">
        <v>0</v>
      </c>
      <c r="AQ210" s="187">
        <v>0</v>
      </c>
      <c r="AR210" s="187">
        <v>0</v>
      </c>
      <c r="AS210" s="187">
        <v>0</v>
      </c>
      <c r="AT210" s="187">
        <v>0</v>
      </c>
      <c r="AU210" s="187" t="s">
        <v>52</v>
      </c>
      <c r="AV210" s="187" t="s">
        <v>391</v>
      </c>
      <c r="AW210" s="187" t="s">
        <v>392</v>
      </c>
      <c r="AX210" s="187" t="s">
        <v>393</v>
      </c>
      <c r="AY210" s="187">
        <v>77077</v>
      </c>
      <c r="AZ210" s="188">
        <v>48200000000</v>
      </c>
      <c r="BA210" s="187" t="s">
        <v>394</v>
      </c>
      <c r="BB210" s="187" t="s">
        <v>395</v>
      </c>
      <c r="BC210" s="187">
        <v>161590</v>
      </c>
      <c r="BD210" s="187">
        <v>2990</v>
      </c>
      <c r="BE210" s="187" t="s">
        <v>396</v>
      </c>
      <c r="BF210" s="187" t="s">
        <v>396</v>
      </c>
      <c r="BG210" s="187" t="s">
        <v>396</v>
      </c>
    </row>
    <row r="211" spans="1:59">
      <c r="A211" s="187">
        <v>581693</v>
      </c>
      <c r="B211" s="187">
        <v>18663096</v>
      </c>
      <c r="C211" s="187">
        <v>2021</v>
      </c>
      <c r="D211" s="187" t="s">
        <v>380</v>
      </c>
      <c r="E211" s="187">
        <v>4</v>
      </c>
      <c r="F211" s="187" t="s">
        <v>397</v>
      </c>
      <c r="G211" s="187" t="s">
        <v>382</v>
      </c>
      <c r="H211" s="187" t="s">
        <v>404</v>
      </c>
      <c r="I211" s="187" t="s">
        <v>398</v>
      </c>
      <c r="J211" s="187">
        <v>29.768319999999999</v>
      </c>
      <c r="K211" s="187">
        <v>-95.606300000000005</v>
      </c>
      <c r="L211" s="187" t="s">
        <v>385</v>
      </c>
      <c r="M211" s="187" t="s">
        <v>400</v>
      </c>
      <c r="N211" s="187" t="s">
        <v>418</v>
      </c>
      <c r="O211" s="187" t="s">
        <v>441</v>
      </c>
      <c r="P211" s="187" t="s">
        <v>389</v>
      </c>
      <c r="Q211" s="187" t="s">
        <v>102</v>
      </c>
      <c r="R211" s="187" t="s">
        <v>448</v>
      </c>
      <c r="S211" s="187">
        <v>0</v>
      </c>
      <c r="T211" s="187">
        <v>0</v>
      </c>
      <c r="U211" s="187">
        <v>0</v>
      </c>
      <c r="V211" s="187">
        <v>0</v>
      </c>
      <c r="W211" s="187">
        <v>0</v>
      </c>
      <c r="X211" s="187">
        <v>1</v>
      </c>
      <c r="Y211" s="187">
        <v>0</v>
      </c>
      <c r="Z211" s="187">
        <v>0</v>
      </c>
      <c r="AA211" s="187">
        <v>0</v>
      </c>
      <c r="AB211" s="187">
        <v>0</v>
      </c>
      <c r="AC211" s="187">
        <v>0</v>
      </c>
      <c r="AD211" s="187">
        <v>1</v>
      </c>
      <c r="AE211" s="187">
        <v>0</v>
      </c>
      <c r="AF211" s="187">
        <v>0</v>
      </c>
      <c r="AG211" s="187">
        <v>0</v>
      </c>
      <c r="AH211" s="187">
        <v>0</v>
      </c>
      <c r="AI211" s="187">
        <v>0</v>
      </c>
      <c r="AJ211" s="187">
        <v>0</v>
      </c>
      <c r="AK211" s="187">
        <v>0</v>
      </c>
      <c r="AL211" s="187">
        <v>0</v>
      </c>
      <c r="AM211" s="187">
        <v>0</v>
      </c>
      <c r="AN211" s="187">
        <v>0</v>
      </c>
      <c r="AO211" s="187">
        <v>0</v>
      </c>
      <c r="AP211" s="187">
        <v>0</v>
      </c>
      <c r="AQ211" s="187">
        <v>0</v>
      </c>
      <c r="AR211" s="187">
        <v>0</v>
      </c>
      <c r="AS211" s="187">
        <v>0</v>
      </c>
      <c r="AT211" s="187">
        <v>0</v>
      </c>
      <c r="AU211" s="187" t="s">
        <v>52</v>
      </c>
      <c r="AV211" s="187" t="s">
        <v>391</v>
      </c>
      <c r="AW211" s="187" t="s">
        <v>392</v>
      </c>
      <c r="AX211" s="187" t="s">
        <v>393</v>
      </c>
      <c r="AY211" s="187">
        <v>77079</v>
      </c>
      <c r="AZ211" s="188">
        <v>48200000000</v>
      </c>
      <c r="BA211" s="187" t="s">
        <v>394</v>
      </c>
      <c r="BB211" s="187" t="s">
        <v>395</v>
      </c>
      <c r="BC211" s="187">
        <v>161810</v>
      </c>
      <c r="BD211" s="187">
        <v>2990</v>
      </c>
      <c r="BE211" s="187" t="s">
        <v>396</v>
      </c>
      <c r="BF211" s="187" t="s">
        <v>396</v>
      </c>
      <c r="BG211" s="187" t="s">
        <v>396</v>
      </c>
    </row>
    <row r="212" spans="1:59">
      <c r="A212" s="187">
        <v>590134</v>
      </c>
      <c r="B212" s="187">
        <v>18691682</v>
      </c>
      <c r="C212" s="187">
        <v>2022</v>
      </c>
      <c r="D212" s="187" t="s">
        <v>380</v>
      </c>
      <c r="E212" s="187">
        <v>20</v>
      </c>
      <c r="F212" s="187" t="s">
        <v>381</v>
      </c>
      <c r="G212" s="187" t="s">
        <v>382</v>
      </c>
      <c r="H212" s="187" t="s">
        <v>404</v>
      </c>
      <c r="I212" s="187" t="s">
        <v>415</v>
      </c>
      <c r="J212" s="187">
        <v>29.770199999999999</v>
      </c>
      <c r="K212" s="187">
        <v>-95.606300000000005</v>
      </c>
      <c r="L212" s="187" t="s">
        <v>385</v>
      </c>
      <c r="M212" s="187" t="s">
        <v>400</v>
      </c>
      <c r="N212" s="187" t="s">
        <v>418</v>
      </c>
      <c r="O212" s="187" t="s">
        <v>388</v>
      </c>
      <c r="P212" s="187" t="s">
        <v>389</v>
      </c>
      <c r="Q212" s="187" t="s">
        <v>102</v>
      </c>
      <c r="R212" s="187" t="s">
        <v>403</v>
      </c>
      <c r="S212" s="187">
        <v>0</v>
      </c>
      <c r="T212" s="187">
        <v>0</v>
      </c>
      <c r="U212" s="187">
        <v>0</v>
      </c>
      <c r="V212" s="187">
        <v>0</v>
      </c>
      <c r="W212" s="187">
        <v>0</v>
      </c>
      <c r="X212" s="187">
        <v>1</v>
      </c>
      <c r="Y212" s="187">
        <v>1</v>
      </c>
      <c r="Z212" s="187">
        <v>0</v>
      </c>
      <c r="AA212" s="187">
        <v>0</v>
      </c>
      <c r="AB212" s="187">
        <v>0</v>
      </c>
      <c r="AC212" s="187">
        <v>0</v>
      </c>
      <c r="AD212" s="187">
        <v>1</v>
      </c>
      <c r="AE212" s="187">
        <v>0</v>
      </c>
      <c r="AF212" s="187">
        <v>1</v>
      </c>
      <c r="AG212" s="187">
        <v>0</v>
      </c>
      <c r="AH212" s="187">
        <v>0</v>
      </c>
      <c r="AI212" s="187">
        <v>0</v>
      </c>
      <c r="AJ212" s="187">
        <v>0</v>
      </c>
      <c r="AK212" s="187">
        <v>0</v>
      </c>
      <c r="AL212" s="187">
        <v>0</v>
      </c>
      <c r="AM212" s="187">
        <v>0</v>
      </c>
      <c r="AN212" s="187">
        <v>0</v>
      </c>
      <c r="AO212" s="187">
        <v>0</v>
      </c>
      <c r="AP212" s="187">
        <v>0</v>
      </c>
      <c r="AQ212" s="187">
        <v>0</v>
      </c>
      <c r="AR212" s="187">
        <v>0</v>
      </c>
      <c r="AS212" s="187">
        <v>0</v>
      </c>
      <c r="AT212" s="187">
        <v>0</v>
      </c>
      <c r="AU212" s="187" t="s">
        <v>52</v>
      </c>
      <c r="AV212" s="187" t="s">
        <v>391</v>
      </c>
      <c r="AW212" s="187" t="s">
        <v>392</v>
      </c>
      <c r="AX212" s="187" t="s">
        <v>393</v>
      </c>
      <c r="AY212" s="187">
        <v>77079</v>
      </c>
      <c r="AZ212" s="188">
        <v>48200000000</v>
      </c>
      <c r="BA212" s="187" t="s">
        <v>394</v>
      </c>
      <c r="BB212" s="187" t="s">
        <v>395</v>
      </c>
      <c r="BC212" s="187">
        <v>162030</v>
      </c>
      <c r="BD212" s="187">
        <v>2990</v>
      </c>
      <c r="BE212" s="187" t="s">
        <v>396</v>
      </c>
      <c r="BF212" s="187" t="s">
        <v>396</v>
      </c>
      <c r="BG212" s="187" t="s">
        <v>396</v>
      </c>
    </row>
    <row r="213" spans="1:59">
      <c r="A213" s="187">
        <v>591072</v>
      </c>
      <c r="B213" s="187">
        <v>18696412</v>
      </c>
      <c r="C213" s="187">
        <v>2022</v>
      </c>
      <c r="D213" s="189">
        <v>44569</v>
      </c>
      <c r="E213" s="187">
        <v>8</v>
      </c>
      <c r="F213" s="187" t="s">
        <v>426</v>
      </c>
      <c r="G213" s="187" t="s">
        <v>382</v>
      </c>
      <c r="H213" s="187" t="s">
        <v>383</v>
      </c>
      <c r="I213" s="187" t="s">
        <v>422</v>
      </c>
      <c r="J213" s="187">
        <v>29.758209999999998</v>
      </c>
      <c r="K213" s="187">
        <v>-95.606099999999998</v>
      </c>
      <c r="L213" s="187" t="s">
        <v>405</v>
      </c>
      <c r="M213" s="187" t="s">
        <v>386</v>
      </c>
      <c r="N213" s="187" t="s">
        <v>401</v>
      </c>
      <c r="O213" s="187" t="s">
        <v>388</v>
      </c>
      <c r="P213" s="187" t="s">
        <v>389</v>
      </c>
      <c r="Q213" s="187" t="s">
        <v>102</v>
      </c>
      <c r="R213" s="187" t="s">
        <v>449</v>
      </c>
      <c r="S213" s="187">
        <v>0</v>
      </c>
      <c r="T213" s="187">
        <v>0</v>
      </c>
      <c r="U213" s="187">
        <v>0</v>
      </c>
      <c r="V213" s="187">
        <v>0</v>
      </c>
      <c r="W213" s="187">
        <v>0</v>
      </c>
      <c r="X213" s="187">
        <v>2</v>
      </c>
      <c r="Y213" s="187">
        <v>0</v>
      </c>
      <c r="Z213" s="187">
        <v>0</v>
      </c>
      <c r="AA213" s="187">
        <v>0</v>
      </c>
      <c r="AB213" s="187">
        <v>0</v>
      </c>
      <c r="AC213" s="187">
        <v>0</v>
      </c>
      <c r="AD213" s="187">
        <v>2</v>
      </c>
      <c r="AE213" s="187">
        <v>0</v>
      </c>
      <c r="AF213" s="187">
        <v>0</v>
      </c>
      <c r="AG213" s="187">
        <v>0</v>
      </c>
      <c r="AH213" s="187">
        <v>0</v>
      </c>
      <c r="AI213" s="187">
        <v>0</v>
      </c>
      <c r="AJ213" s="187">
        <v>0</v>
      </c>
      <c r="AK213" s="187">
        <v>0</v>
      </c>
      <c r="AL213" s="187">
        <v>0</v>
      </c>
      <c r="AM213" s="187">
        <v>0</v>
      </c>
      <c r="AN213" s="187">
        <v>0</v>
      </c>
      <c r="AO213" s="187">
        <v>0</v>
      </c>
      <c r="AP213" s="187">
        <v>0</v>
      </c>
      <c r="AQ213" s="187">
        <v>0</v>
      </c>
      <c r="AR213" s="187">
        <v>0</v>
      </c>
      <c r="AS213" s="187">
        <v>0</v>
      </c>
      <c r="AT213" s="187">
        <v>0</v>
      </c>
      <c r="AU213" s="187" t="s">
        <v>52</v>
      </c>
      <c r="AV213" s="187" t="s">
        <v>391</v>
      </c>
      <c r="AW213" s="187" t="s">
        <v>392</v>
      </c>
      <c r="AX213" s="187" t="s">
        <v>393</v>
      </c>
      <c r="AY213" s="187">
        <v>77077</v>
      </c>
      <c r="AZ213" s="188">
        <v>48200000000</v>
      </c>
      <c r="BA213" s="187" t="s">
        <v>394</v>
      </c>
      <c r="BB213" s="187" t="s">
        <v>395</v>
      </c>
      <c r="BC213" s="187">
        <v>161590</v>
      </c>
      <c r="BD213" s="187">
        <v>2990</v>
      </c>
      <c r="BE213" s="187" t="s">
        <v>396</v>
      </c>
      <c r="BF213" s="187" t="s">
        <v>396</v>
      </c>
      <c r="BG213" s="187" t="s">
        <v>396</v>
      </c>
    </row>
    <row r="214" spans="1:59">
      <c r="A214" s="187">
        <v>593123</v>
      </c>
      <c r="B214" s="187">
        <v>18705078</v>
      </c>
      <c r="C214" s="187">
        <v>2022</v>
      </c>
      <c r="D214" s="187" t="s">
        <v>380</v>
      </c>
      <c r="E214" s="187">
        <v>16</v>
      </c>
      <c r="F214" s="187" t="s">
        <v>426</v>
      </c>
      <c r="G214" s="187" t="s">
        <v>382</v>
      </c>
      <c r="H214" s="187" t="s">
        <v>404</v>
      </c>
      <c r="I214" s="187" t="s">
        <v>398</v>
      </c>
      <c r="J214" s="187">
        <v>29.770060000000001</v>
      </c>
      <c r="K214" s="187">
        <v>-95.606300000000005</v>
      </c>
      <c r="L214" s="187" t="s">
        <v>385</v>
      </c>
      <c r="M214" s="187" t="s">
        <v>386</v>
      </c>
      <c r="N214" s="187" t="s">
        <v>401</v>
      </c>
      <c r="O214" s="187" t="s">
        <v>388</v>
      </c>
      <c r="P214" s="187" t="s">
        <v>342</v>
      </c>
      <c r="Q214" s="187" t="s">
        <v>102</v>
      </c>
      <c r="R214" s="187" t="s">
        <v>417</v>
      </c>
      <c r="S214" s="187">
        <v>0</v>
      </c>
      <c r="T214" s="187">
        <v>0</v>
      </c>
      <c r="U214" s="187">
        <v>0</v>
      </c>
      <c r="V214" s="187">
        <v>1</v>
      </c>
      <c r="W214" s="187">
        <v>1</v>
      </c>
      <c r="X214" s="187">
        <v>5</v>
      </c>
      <c r="Y214" s="187">
        <v>0</v>
      </c>
      <c r="Z214" s="187">
        <v>0</v>
      </c>
      <c r="AA214" s="187">
        <v>0</v>
      </c>
      <c r="AB214" s="187">
        <v>0</v>
      </c>
      <c r="AC214" s="187">
        <v>1</v>
      </c>
      <c r="AD214" s="187">
        <v>5</v>
      </c>
      <c r="AE214" s="187">
        <v>1</v>
      </c>
      <c r="AF214" s="187">
        <v>0</v>
      </c>
      <c r="AG214" s="187">
        <v>0</v>
      </c>
      <c r="AH214" s="187">
        <v>0</v>
      </c>
      <c r="AI214" s="187">
        <v>0</v>
      </c>
      <c r="AJ214" s="187">
        <v>0</v>
      </c>
      <c r="AK214" s="187">
        <v>0</v>
      </c>
      <c r="AL214" s="187">
        <v>0</v>
      </c>
      <c r="AM214" s="187">
        <v>0</v>
      </c>
      <c r="AN214" s="187">
        <v>0</v>
      </c>
      <c r="AO214" s="187">
        <v>0</v>
      </c>
      <c r="AP214" s="187">
        <v>0</v>
      </c>
      <c r="AQ214" s="187">
        <v>0</v>
      </c>
      <c r="AR214" s="187">
        <v>0</v>
      </c>
      <c r="AS214" s="187">
        <v>0</v>
      </c>
      <c r="AT214" s="187">
        <v>0</v>
      </c>
      <c r="AU214" s="187" t="s">
        <v>52</v>
      </c>
      <c r="AV214" s="187" t="s">
        <v>391</v>
      </c>
      <c r="AW214" s="187" t="s">
        <v>392</v>
      </c>
      <c r="AX214" s="187" t="s">
        <v>393</v>
      </c>
      <c r="AY214" s="187">
        <v>77079</v>
      </c>
      <c r="AZ214" s="188">
        <v>48200000000</v>
      </c>
      <c r="BA214" s="187" t="s">
        <v>394</v>
      </c>
      <c r="BB214" s="187" t="s">
        <v>395</v>
      </c>
      <c r="BC214" s="187">
        <v>162030</v>
      </c>
      <c r="BD214" s="187">
        <v>2990</v>
      </c>
      <c r="BE214" s="187" t="s">
        <v>396</v>
      </c>
      <c r="BF214" s="187" t="s">
        <v>396</v>
      </c>
      <c r="BG214" s="187" t="s">
        <v>396</v>
      </c>
    </row>
    <row r="215" spans="1:59">
      <c r="A215" s="187">
        <v>596614</v>
      </c>
      <c r="B215" s="187">
        <v>18719283</v>
      </c>
      <c r="C215" s="187">
        <v>2022</v>
      </c>
      <c r="D215" s="187" t="s">
        <v>380</v>
      </c>
      <c r="E215" s="187">
        <v>11</v>
      </c>
      <c r="F215" s="187" t="s">
        <v>421</v>
      </c>
      <c r="G215" s="187" t="s">
        <v>382</v>
      </c>
      <c r="H215" s="187" t="s">
        <v>404</v>
      </c>
      <c r="I215" s="187" t="s">
        <v>384</v>
      </c>
      <c r="J215" s="187">
        <v>29.767430000000001</v>
      </c>
      <c r="K215" s="187">
        <v>-95.606300000000005</v>
      </c>
      <c r="L215" s="187" t="s">
        <v>385</v>
      </c>
      <c r="M215" s="187" t="s">
        <v>386</v>
      </c>
      <c r="N215" s="187" t="s">
        <v>425</v>
      </c>
      <c r="O215" s="187" t="s">
        <v>388</v>
      </c>
      <c r="P215" s="187" t="s">
        <v>389</v>
      </c>
      <c r="Q215" s="187" t="s">
        <v>103</v>
      </c>
      <c r="R215" s="187" t="s">
        <v>444</v>
      </c>
      <c r="S215" s="187">
        <v>0</v>
      </c>
      <c r="T215" s="187">
        <v>0</v>
      </c>
      <c r="U215" s="187">
        <v>0</v>
      </c>
      <c r="V215" s="187">
        <v>0</v>
      </c>
      <c r="W215" s="187">
        <v>0</v>
      </c>
      <c r="X215" s="187">
        <v>2</v>
      </c>
      <c r="Y215" s="187">
        <v>0</v>
      </c>
      <c r="Z215" s="187">
        <v>0</v>
      </c>
      <c r="AA215" s="187">
        <v>0</v>
      </c>
      <c r="AB215" s="187">
        <v>0</v>
      </c>
      <c r="AC215" s="187">
        <v>0</v>
      </c>
      <c r="AD215" s="187">
        <v>2</v>
      </c>
      <c r="AE215" s="187">
        <v>0</v>
      </c>
      <c r="AF215" s="187">
        <v>0</v>
      </c>
      <c r="AG215" s="187">
        <v>0</v>
      </c>
      <c r="AH215" s="187">
        <v>0</v>
      </c>
      <c r="AI215" s="187">
        <v>0</v>
      </c>
      <c r="AJ215" s="187">
        <v>0</v>
      </c>
      <c r="AK215" s="187">
        <v>0</v>
      </c>
      <c r="AL215" s="187">
        <v>0</v>
      </c>
      <c r="AM215" s="187">
        <v>0</v>
      </c>
      <c r="AN215" s="187">
        <v>0</v>
      </c>
      <c r="AO215" s="187">
        <v>0</v>
      </c>
      <c r="AP215" s="187">
        <v>0</v>
      </c>
      <c r="AQ215" s="187">
        <v>0</v>
      </c>
      <c r="AR215" s="187">
        <v>0</v>
      </c>
      <c r="AS215" s="187">
        <v>0</v>
      </c>
      <c r="AT215" s="187">
        <v>0</v>
      </c>
      <c r="AU215" s="187" t="s">
        <v>52</v>
      </c>
      <c r="AV215" s="187" t="s">
        <v>391</v>
      </c>
      <c r="AW215" s="187" t="s">
        <v>392</v>
      </c>
      <c r="AX215" s="187" t="s">
        <v>393</v>
      </c>
      <c r="AY215" s="187">
        <v>77079</v>
      </c>
      <c r="AZ215" s="188">
        <v>48200000000</v>
      </c>
      <c r="BA215" s="187" t="s">
        <v>394</v>
      </c>
      <c r="BB215" s="187" t="s">
        <v>395</v>
      </c>
      <c r="BC215" s="187">
        <v>161810</v>
      </c>
      <c r="BD215" s="187">
        <v>2990</v>
      </c>
      <c r="BE215" s="187" t="s">
        <v>396</v>
      </c>
      <c r="BF215" s="187" t="s">
        <v>396</v>
      </c>
      <c r="BG215" s="187" t="s">
        <v>396</v>
      </c>
    </row>
    <row r="216" spans="1:59">
      <c r="A216" s="187">
        <v>601263</v>
      </c>
      <c r="B216" s="187">
        <v>18737188</v>
      </c>
      <c r="C216" s="187">
        <v>2022</v>
      </c>
      <c r="D216" s="189">
        <v>44597</v>
      </c>
      <c r="E216" s="187">
        <v>13</v>
      </c>
      <c r="F216" s="187" t="s">
        <v>426</v>
      </c>
      <c r="G216" s="187" t="s">
        <v>382</v>
      </c>
      <c r="H216" s="187" t="s">
        <v>443</v>
      </c>
      <c r="I216" s="187" t="s">
        <v>422</v>
      </c>
      <c r="J216" s="187">
        <v>29.767710000000001</v>
      </c>
      <c r="K216" s="187">
        <v>-95.606300000000005</v>
      </c>
      <c r="L216" s="187" t="s">
        <v>405</v>
      </c>
      <c r="M216" s="187" t="s">
        <v>386</v>
      </c>
      <c r="N216" s="187" t="s">
        <v>418</v>
      </c>
      <c r="O216" s="187" t="s">
        <v>388</v>
      </c>
      <c r="P216" s="187" t="s">
        <v>389</v>
      </c>
      <c r="Q216" s="187" t="s">
        <v>105</v>
      </c>
      <c r="R216" s="187" t="s">
        <v>444</v>
      </c>
      <c r="S216" s="187">
        <v>0</v>
      </c>
      <c r="T216" s="187">
        <v>0</v>
      </c>
      <c r="U216" s="187">
        <v>0</v>
      </c>
      <c r="V216" s="187">
        <v>0</v>
      </c>
      <c r="W216" s="187">
        <v>0</v>
      </c>
      <c r="X216" s="187">
        <v>2</v>
      </c>
      <c r="Y216" s="187">
        <v>0</v>
      </c>
      <c r="Z216" s="187">
        <v>0</v>
      </c>
      <c r="AA216" s="187">
        <v>0</v>
      </c>
      <c r="AB216" s="187">
        <v>0</v>
      </c>
      <c r="AC216" s="187">
        <v>0</v>
      </c>
      <c r="AD216" s="187">
        <v>2</v>
      </c>
      <c r="AE216" s="187">
        <v>0</v>
      </c>
      <c r="AF216" s="187">
        <v>0</v>
      </c>
      <c r="AG216" s="187">
        <v>0</v>
      </c>
      <c r="AH216" s="187">
        <v>0</v>
      </c>
      <c r="AI216" s="187">
        <v>0</v>
      </c>
      <c r="AJ216" s="187">
        <v>0</v>
      </c>
      <c r="AK216" s="187">
        <v>0</v>
      </c>
      <c r="AL216" s="187">
        <v>0</v>
      </c>
      <c r="AM216" s="187">
        <v>0</v>
      </c>
      <c r="AN216" s="187">
        <v>0</v>
      </c>
      <c r="AO216" s="187">
        <v>0</v>
      </c>
      <c r="AP216" s="187">
        <v>0</v>
      </c>
      <c r="AQ216" s="187">
        <v>0</v>
      </c>
      <c r="AR216" s="187">
        <v>0</v>
      </c>
      <c r="AS216" s="187">
        <v>0</v>
      </c>
      <c r="AT216" s="187">
        <v>0</v>
      </c>
      <c r="AU216" s="187" t="s">
        <v>52</v>
      </c>
      <c r="AV216" s="187" t="s">
        <v>391</v>
      </c>
      <c r="AW216" s="187" t="s">
        <v>392</v>
      </c>
      <c r="AX216" s="187" t="s">
        <v>393</v>
      </c>
      <c r="AY216" s="187">
        <v>77079</v>
      </c>
      <c r="AZ216" s="188">
        <v>48200000000</v>
      </c>
      <c r="BA216" s="187" t="s">
        <v>394</v>
      </c>
      <c r="BB216" s="187" t="s">
        <v>395</v>
      </c>
      <c r="BC216" s="187">
        <v>161810</v>
      </c>
      <c r="BD216" s="187">
        <v>2990</v>
      </c>
      <c r="BE216" s="187" t="s">
        <v>396</v>
      </c>
      <c r="BF216" s="187" t="s">
        <v>396</v>
      </c>
      <c r="BG216" s="187" t="s">
        <v>396</v>
      </c>
    </row>
    <row r="217" spans="1:59">
      <c r="A217" s="187">
        <v>603120</v>
      </c>
      <c r="B217" s="187">
        <v>18744572</v>
      </c>
      <c r="C217" s="187">
        <v>2022</v>
      </c>
      <c r="D217" s="189">
        <v>44599</v>
      </c>
      <c r="E217" s="187">
        <v>17</v>
      </c>
      <c r="F217" s="187" t="s">
        <v>411</v>
      </c>
      <c r="G217" s="187" t="s">
        <v>382</v>
      </c>
      <c r="H217" s="187" t="s">
        <v>383</v>
      </c>
      <c r="I217" s="187" t="s">
        <v>415</v>
      </c>
      <c r="J217" s="187">
        <v>29.753810000000001</v>
      </c>
      <c r="K217" s="187">
        <v>-95.606200000000001</v>
      </c>
      <c r="L217" s="187" t="s">
        <v>385</v>
      </c>
      <c r="M217" s="187" t="s">
        <v>386</v>
      </c>
      <c r="N217" s="187" t="s">
        <v>425</v>
      </c>
      <c r="O217" s="187" t="s">
        <v>388</v>
      </c>
      <c r="P217" s="187" t="s">
        <v>342</v>
      </c>
      <c r="Q217" s="187" t="s">
        <v>102</v>
      </c>
      <c r="R217" s="187" t="s">
        <v>403</v>
      </c>
      <c r="S217" s="187">
        <v>0</v>
      </c>
      <c r="T217" s="187">
        <v>0</v>
      </c>
      <c r="U217" s="187">
        <v>0</v>
      </c>
      <c r="V217" s="187">
        <v>2</v>
      </c>
      <c r="W217" s="187">
        <v>2</v>
      </c>
      <c r="X217" s="187">
        <v>0</v>
      </c>
      <c r="Y217" s="187">
        <v>1</v>
      </c>
      <c r="Z217" s="187">
        <v>0</v>
      </c>
      <c r="AA217" s="187">
        <v>0</v>
      </c>
      <c r="AB217" s="187">
        <v>0</v>
      </c>
      <c r="AC217" s="187">
        <v>2</v>
      </c>
      <c r="AD217" s="187">
        <v>0</v>
      </c>
      <c r="AE217" s="187">
        <v>2</v>
      </c>
      <c r="AF217" s="187">
        <v>1</v>
      </c>
      <c r="AG217" s="187">
        <v>0</v>
      </c>
      <c r="AH217" s="187">
        <v>0</v>
      </c>
      <c r="AI217" s="187">
        <v>0</v>
      </c>
      <c r="AJ217" s="187">
        <v>0</v>
      </c>
      <c r="AK217" s="187">
        <v>0</v>
      </c>
      <c r="AL217" s="187">
        <v>0</v>
      </c>
      <c r="AM217" s="187">
        <v>0</v>
      </c>
      <c r="AN217" s="187">
        <v>0</v>
      </c>
      <c r="AO217" s="187">
        <v>0</v>
      </c>
      <c r="AP217" s="187">
        <v>0</v>
      </c>
      <c r="AQ217" s="187">
        <v>0</v>
      </c>
      <c r="AR217" s="187">
        <v>0</v>
      </c>
      <c r="AS217" s="187">
        <v>0</v>
      </c>
      <c r="AT217" s="187">
        <v>0</v>
      </c>
      <c r="AU217" s="187" t="s">
        <v>52</v>
      </c>
      <c r="AV217" s="187" t="s">
        <v>391</v>
      </c>
      <c r="AW217" s="187" t="s">
        <v>392</v>
      </c>
      <c r="AX217" s="187" t="s">
        <v>393</v>
      </c>
      <c r="AY217" s="187">
        <v>77077</v>
      </c>
      <c r="AZ217" s="188">
        <v>48200000000</v>
      </c>
      <c r="BA217" s="187" t="s">
        <v>394</v>
      </c>
      <c r="BB217" s="187" t="s">
        <v>395</v>
      </c>
      <c r="BC217" s="187">
        <v>161370</v>
      </c>
      <c r="BD217" s="187">
        <v>2990</v>
      </c>
      <c r="BE217" s="187" t="s">
        <v>396</v>
      </c>
      <c r="BF217" s="187" t="s">
        <v>396</v>
      </c>
      <c r="BG217" s="187" t="s">
        <v>396</v>
      </c>
    </row>
    <row r="218" spans="1:59">
      <c r="A218" s="187">
        <v>603605</v>
      </c>
      <c r="B218" s="187">
        <v>18746848</v>
      </c>
      <c r="C218" s="187">
        <v>2022</v>
      </c>
      <c r="D218" s="189">
        <v>44597</v>
      </c>
      <c r="E218" s="187">
        <v>16</v>
      </c>
      <c r="F218" s="187" t="s">
        <v>426</v>
      </c>
      <c r="G218" s="187" t="s">
        <v>382</v>
      </c>
      <c r="H218" s="187" t="s">
        <v>468</v>
      </c>
      <c r="I218" s="187" t="s">
        <v>398</v>
      </c>
      <c r="J218" s="187">
        <v>29.754000000000001</v>
      </c>
      <c r="K218" s="187">
        <v>-95.606200000000001</v>
      </c>
      <c r="L218" s="187" t="s">
        <v>385</v>
      </c>
      <c r="M218" s="187" t="s">
        <v>386</v>
      </c>
      <c r="N218" s="187" t="s">
        <v>401</v>
      </c>
      <c r="O218" s="187" t="s">
        <v>388</v>
      </c>
      <c r="P218" s="187" t="s">
        <v>389</v>
      </c>
      <c r="Q218" s="187" t="s">
        <v>102</v>
      </c>
      <c r="R218" s="187" t="s">
        <v>390</v>
      </c>
      <c r="S218" s="187">
        <v>0</v>
      </c>
      <c r="T218" s="187">
        <v>0</v>
      </c>
      <c r="U218" s="187">
        <v>0</v>
      </c>
      <c r="V218" s="187">
        <v>0</v>
      </c>
      <c r="W218" s="187">
        <v>0</v>
      </c>
      <c r="X218" s="187">
        <v>3</v>
      </c>
      <c r="Y218" s="187">
        <v>1</v>
      </c>
      <c r="Z218" s="187">
        <v>0</v>
      </c>
      <c r="AA218" s="187">
        <v>0</v>
      </c>
      <c r="AB218" s="187">
        <v>0</v>
      </c>
      <c r="AC218" s="187">
        <v>0</v>
      </c>
      <c r="AD218" s="187">
        <v>3</v>
      </c>
      <c r="AE218" s="187">
        <v>0</v>
      </c>
      <c r="AF218" s="187">
        <v>1</v>
      </c>
      <c r="AG218" s="187">
        <v>0</v>
      </c>
      <c r="AH218" s="187">
        <v>0</v>
      </c>
      <c r="AI218" s="187">
        <v>0</v>
      </c>
      <c r="AJ218" s="187">
        <v>0</v>
      </c>
      <c r="AK218" s="187">
        <v>0</v>
      </c>
      <c r="AL218" s="187">
        <v>0</v>
      </c>
      <c r="AM218" s="187">
        <v>0</v>
      </c>
      <c r="AN218" s="187">
        <v>0</v>
      </c>
      <c r="AO218" s="187">
        <v>0</v>
      </c>
      <c r="AP218" s="187">
        <v>0</v>
      </c>
      <c r="AQ218" s="187">
        <v>0</v>
      </c>
      <c r="AR218" s="187">
        <v>0</v>
      </c>
      <c r="AS218" s="187">
        <v>0</v>
      </c>
      <c r="AT218" s="187">
        <v>0</v>
      </c>
      <c r="AU218" s="187" t="s">
        <v>52</v>
      </c>
      <c r="AV218" s="187" t="s">
        <v>391</v>
      </c>
      <c r="AW218" s="187" t="s">
        <v>392</v>
      </c>
      <c r="AX218" s="187" t="s">
        <v>393</v>
      </c>
      <c r="AY218" s="187">
        <v>77077</v>
      </c>
      <c r="AZ218" s="188">
        <v>48200000000</v>
      </c>
      <c r="BA218" s="187" t="s">
        <v>394</v>
      </c>
      <c r="BB218" s="187" t="s">
        <v>395</v>
      </c>
      <c r="BC218" s="187">
        <v>161370</v>
      </c>
      <c r="BD218" s="187">
        <v>2990</v>
      </c>
      <c r="BE218" s="187" t="s">
        <v>396</v>
      </c>
      <c r="BF218" s="187" t="s">
        <v>396</v>
      </c>
      <c r="BG218" s="187" t="s">
        <v>396</v>
      </c>
    </row>
    <row r="219" spans="1:59">
      <c r="A219" s="187">
        <v>603698</v>
      </c>
      <c r="B219" s="187">
        <v>18747200</v>
      </c>
      <c r="C219" s="187">
        <v>2022</v>
      </c>
      <c r="D219" s="187" t="s">
        <v>380</v>
      </c>
      <c r="E219" s="187">
        <v>23</v>
      </c>
      <c r="F219" s="187" t="s">
        <v>429</v>
      </c>
      <c r="G219" s="187" t="s">
        <v>382</v>
      </c>
      <c r="H219" s="187" t="s">
        <v>419</v>
      </c>
      <c r="I219" s="187" t="s">
        <v>384</v>
      </c>
      <c r="J219" s="187">
        <v>29.753969999999999</v>
      </c>
      <c r="K219" s="187">
        <v>-95.606200000000001</v>
      </c>
      <c r="L219" s="187" t="s">
        <v>385</v>
      </c>
      <c r="M219" s="187" t="s">
        <v>400</v>
      </c>
      <c r="N219" s="187" t="s">
        <v>425</v>
      </c>
      <c r="O219" s="187" t="s">
        <v>388</v>
      </c>
      <c r="P219" s="187" t="s">
        <v>342</v>
      </c>
      <c r="Q219" s="187" t="s">
        <v>103</v>
      </c>
      <c r="R219" s="187" t="s">
        <v>432</v>
      </c>
      <c r="S219" s="187">
        <v>0</v>
      </c>
      <c r="T219" s="187">
        <v>0</v>
      </c>
      <c r="U219" s="187">
        <v>0</v>
      </c>
      <c r="V219" s="187">
        <v>2</v>
      </c>
      <c r="W219" s="187">
        <v>2</v>
      </c>
      <c r="X219" s="187">
        <v>1</v>
      </c>
      <c r="Y219" s="187">
        <v>0</v>
      </c>
      <c r="Z219" s="187">
        <v>0</v>
      </c>
      <c r="AA219" s="187">
        <v>0</v>
      </c>
      <c r="AB219" s="187">
        <v>0</v>
      </c>
      <c r="AC219" s="187">
        <v>2</v>
      </c>
      <c r="AD219" s="187">
        <v>1</v>
      </c>
      <c r="AE219" s="187">
        <v>2</v>
      </c>
      <c r="AF219" s="187">
        <v>0</v>
      </c>
      <c r="AG219" s="187">
        <v>0</v>
      </c>
      <c r="AH219" s="187">
        <v>0</v>
      </c>
      <c r="AI219" s="187">
        <v>0</v>
      </c>
      <c r="AJ219" s="187">
        <v>0</v>
      </c>
      <c r="AK219" s="187">
        <v>0</v>
      </c>
      <c r="AL219" s="187">
        <v>0</v>
      </c>
      <c r="AM219" s="187">
        <v>0</v>
      </c>
      <c r="AN219" s="187">
        <v>0</v>
      </c>
      <c r="AO219" s="187">
        <v>0</v>
      </c>
      <c r="AP219" s="187">
        <v>0</v>
      </c>
      <c r="AQ219" s="187">
        <v>0</v>
      </c>
      <c r="AR219" s="187">
        <v>0</v>
      </c>
      <c r="AS219" s="187">
        <v>0</v>
      </c>
      <c r="AT219" s="187">
        <v>0</v>
      </c>
      <c r="AU219" s="187" t="s">
        <v>52</v>
      </c>
      <c r="AV219" s="187" t="s">
        <v>391</v>
      </c>
      <c r="AW219" s="187" t="s">
        <v>392</v>
      </c>
      <c r="AX219" s="187" t="s">
        <v>393</v>
      </c>
      <c r="AY219" s="187">
        <v>77077</v>
      </c>
      <c r="AZ219" s="188">
        <v>48200000000</v>
      </c>
      <c r="BA219" s="187" t="s">
        <v>394</v>
      </c>
      <c r="BB219" s="187" t="s">
        <v>395</v>
      </c>
      <c r="BC219" s="187">
        <v>161370</v>
      </c>
      <c r="BD219" s="187">
        <v>2990</v>
      </c>
      <c r="BE219" s="187" t="s">
        <v>396</v>
      </c>
      <c r="BF219" s="187" t="s">
        <v>396</v>
      </c>
      <c r="BG219" s="187" t="s">
        <v>396</v>
      </c>
    </row>
    <row r="220" spans="1:59">
      <c r="A220" s="187">
        <v>604275</v>
      </c>
      <c r="B220" s="187">
        <v>18749335</v>
      </c>
      <c r="C220" s="187">
        <v>2022</v>
      </c>
      <c r="D220" s="187" t="s">
        <v>380</v>
      </c>
      <c r="E220" s="187">
        <v>1</v>
      </c>
      <c r="F220" s="187" t="s">
        <v>426</v>
      </c>
      <c r="G220" s="187" t="s">
        <v>382</v>
      </c>
      <c r="H220" s="187" t="s">
        <v>404</v>
      </c>
      <c r="I220" s="187" t="s">
        <v>384</v>
      </c>
      <c r="J220" s="187">
        <v>29.770060000000001</v>
      </c>
      <c r="K220" s="187">
        <v>-95.606300000000005</v>
      </c>
      <c r="L220" s="187" t="s">
        <v>385</v>
      </c>
      <c r="M220" s="187" t="s">
        <v>400</v>
      </c>
      <c r="N220" s="187" t="s">
        <v>401</v>
      </c>
      <c r="O220" s="187" t="s">
        <v>388</v>
      </c>
      <c r="P220" s="187" t="s">
        <v>402</v>
      </c>
      <c r="Q220" s="187" t="s">
        <v>103</v>
      </c>
      <c r="R220" s="187" t="s">
        <v>478</v>
      </c>
      <c r="S220" s="187">
        <v>0</v>
      </c>
      <c r="T220" s="187">
        <v>0</v>
      </c>
      <c r="U220" s="187">
        <v>2</v>
      </c>
      <c r="V220" s="187">
        <v>0</v>
      </c>
      <c r="W220" s="187">
        <v>2</v>
      </c>
      <c r="X220" s="187">
        <v>0</v>
      </c>
      <c r="Y220" s="187">
        <v>0</v>
      </c>
      <c r="Z220" s="187">
        <v>0</v>
      </c>
      <c r="AA220" s="187">
        <v>0</v>
      </c>
      <c r="AB220" s="187">
        <v>2</v>
      </c>
      <c r="AC220" s="187">
        <v>0</v>
      </c>
      <c r="AD220" s="187">
        <v>0</v>
      </c>
      <c r="AE220" s="187">
        <v>2</v>
      </c>
      <c r="AF220" s="187">
        <v>0</v>
      </c>
      <c r="AG220" s="187">
        <v>0</v>
      </c>
      <c r="AH220" s="187">
        <v>0</v>
      </c>
      <c r="AI220" s="187">
        <v>0</v>
      </c>
      <c r="AJ220" s="187">
        <v>0</v>
      </c>
      <c r="AK220" s="187">
        <v>0</v>
      </c>
      <c r="AL220" s="187">
        <v>0</v>
      </c>
      <c r="AM220" s="187">
        <v>0</v>
      </c>
      <c r="AN220" s="187">
        <v>0</v>
      </c>
      <c r="AO220" s="187">
        <v>0</v>
      </c>
      <c r="AP220" s="187">
        <v>0</v>
      </c>
      <c r="AQ220" s="187">
        <v>0</v>
      </c>
      <c r="AR220" s="187">
        <v>0</v>
      </c>
      <c r="AS220" s="187">
        <v>0</v>
      </c>
      <c r="AT220" s="187">
        <v>0</v>
      </c>
      <c r="AU220" s="187" t="s">
        <v>52</v>
      </c>
      <c r="AV220" s="187" t="s">
        <v>391</v>
      </c>
      <c r="AW220" s="187" t="s">
        <v>392</v>
      </c>
      <c r="AX220" s="187" t="s">
        <v>393</v>
      </c>
      <c r="AY220" s="187">
        <v>77079</v>
      </c>
      <c r="AZ220" s="188">
        <v>48200000000</v>
      </c>
      <c r="BA220" s="187" t="s">
        <v>394</v>
      </c>
      <c r="BB220" s="187" t="s">
        <v>395</v>
      </c>
      <c r="BC220" s="187">
        <v>162030</v>
      </c>
      <c r="BD220" s="187">
        <v>2990</v>
      </c>
      <c r="BE220" s="187" t="s">
        <v>396</v>
      </c>
      <c r="BF220" s="187" t="s">
        <v>396</v>
      </c>
      <c r="BG220" s="187" t="s">
        <v>396</v>
      </c>
    </row>
    <row r="221" spans="1:59">
      <c r="A221" s="187">
        <v>607241</v>
      </c>
      <c r="B221" s="187">
        <v>18761322</v>
      </c>
      <c r="C221" s="187">
        <v>2022</v>
      </c>
      <c r="D221" s="187" t="s">
        <v>380</v>
      </c>
      <c r="E221" s="187">
        <v>18</v>
      </c>
      <c r="F221" s="187" t="s">
        <v>426</v>
      </c>
      <c r="G221" s="187" t="s">
        <v>382</v>
      </c>
      <c r="H221" s="187" t="s">
        <v>383</v>
      </c>
      <c r="I221" s="187" t="s">
        <v>415</v>
      </c>
      <c r="J221" s="187">
        <v>29.75488</v>
      </c>
      <c r="K221" s="187">
        <v>-95.606200000000001</v>
      </c>
      <c r="L221" s="187" t="s">
        <v>385</v>
      </c>
      <c r="M221" s="187" t="s">
        <v>400</v>
      </c>
      <c r="N221" s="187" t="s">
        <v>425</v>
      </c>
      <c r="O221" s="187" t="s">
        <v>388</v>
      </c>
      <c r="P221" s="187" t="s">
        <v>342</v>
      </c>
      <c r="Q221" s="187" t="s">
        <v>102</v>
      </c>
      <c r="R221" s="187" t="s">
        <v>403</v>
      </c>
      <c r="S221" s="187">
        <v>0</v>
      </c>
      <c r="T221" s="187">
        <v>0</v>
      </c>
      <c r="U221" s="187">
        <v>0</v>
      </c>
      <c r="V221" s="187">
        <v>1</v>
      </c>
      <c r="W221" s="187">
        <v>1</v>
      </c>
      <c r="X221" s="187">
        <v>5</v>
      </c>
      <c r="Y221" s="187">
        <v>0</v>
      </c>
      <c r="Z221" s="187">
        <v>0</v>
      </c>
      <c r="AA221" s="187">
        <v>0</v>
      </c>
      <c r="AB221" s="187">
        <v>0</v>
      </c>
      <c r="AC221" s="187">
        <v>1</v>
      </c>
      <c r="AD221" s="187">
        <v>5</v>
      </c>
      <c r="AE221" s="187">
        <v>1</v>
      </c>
      <c r="AF221" s="187">
        <v>0</v>
      </c>
      <c r="AG221" s="187">
        <v>0</v>
      </c>
      <c r="AH221" s="187">
        <v>0</v>
      </c>
      <c r="AI221" s="187">
        <v>0</v>
      </c>
      <c r="AJ221" s="187">
        <v>0</v>
      </c>
      <c r="AK221" s="187">
        <v>0</v>
      </c>
      <c r="AL221" s="187">
        <v>0</v>
      </c>
      <c r="AM221" s="187">
        <v>0</v>
      </c>
      <c r="AN221" s="187">
        <v>0</v>
      </c>
      <c r="AO221" s="187">
        <v>0</v>
      </c>
      <c r="AP221" s="187">
        <v>0</v>
      </c>
      <c r="AQ221" s="187">
        <v>0</v>
      </c>
      <c r="AR221" s="187">
        <v>0</v>
      </c>
      <c r="AS221" s="187">
        <v>0</v>
      </c>
      <c r="AT221" s="187">
        <v>0</v>
      </c>
      <c r="AU221" s="187" t="s">
        <v>52</v>
      </c>
      <c r="AV221" s="187" t="s">
        <v>391</v>
      </c>
      <c r="AW221" s="187" t="s">
        <v>392</v>
      </c>
      <c r="AX221" s="187" t="s">
        <v>393</v>
      </c>
      <c r="AY221" s="187">
        <v>77077</v>
      </c>
      <c r="AZ221" s="188">
        <v>48200000000</v>
      </c>
      <c r="BA221" s="187" t="s">
        <v>394</v>
      </c>
      <c r="BB221" s="187" t="s">
        <v>395</v>
      </c>
      <c r="BC221" s="187">
        <v>161370</v>
      </c>
      <c r="BD221" s="187">
        <v>2990</v>
      </c>
      <c r="BE221" s="187" t="s">
        <v>396</v>
      </c>
      <c r="BF221" s="187" t="s">
        <v>396</v>
      </c>
      <c r="BG221" s="187" t="s">
        <v>396</v>
      </c>
    </row>
    <row r="222" spans="1:59">
      <c r="A222" s="187">
        <v>607530</v>
      </c>
      <c r="B222" s="187">
        <v>18762488</v>
      </c>
      <c r="C222" s="187">
        <v>2022</v>
      </c>
      <c r="D222" s="187" t="s">
        <v>380</v>
      </c>
      <c r="E222" s="187">
        <v>9</v>
      </c>
      <c r="F222" s="187" t="s">
        <v>426</v>
      </c>
      <c r="G222" s="187" t="s">
        <v>382</v>
      </c>
      <c r="H222" s="187" t="s">
        <v>383</v>
      </c>
      <c r="I222" s="187" t="s">
        <v>415</v>
      </c>
      <c r="J222" s="187">
        <v>29.758150000000001</v>
      </c>
      <c r="K222" s="187">
        <v>-95.606300000000005</v>
      </c>
      <c r="L222" s="187" t="s">
        <v>385</v>
      </c>
      <c r="M222" s="187" t="s">
        <v>386</v>
      </c>
      <c r="N222" s="187" t="s">
        <v>401</v>
      </c>
      <c r="O222" s="187" t="s">
        <v>388</v>
      </c>
      <c r="P222" s="187" t="s">
        <v>389</v>
      </c>
      <c r="Q222" s="187" t="s">
        <v>103</v>
      </c>
      <c r="R222" s="187" t="s">
        <v>410</v>
      </c>
      <c r="S222" s="187">
        <v>0</v>
      </c>
      <c r="T222" s="187">
        <v>0</v>
      </c>
      <c r="U222" s="187">
        <v>0</v>
      </c>
      <c r="V222" s="187">
        <v>0</v>
      </c>
      <c r="W222" s="187">
        <v>0</v>
      </c>
      <c r="X222" s="187">
        <v>4</v>
      </c>
      <c r="Y222" s="187">
        <v>0</v>
      </c>
      <c r="Z222" s="187">
        <v>0</v>
      </c>
      <c r="AA222" s="187">
        <v>0</v>
      </c>
      <c r="AB222" s="187">
        <v>0</v>
      </c>
      <c r="AC222" s="187">
        <v>0</v>
      </c>
      <c r="AD222" s="187">
        <v>4</v>
      </c>
      <c r="AE222" s="187">
        <v>0</v>
      </c>
      <c r="AF222" s="187">
        <v>0</v>
      </c>
      <c r="AG222" s="187">
        <v>0</v>
      </c>
      <c r="AH222" s="187">
        <v>0</v>
      </c>
      <c r="AI222" s="187">
        <v>0</v>
      </c>
      <c r="AJ222" s="187">
        <v>0</v>
      </c>
      <c r="AK222" s="187">
        <v>0</v>
      </c>
      <c r="AL222" s="187">
        <v>0</v>
      </c>
      <c r="AM222" s="187">
        <v>0</v>
      </c>
      <c r="AN222" s="187">
        <v>0</v>
      </c>
      <c r="AO222" s="187">
        <v>0</v>
      </c>
      <c r="AP222" s="187">
        <v>0</v>
      </c>
      <c r="AQ222" s="187">
        <v>0</v>
      </c>
      <c r="AR222" s="187">
        <v>0</v>
      </c>
      <c r="AS222" s="187">
        <v>0</v>
      </c>
      <c r="AT222" s="187">
        <v>0</v>
      </c>
      <c r="AU222" s="187" t="s">
        <v>52</v>
      </c>
      <c r="AV222" s="187" t="s">
        <v>391</v>
      </c>
      <c r="AW222" s="187" t="s">
        <v>392</v>
      </c>
      <c r="AX222" s="187" t="s">
        <v>393</v>
      </c>
      <c r="AY222" s="187">
        <v>77077</v>
      </c>
      <c r="AZ222" s="188">
        <v>48200000000</v>
      </c>
      <c r="BA222" s="187" t="s">
        <v>394</v>
      </c>
      <c r="BB222" s="187" t="s">
        <v>395</v>
      </c>
      <c r="BC222" s="187">
        <v>161590</v>
      </c>
      <c r="BD222" s="187">
        <v>2990</v>
      </c>
      <c r="BE222" s="187" t="s">
        <v>396</v>
      </c>
      <c r="BF222" s="187" t="s">
        <v>396</v>
      </c>
      <c r="BG222" s="187" t="s">
        <v>396</v>
      </c>
    </row>
    <row r="223" spans="1:59">
      <c r="A223" s="187">
        <v>610704</v>
      </c>
      <c r="B223" s="187">
        <v>18775271</v>
      </c>
      <c r="C223" s="187">
        <v>2022</v>
      </c>
      <c r="D223" s="189">
        <v>44621</v>
      </c>
      <c r="E223" s="187">
        <v>19</v>
      </c>
      <c r="F223" s="187" t="s">
        <v>381</v>
      </c>
      <c r="G223" s="187" t="s">
        <v>382</v>
      </c>
      <c r="H223" s="187" t="s">
        <v>383</v>
      </c>
      <c r="I223" s="187" t="s">
        <v>415</v>
      </c>
      <c r="J223" s="187">
        <v>29.758150000000001</v>
      </c>
      <c r="K223" s="187">
        <v>-95.606300000000005</v>
      </c>
      <c r="L223" s="187" t="s">
        <v>385</v>
      </c>
      <c r="M223" s="187" t="s">
        <v>400</v>
      </c>
      <c r="N223" s="187" t="s">
        <v>401</v>
      </c>
      <c r="O223" s="187" t="s">
        <v>388</v>
      </c>
      <c r="P223" s="187" t="s">
        <v>342</v>
      </c>
      <c r="Q223" s="187" t="s">
        <v>103</v>
      </c>
      <c r="R223" s="187" t="s">
        <v>444</v>
      </c>
      <c r="S223" s="187">
        <v>0</v>
      </c>
      <c r="T223" s="187">
        <v>0</v>
      </c>
      <c r="U223" s="187">
        <v>0</v>
      </c>
      <c r="V223" s="187">
        <v>1</v>
      </c>
      <c r="W223" s="187">
        <v>1</v>
      </c>
      <c r="X223" s="187">
        <v>1</v>
      </c>
      <c r="Y223" s="187">
        <v>0</v>
      </c>
      <c r="Z223" s="187">
        <v>0</v>
      </c>
      <c r="AA223" s="187">
        <v>0</v>
      </c>
      <c r="AB223" s="187">
        <v>0</v>
      </c>
      <c r="AC223" s="187">
        <v>1</v>
      </c>
      <c r="AD223" s="187">
        <v>1</v>
      </c>
      <c r="AE223" s="187">
        <v>1</v>
      </c>
      <c r="AF223" s="187">
        <v>0</v>
      </c>
      <c r="AG223" s="187">
        <v>0</v>
      </c>
      <c r="AH223" s="187">
        <v>0</v>
      </c>
      <c r="AI223" s="187">
        <v>0</v>
      </c>
      <c r="AJ223" s="187">
        <v>0</v>
      </c>
      <c r="AK223" s="187">
        <v>0</v>
      </c>
      <c r="AL223" s="187">
        <v>0</v>
      </c>
      <c r="AM223" s="187">
        <v>0</v>
      </c>
      <c r="AN223" s="187">
        <v>0</v>
      </c>
      <c r="AO223" s="187">
        <v>0</v>
      </c>
      <c r="AP223" s="187">
        <v>0</v>
      </c>
      <c r="AQ223" s="187">
        <v>0</v>
      </c>
      <c r="AR223" s="187">
        <v>0</v>
      </c>
      <c r="AS223" s="187">
        <v>0</v>
      </c>
      <c r="AT223" s="187">
        <v>0</v>
      </c>
      <c r="AU223" s="187" t="s">
        <v>52</v>
      </c>
      <c r="AV223" s="187" t="s">
        <v>391</v>
      </c>
      <c r="AW223" s="187" t="s">
        <v>392</v>
      </c>
      <c r="AX223" s="187" t="s">
        <v>393</v>
      </c>
      <c r="AY223" s="187">
        <v>77077</v>
      </c>
      <c r="AZ223" s="188">
        <v>48200000000</v>
      </c>
      <c r="BA223" s="187" t="s">
        <v>394</v>
      </c>
      <c r="BB223" s="187" t="s">
        <v>395</v>
      </c>
      <c r="BC223" s="187">
        <v>161590</v>
      </c>
      <c r="BD223" s="187">
        <v>2990</v>
      </c>
      <c r="BE223" s="187" t="s">
        <v>396</v>
      </c>
      <c r="BF223" s="187" t="s">
        <v>396</v>
      </c>
      <c r="BG223" s="187" t="s">
        <v>396</v>
      </c>
    </row>
    <row r="224" spans="1:59">
      <c r="A224" s="187">
        <v>611632</v>
      </c>
      <c r="B224" s="187">
        <v>18779080</v>
      </c>
      <c r="C224" s="187">
        <v>2022</v>
      </c>
      <c r="D224" s="189">
        <v>44621</v>
      </c>
      <c r="E224" s="187">
        <v>11</v>
      </c>
      <c r="F224" s="187" t="s">
        <v>381</v>
      </c>
      <c r="G224" s="187" t="s">
        <v>382</v>
      </c>
      <c r="H224" s="187" t="s">
        <v>404</v>
      </c>
      <c r="I224" s="187" t="s">
        <v>398</v>
      </c>
      <c r="J224" s="187">
        <v>29.764620000000001</v>
      </c>
      <c r="K224" s="187">
        <v>-95.606300000000005</v>
      </c>
      <c r="L224" s="187" t="s">
        <v>385</v>
      </c>
      <c r="M224" s="187" t="s">
        <v>386</v>
      </c>
      <c r="N224" s="187" t="s">
        <v>406</v>
      </c>
      <c r="O224" s="187" t="s">
        <v>388</v>
      </c>
      <c r="P224" s="187" t="s">
        <v>402</v>
      </c>
      <c r="Q224" s="187" t="s">
        <v>103</v>
      </c>
      <c r="R224" s="187" t="s">
        <v>449</v>
      </c>
      <c r="S224" s="187">
        <v>0</v>
      </c>
      <c r="T224" s="187">
        <v>0</v>
      </c>
      <c r="U224" s="187">
        <v>1</v>
      </c>
      <c r="V224" s="187">
        <v>0</v>
      </c>
      <c r="W224" s="187">
        <v>1</v>
      </c>
      <c r="X224" s="187">
        <v>1</v>
      </c>
      <c r="Y224" s="187">
        <v>0</v>
      </c>
      <c r="Z224" s="187">
        <v>0</v>
      </c>
      <c r="AA224" s="187">
        <v>0</v>
      </c>
      <c r="AB224" s="187">
        <v>1</v>
      </c>
      <c r="AC224" s="187">
        <v>0</v>
      </c>
      <c r="AD224" s="187">
        <v>1</v>
      </c>
      <c r="AE224" s="187">
        <v>1</v>
      </c>
      <c r="AF224" s="187">
        <v>0</v>
      </c>
      <c r="AG224" s="187">
        <v>0</v>
      </c>
      <c r="AH224" s="187">
        <v>0</v>
      </c>
      <c r="AI224" s="187">
        <v>0</v>
      </c>
      <c r="AJ224" s="187">
        <v>0</v>
      </c>
      <c r="AK224" s="187">
        <v>0</v>
      </c>
      <c r="AL224" s="187">
        <v>0</v>
      </c>
      <c r="AM224" s="187">
        <v>0</v>
      </c>
      <c r="AN224" s="187">
        <v>0</v>
      </c>
      <c r="AO224" s="187">
        <v>0</v>
      </c>
      <c r="AP224" s="187">
        <v>0</v>
      </c>
      <c r="AQ224" s="187">
        <v>0</v>
      </c>
      <c r="AR224" s="187">
        <v>0</v>
      </c>
      <c r="AS224" s="187">
        <v>0</v>
      </c>
      <c r="AT224" s="187">
        <v>0</v>
      </c>
      <c r="AU224" s="187" t="s">
        <v>52</v>
      </c>
      <c r="AV224" s="187" t="s">
        <v>391</v>
      </c>
      <c r="AW224" s="187" t="s">
        <v>392</v>
      </c>
      <c r="AX224" s="187" t="s">
        <v>393</v>
      </c>
      <c r="AY224" s="187">
        <v>77079</v>
      </c>
      <c r="AZ224" s="188">
        <v>48200000000</v>
      </c>
      <c r="BA224" s="187" t="s">
        <v>394</v>
      </c>
      <c r="BB224" s="187" t="s">
        <v>395</v>
      </c>
      <c r="BC224" s="187">
        <v>161810</v>
      </c>
      <c r="BD224" s="187">
        <v>2990</v>
      </c>
      <c r="BE224" s="187" t="s">
        <v>396</v>
      </c>
      <c r="BF224" s="187" t="s">
        <v>396</v>
      </c>
      <c r="BG224" s="187" t="s">
        <v>396</v>
      </c>
    </row>
    <row r="225" spans="1:59">
      <c r="A225" s="187">
        <v>612301</v>
      </c>
      <c r="B225" s="187">
        <v>18781145</v>
      </c>
      <c r="C225" s="187">
        <v>2022</v>
      </c>
      <c r="D225" s="189">
        <v>44622</v>
      </c>
      <c r="E225" s="187">
        <v>14</v>
      </c>
      <c r="F225" s="187" t="s">
        <v>414</v>
      </c>
      <c r="G225" s="187" t="s">
        <v>382</v>
      </c>
      <c r="H225" s="187" t="s">
        <v>419</v>
      </c>
      <c r="I225" s="187" t="s">
        <v>398</v>
      </c>
      <c r="J225" s="187">
        <v>29.753969999999999</v>
      </c>
      <c r="K225" s="187">
        <v>-95.606099999999998</v>
      </c>
      <c r="L225" s="187" t="s">
        <v>385</v>
      </c>
      <c r="M225" s="187" t="s">
        <v>386</v>
      </c>
      <c r="N225" s="187" t="s">
        <v>425</v>
      </c>
      <c r="O225" s="187" t="s">
        <v>388</v>
      </c>
      <c r="P225" s="187" t="s">
        <v>389</v>
      </c>
      <c r="Q225" s="187" t="s">
        <v>105</v>
      </c>
      <c r="R225" s="187" t="s">
        <v>424</v>
      </c>
      <c r="S225" s="187">
        <v>0</v>
      </c>
      <c r="T225" s="187">
        <v>0</v>
      </c>
      <c r="U225" s="187">
        <v>0</v>
      </c>
      <c r="V225" s="187">
        <v>0</v>
      </c>
      <c r="W225" s="187">
        <v>0</v>
      </c>
      <c r="X225" s="187">
        <v>1</v>
      </c>
      <c r="Y225" s="187">
        <v>1</v>
      </c>
      <c r="Z225" s="187">
        <v>0</v>
      </c>
      <c r="AA225" s="187">
        <v>0</v>
      </c>
      <c r="AB225" s="187">
        <v>0</v>
      </c>
      <c r="AC225" s="187">
        <v>0</v>
      </c>
      <c r="AD225" s="187">
        <v>1</v>
      </c>
      <c r="AE225" s="187">
        <v>0</v>
      </c>
      <c r="AF225" s="187">
        <v>1</v>
      </c>
      <c r="AG225" s="187">
        <v>0</v>
      </c>
      <c r="AH225" s="187">
        <v>0</v>
      </c>
      <c r="AI225" s="187">
        <v>0</v>
      </c>
      <c r="AJ225" s="187">
        <v>0</v>
      </c>
      <c r="AK225" s="187">
        <v>0</v>
      </c>
      <c r="AL225" s="187">
        <v>0</v>
      </c>
      <c r="AM225" s="187">
        <v>0</v>
      </c>
      <c r="AN225" s="187">
        <v>0</v>
      </c>
      <c r="AO225" s="187">
        <v>0</v>
      </c>
      <c r="AP225" s="187">
        <v>0</v>
      </c>
      <c r="AQ225" s="187">
        <v>0</v>
      </c>
      <c r="AR225" s="187">
        <v>0</v>
      </c>
      <c r="AS225" s="187">
        <v>0</v>
      </c>
      <c r="AT225" s="187">
        <v>0</v>
      </c>
      <c r="AU225" s="187" t="s">
        <v>52</v>
      </c>
      <c r="AV225" s="187" t="s">
        <v>391</v>
      </c>
      <c r="AW225" s="187" t="s">
        <v>392</v>
      </c>
      <c r="AX225" s="187" t="s">
        <v>393</v>
      </c>
      <c r="AY225" s="187">
        <v>77077</v>
      </c>
      <c r="AZ225" s="188">
        <v>48200000000</v>
      </c>
      <c r="BA225" s="187" t="s">
        <v>394</v>
      </c>
      <c r="BB225" s="187" t="s">
        <v>395</v>
      </c>
      <c r="BC225" s="187">
        <v>161370</v>
      </c>
      <c r="BD225" s="187">
        <v>2990</v>
      </c>
      <c r="BE225" s="187" t="s">
        <v>396</v>
      </c>
      <c r="BF225" s="187" t="s">
        <v>396</v>
      </c>
      <c r="BG225" s="187" t="s">
        <v>396</v>
      </c>
    </row>
    <row r="226" spans="1:59">
      <c r="A226" s="187">
        <v>616026</v>
      </c>
      <c r="B226" s="187">
        <v>18795616</v>
      </c>
      <c r="C226" s="187">
        <v>2022</v>
      </c>
      <c r="D226" s="187" t="s">
        <v>380</v>
      </c>
      <c r="E226" s="187">
        <v>22</v>
      </c>
      <c r="F226" s="187" t="s">
        <v>397</v>
      </c>
      <c r="G226" s="187" t="s">
        <v>382</v>
      </c>
      <c r="H226" s="187" t="s">
        <v>383</v>
      </c>
      <c r="I226" s="187" t="s">
        <v>415</v>
      </c>
      <c r="J226" s="187">
        <v>29.754000000000001</v>
      </c>
      <c r="K226" s="187">
        <v>-95.606200000000001</v>
      </c>
      <c r="L226" s="187" t="s">
        <v>405</v>
      </c>
      <c r="M226" s="187" t="s">
        <v>400</v>
      </c>
      <c r="N226" s="187" t="s">
        <v>425</v>
      </c>
      <c r="O226" s="187" t="s">
        <v>388</v>
      </c>
      <c r="P226" s="187" t="s">
        <v>389</v>
      </c>
      <c r="Q226" s="187" t="s">
        <v>102</v>
      </c>
      <c r="R226" s="187" t="s">
        <v>413</v>
      </c>
      <c r="S226" s="187">
        <v>0</v>
      </c>
      <c r="T226" s="187">
        <v>0</v>
      </c>
      <c r="U226" s="187">
        <v>0</v>
      </c>
      <c r="V226" s="187">
        <v>0</v>
      </c>
      <c r="W226" s="187">
        <v>0</v>
      </c>
      <c r="X226" s="187">
        <v>1</v>
      </c>
      <c r="Y226" s="187">
        <v>0</v>
      </c>
      <c r="Z226" s="187">
        <v>0</v>
      </c>
      <c r="AA226" s="187">
        <v>0</v>
      </c>
      <c r="AB226" s="187">
        <v>0</v>
      </c>
      <c r="AC226" s="187">
        <v>0</v>
      </c>
      <c r="AD226" s="187">
        <v>1</v>
      </c>
      <c r="AE226" s="187">
        <v>0</v>
      </c>
      <c r="AF226" s="187">
        <v>0</v>
      </c>
      <c r="AG226" s="187">
        <v>0</v>
      </c>
      <c r="AH226" s="187">
        <v>0</v>
      </c>
      <c r="AI226" s="187">
        <v>0</v>
      </c>
      <c r="AJ226" s="187">
        <v>0</v>
      </c>
      <c r="AK226" s="187">
        <v>0</v>
      </c>
      <c r="AL226" s="187">
        <v>0</v>
      </c>
      <c r="AM226" s="187">
        <v>0</v>
      </c>
      <c r="AN226" s="187">
        <v>0</v>
      </c>
      <c r="AO226" s="187">
        <v>0</v>
      </c>
      <c r="AP226" s="187">
        <v>0</v>
      </c>
      <c r="AQ226" s="187">
        <v>0</v>
      </c>
      <c r="AR226" s="187">
        <v>0</v>
      </c>
      <c r="AS226" s="187">
        <v>0</v>
      </c>
      <c r="AT226" s="187">
        <v>0</v>
      </c>
      <c r="AU226" s="187" t="s">
        <v>52</v>
      </c>
      <c r="AV226" s="187" t="s">
        <v>391</v>
      </c>
      <c r="AW226" s="187" t="s">
        <v>392</v>
      </c>
      <c r="AX226" s="187" t="s">
        <v>393</v>
      </c>
      <c r="AY226" s="187">
        <v>77077</v>
      </c>
      <c r="AZ226" s="188">
        <v>48200000000</v>
      </c>
      <c r="BA226" s="187" t="s">
        <v>394</v>
      </c>
      <c r="BB226" s="187" t="s">
        <v>395</v>
      </c>
      <c r="BC226" s="187">
        <v>161370</v>
      </c>
      <c r="BD226" s="187">
        <v>2990</v>
      </c>
      <c r="BE226" s="187" t="s">
        <v>396</v>
      </c>
      <c r="BF226" s="187" t="s">
        <v>396</v>
      </c>
      <c r="BG226" s="187" t="s">
        <v>396</v>
      </c>
    </row>
    <row r="227" spans="1:59">
      <c r="A227" s="187">
        <v>619649</v>
      </c>
      <c r="B227" s="187">
        <v>18809755</v>
      </c>
      <c r="C227" s="187">
        <v>2022</v>
      </c>
      <c r="D227" s="187" t="s">
        <v>380</v>
      </c>
      <c r="E227" s="187">
        <v>19</v>
      </c>
      <c r="F227" s="187" t="s">
        <v>421</v>
      </c>
      <c r="G227" s="187" t="s">
        <v>382</v>
      </c>
      <c r="H227" s="187" t="s">
        <v>419</v>
      </c>
      <c r="I227" s="187" t="s">
        <v>422</v>
      </c>
      <c r="J227" s="187">
        <v>29.753969999999999</v>
      </c>
      <c r="K227" s="187">
        <v>-95.605900000000005</v>
      </c>
      <c r="L227" s="187" t="s">
        <v>399</v>
      </c>
      <c r="M227" s="187" t="s">
        <v>400</v>
      </c>
      <c r="N227" s="187" t="s">
        <v>425</v>
      </c>
      <c r="O227" s="187" t="s">
        <v>388</v>
      </c>
      <c r="P227" s="187" t="s">
        <v>389</v>
      </c>
      <c r="Q227" s="187" t="s">
        <v>105</v>
      </c>
      <c r="R227" s="187" t="s">
        <v>470</v>
      </c>
      <c r="S227" s="187">
        <v>0</v>
      </c>
      <c r="T227" s="187">
        <v>0</v>
      </c>
      <c r="U227" s="187">
        <v>0</v>
      </c>
      <c r="V227" s="187">
        <v>0</v>
      </c>
      <c r="W227" s="187">
        <v>0</v>
      </c>
      <c r="X227" s="187">
        <v>3</v>
      </c>
      <c r="Y227" s="187">
        <v>0</v>
      </c>
      <c r="Z227" s="187">
        <v>0</v>
      </c>
      <c r="AA227" s="187">
        <v>0</v>
      </c>
      <c r="AB227" s="187">
        <v>0</v>
      </c>
      <c r="AC227" s="187">
        <v>0</v>
      </c>
      <c r="AD227" s="187">
        <v>3</v>
      </c>
      <c r="AE227" s="187">
        <v>0</v>
      </c>
      <c r="AF227" s="187">
        <v>0</v>
      </c>
      <c r="AG227" s="187">
        <v>0</v>
      </c>
      <c r="AH227" s="187">
        <v>0</v>
      </c>
      <c r="AI227" s="187">
        <v>0</v>
      </c>
      <c r="AJ227" s="187">
        <v>0</v>
      </c>
      <c r="AK227" s="187">
        <v>0</v>
      </c>
      <c r="AL227" s="187">
        <v>0</v>
      </c>
      <c r="AM227" s="187">
        <v>0</v>
      </c>
      <c r="AN227" s="187">
        <v>0</v>
      </c>
      <c r="AO227" s="187">
        <v>0</v>
      </c>
      <c r="AP227" s="187">
        <v>0</v>
      </c>
      <c r="AQ227" s="187">
        <v>0</v>
      </c>
      <c r="AR227" s="187">
        <v>0</v>
      </c>
      <c r="AS227" s="187">
        <v>0</v>
      </c>
      <c r="AT227" s="187">
        <v>0</v>
      </c>
      <c r="AU227" s="187" t="s">
        <v>52</v>
      </c>
      <c r="AV227" s="187" t="s">
        <v>391</v>
      </c>
      <c r="AW227" s="187" t="s">
        <v>392</v>
      </c>
      <c r="AX227" s="187" t="s">
        <v>393</v>
      </c>
      <c r="AY227" s="187">
        <v>77077</v>
      </c>
      <c r="AZ227" s="188">
        <v>48200000000</v>
      </c>
      <c r="BA227" s="187" t="s">
        <v>394</v>
      </c>
      <c r="BB227" s="187" t="s">
        <v>395</v>
      </c>
      <c r="BC227" s="187">
        <v>161370</v>
      </c>
      <c r="BD227" s="187">
        <v>2990</v>
      </c>
      <c r="BE227" s="187" t="s">
        <v>396</v>
      </c>
      <c r="BF227" s="187" t="s">
        <v>396</v>
      </c>
      <c r="BG227" s="187" t="s">
        <v>396</v>
      </c>
    </row>
    <row r="228" spans="1:59">
      <c r="A228" s="187">
        <v>620223</v>
      </c>
      <c r="B228" s="187">
        <v>18811896</v>
      </c>
      <c r="C228" s="187">
        <v>2022</v>
      </c>
      <c r="D228" s="187" t="s">
        <v>380</v>
      </c>
      <c r="E228" s="187">
        <v>19</v>
      </c>
      <c r="F228" s="187" t="s">
        <v>421</v>
      </c>
      <c r="G228" s="187" t="s">
        <v>382</v>
      </c>
      <c r="H228" s="187" t="s">
        <v>383</v>
      </c>
      <c r="I228" s="187" t="s">
        <v>415</v>
      </c>
      <c r="J228" s="187">
        <v>29.758099999999999</v>
      </c>
      <c r="K228" s="187">
        <v>-95.606300000000005</v>
      </c>
      <c r="L228" s="187" t="s">
        <v>399</v>
      </c>
      <c r="M228" s="187" t="s">
        <v>400</v>
      </c>
      <c r="N228" s="187" t="s">
        <v>425</v>
      </c>
      <c r="O228" s="187" t="s">
        <v>388</v>
      </c>
      <c r="P228" s="187" t="s">
        <v>389</v>
      </c>
      <c r="Q228" s="187" t="s">
        <v>102</v>
      </c>
      <c r="R228" s="187" t="s">
        <v>390</v>
      </c>
      <c r="S228" s="187">
        <v>0</v>
      </c>
      <c r="T228" s="187">
        <v>0</v>
      </c>
      <c r="U228" s="187">
        <v>0</v>
      </c>
      <c r="V228" s="187">
        <v>0</v>
      </c>
      <c r="W228" s="187">
        <v>0</v>
      </c>
      <c r="X228" s="187">
        <v>3</v>
      </c>
      <c r="Y228" s="187">
        <v>1</v>
      </c>
      <c r="Z228" s="187">
        <v>0</v>
      </c>
      <c r="AA228" s="187">
        <v>0</v>
      </c>
      <c r="AB228" s="187">
        <v>0</v>
      </c>
      <c r="AC228" s="187">
        <v>0</v>
      </c>
      <c r="AD228" s="187">
        <v>3</v>
      </c>
      <c r="AE228" s="187">
        <v>0</v>
      </c>
      <c r="AF228" s="187">
        <v>1</v>
      </c>
      <c r="AG228" s="187">
        <v>0</v>
      </c>
      <c r="AH228" s="187">
        <v>0</v>
      </c>
      <c r="AI228" s="187">
        <v>0</v>
      </c>
      <c r="AJ228" s="187">
        <v>0</v>
      </c>
      <c r="AK228" s="187">
        <v>0</v>
      </c>
      <c r="AL228" s="187">
        <v>0</v>
      </c>
      <c r="AM228" s="187">
        <v>0</v>
      </c>
      <c r="AN228" s="187">
        <v>0</v>
      </c>
      <c r="AO228" s="187">
        <v>0</v>
      </c>
      <c r="AP228" s="187">
        <v>0</v>
      </c>
      <c r="AQ228" s="187">
        <v>0</v>
      </c>
      <c r="AR228" s="187">
        <v>0</v>
      </c>
      <c r="AS228" s="187">
        <v>0</v>
      </c>
      <c r="AT228" s="187">
        <v>0</v>
      </c>
      <c r="AU228" s="187" t="s">
        <v>52</v>
      </c>
      <c r="AV228" s="187" t="s">
        <v>391</v>
      </c>
      <c r="AW228" s="187" t="s">
        <v>392</v>
      </c>
      <c r="AX228" s="187" t="s">
        <v>393</v>
      </c>
      <c r="AY228" s="187">
        <v>77077</v>
      </c>
      <c r="AZ228" s="188">
        <v>48200000000</v>
      </c>
      <c r="BA228" s="187" t="s">
        <v>394</v>
      </c>
      <c r="BB228" s="187" t="s">
        <v>395</v>
      </c>
      <c r="BC228" s="187">
        <v>161590</v>
      </c>
      <c r="BD228" s="187">
        <v>2990</v>
      </c>
      <c r="BE228" s="187" t="s">
        <v>396</v>
      </c>
      <c r="BF228" s="187" t="s">
        <v>396</v>
      </c>
      <c r="BG228" s="187" t="s">
        <v>396</v>
      </c>
    </row>
    <row r="229" spans="1:59">
      <c r="A229" s="187">
        <v>620267</v>
      </c>
      <c r="B229" s="187">
        <v>18812015</v>
      </c>
      <c r="C229" s="187">
        <v>2022</v>
      </c>
      <c r="D229" s="187" t="s">
        <v>380</v>
      </c>
      <c r="E229" s="187">
        <v>23</v>
      </c>
      <c r="F229" s="187" t="s">
        <v>414</v>
      </c>
      <c r="G229" s="187" t="s">
        <v>382</v>
      </c>
      <c r="H229" s="187" t="s">
        <v>383</v>
      </c>
      <c r="I229" s="187" t="s">
        <v>415</v>
      </c>
      <c r="J229" s="187">
        <v>29.758179999999999</v>
      </c>
      <c r="K229" s="187">
        <v>-95.606300000000005</v>
      </c>
      <c r="L229" s="187" t="s">
        <v>385</v>
      </c>
      <c r="M229" s="187" t="s">
        <v>400</v>
      </c>
      <c r="N229" s="187" t="s">
        <v>425</v>
      </c>
      <c r="O229" s="187" t="s">
        <v>388</v>
      </c>
      <c r="P229" s="187" t="s">
        <v>389</v>
      </c>
      <c r="Q229" s="187" t="s">
        <v>106</v>
      </c>
      <c r="R229" s="187" t="s">
        <v>403</v>
      </c>
      <c r="S229" s="187">
        <v>0</v>
      </c>
      <c r="T229" s="187">
        <v>0</v>
      </c>
      <c r="U229" s="187">
        <v>0</v>
      </c>
      <c r="V229" s="187">
        <v>0</v>
      </c>
      <c r="W229" s="187">
        <v>0</v>
      </c>
      <c r="X229" s="187">
        <v>4</v>
      </c>
      <c r="Y229" s="187">
        <v>0</v>
      </c>
      <c r="Z229" s="187">
        <v>0</v>
      </c>
      <c r="AA229" s="187">
        <v>0</v>
      </c>
      <c r="AB229" s="187">
        <v>0</v>
      </c>
      <c r="AC229" s="187">
        <v>0</v>
      </c>
      <c r="AD229" s="187">
        <v>4</v>
      </c>
      <c r="AE229" s="187">
        <v>0</v>
      </c>
      <c r="AF229" s="187">
        <v>0</v>
      </c>
      <c r="AG229" s="187">
        <v>0</v>
      </c>
      <c r="AH229" s="187">
        <v>0</v>
      </c>
      <c r="AI229" s="187">
        <v>0</v>
      </c>
      <c r="AJ229" s="187">
        <v>0</v>
      </c>
      <c r="AK229" s="187">
        <v>0</v>
      </c>
      <c r="AL229" s="187">
        <v>0</v>
      </c>
      <c r="AM229" s="187">
        <v>0</v>
      </c>
      <c r="AN229" s="187">
        <v>0</v>
      </c>
      <c r="AO229" s="187">
        <v>0</v>
      </c>
      <c r="AP229" s="187">
        <v>0</v>
      </c>
      <c r="AQ229" s="187">
        <v>0</v>
      </c>
      <c r="AR229" s="187">
        <v>0</v>
      </c>
      <c r="AS229" s="187">
        <v>0</v>
      </c>
      <c r="AT229" s="187">
        <v>0</v>
      </c>
      <c r="AU229" s="187" t="s">
        <v>52</v>
      </c>
      <c r="AV229" s="187" t="s">
        <v>391</v>
      </c>
      <c r="AW229" s="187" t="s">
        <v>392</v>
      </c>
      <c r="AX229" s="187" t="s">
        <v>393</v>
      </c>
      <c r="AY229" s="187">
        <v>77077</v>
      </c>
      <c r="AZ229" s="188">
        <v>48200000000</v>
      </c>
      <c r="BA229" s="187" t="s">
        <v>394</v>
      </c>
      <c r="BB229" s="187" t="s">
        <v>395</v>
      </c>
      <c r="BC229" s="187">
        <v>161590</v>
      </c>
      <c r="BD229" s="187">
        <v>2990</v>
      </c>
      <c r="BE229" s="187" t="s">
        <v>396</v>
      </c>
      <c r="BF229" s="187" t="s">
        <v>396</v>
      </c>
      <c r="BG229" s="187" t="s">
        <v>396</v>
      </c>
    </row>
    <row r="230" spans="1:59">
      <c r="A230" s="187">
        <v>621187</v>
      </c>
      <c r="B230" s="187">
        <v>18815977</v>
      </c>
      <c r="C230" s="187">
        <v>2022</v>
      </c>
      <c r="D230" s="187" t="s">
        <v>380</v>
      </c>
      <c r="E230" s="187">
        <v>2</v>
      </c>
      <c r="F230" s="187" t="s">
        <v>414</v>
      </c>
      <c r="G230" s="187" t="s">
        <v>382</v>
      </c>
      <c r="H230" s="187" t="s">
        <v>383</v>
      </c>
      <c r="I230" s="187" t="s">
        <v>415</v>
      </c>
      <c r="J230" s="187">
        <v>29.761130000000001</v>
      </c>
      <c r="K230" s="187">
        <v>-95.606300000000005</v>
      </c>
      <c r="L230" s="187" t="s">
        <v>385</v>
      </c>
      <c r="M230" s="187" t="s">
        <v>400</v>
      </c>
      <c r="N230" s="187" t="s">
        <v>425</v>
      </c>
      <c r="O230" s="187" t="s">
        <v>441</v>
      </c>
      <c r="P230" s="187" t="s">
        <v>446</v>
      </c>
      <c r="Q230" s="187" t="s">
        <v>102</v>
      </c>
      <c r="R230" s="187" t="s">
        <v>433</v>
      </c>
      <c r="S230" s="187"/>
      <c r="T230" s="187"/>
      <c r="U230" s="187"/>
      <c r="V230" s="187"/>
      <c r="W230" s="187"/>
      <c r="X230" s="187"/>
      <c r="Y230" s="187"/>
      <c r="Z230" s="187"/>
      <c r="AA230" s="187"/>
      <c r="AB230" s="187"/>
      <c r="AC230" s="187"/>
      <c r="AD230" s="187"/>
      <c r="AE230" s="187"/>
      <c r="AF230" s="187"/>
      <c r="AG230" s="187"/>
      <c r="AH230" s="187"/>
      <c r="AI230" s="187"/>
      <c r="AJ230" s="187"/>
      <c r="AK230" s="187"/>
      <c r="AL230" s="187"/>
      <c r="AM230" s="187"/>
      <c r="AN230" s="187"/>
      <c r="AO230" s="187"/>
      <c r="AP230" s="187"/>
      <c r="AQ230" s="187"/>
      <c r="AR230" s="187"/>
      <c r="AS230" s="187"/>
      <c r="AT230" s="187"/>
      <c r="AU230" s="187" t="s">
        <v>52</v>
      </c>
      <c r="AV230" s="187" t="s">
        <v>391</v>
      </c>
      <c r="AW230" s="187" t="s">
        <v>392</v>
      </c>
      <c r="AX230" s="187" t="s">
        <v>393</v>
      </c>
      <c r="AY230" s="187">
        <v>77077</v>
      </c>
      <c r="AZ230" s="188">
        <v>48200000000</v>
      </c>
      <c r="BA230" s="187" t="s">
        <v>394</v>
      </c>
      <c r="BB230" s="187" t="s">
        <v>395</v>
      </c>
      <c r="BC230" s="187">
        <v>161590</v>
      </c>
      <c r="BD230" s="187">
        <v>2990</v>
      </c>
      <c r="BE230" s="187" t="s">
        <v>396</v>
      </c>
      <c r="BF230" s="187" t="s">
        <v>396</v>
      </c>
      <c r="BG230" s="187" t="s">
        <v>396</v>
      </c>
    </row>
    <row r="231" spans="1:59">
      <c r="A231" s="187">
        <v>630308</v>
      </c>
      <c r="B231" s="187">
        <v>18851785</v>
      </c>
      <c r="C231" s="187">
        <v>2022</v>
      </c>
      <c r="D231" s="189">
        <v>44654</v>
      </c>
      <c r="E231" s="187">
        <v>10</v>
      </c>
      <c r="F231" s="187" t="s">
        <v>429</v>
      </c>
      <c r="G231" s="187" t="s">
        <v>382</v>
      </c>
      <c r="H231" s="187" t="s">
        <v>468</v>
      </c>
      <c r="I231" s="187" t="s">
        <v>398</v>
      </c>
      <c r="J231" s="187">
        <v>29.761130000000001</v>
      </c>
      <c r="K231" s="187">
        <v>-95.606300000000005</v>
      </c>
      <c r="L231" s="187" t="s">
        <v>385</v>
      </c>
      <c r="M231" s="187" t="s">
        <v>386</v>
      </c>
      <c r="N231" s="187" t="s">
        <v>425</v>
      </c>
      <c r="O231" s="187" t="s">
        <v>388</v>
      </c>
      <c r="P231" s="187" t="s">
        <v>389</v>
      </c>
      <c r="Q231" s="187" t="s">
        <v>102</v>
      </c>
      <c r="R231" s="187" t="s">
        <v>433</v>
      </c>
      <c r="S231" s="187">
        <v>0</v>
      </c>
      <c r="T231" s="187">
        <v>0</v>
      </c>
      <c r="U231" s="187">
        <v>0</v>
      </c>
      <c r="V231" s="187">
        <v>0</v>
      </c>
      <c r="W231" s="187">
        <v>0</v>
      </c>
      <c r="X231" s="187">
        <v>5</v>
      </c>
      <c r="Y231" s="187">
        <v>0</v>
      </c>
      <c r="Z231" s="187">
        <v>0</v>
      </c>
      <c r="AA231" s="187">
        <v>0</v>
      </c>
      <c r="AB231" s="187">
        <v>0</v>
      </c>
      <c r="AC231" s="187">
        <v>0</v>
      </c>
      <c r="AD231" s="187">
        <v>5</v>
      </c>
      <c r="AE231" s="187">
        <v>0</v>
      </c>
      <c r="AF231" s="187">
        <v>0</v>
      </c>
      <c r="AG231" s="187">
        <v>0</v>
      </c>
      <c r="AH231" s="187">
        <v>0</v>
      </c>
      <c r="AI231" s="187">
        <v>0</v>
      </c>
      <c r="AJ231" s="187">
        <v>0</v>
      </c>
      <c r="AK231" s="187">
        <v>0</v>
      </c>
      <c r="AL231" s="187">
        <v>0</v>
      </c>
      <c r="AM231" s="187">
        <v>0</v>
      </c>
      <c r="AN231" s="187">
        <v>0</v>
      </c>
      <c r="AO231" s="187">
        <v>0</v>
      </c>
      <c r="AP231" s="187">
        <v>0</v>
      </c>
      <c r="AQ231" s="187">
        <v>0</v>
      </c>
      <c r="AR231" s="187">
        <v>0</v>
      </c>
      <c r="AS231" s="187">
        <v>0</v>
      </c>
      <c r="AT231" s="187">
        <v>0</v>
      </c>
      <c r="AU231" s="187" t="s">
        <v>52</v>
      </c>
      <c r="AV231" s="187" t="s">
        <v>391</v>
      </c>
      <c r="AW231" s="187" t="s">
        <v>392</v>
      </c>
      <c r="AX231" s="187" t="s">
        <v>393</v>
      </c>
      <c r="AY231" s="187">
        <v>77077</v>
      </c>
      <c r="AZ231" s="188">
        <v>48200000000</v>
      </c>
      <c r="BA231" s="187" t="s">
        <v>394</v>
      </c>
      <c r="BB231" s="187" t="s">
        <v>395</v>
      </c>
      <c r="BC231" s="187">
        <v>161590</v>
      </c>
      <c r="BD231" s="187">
        <v>2990</v>
      </c>
      <c r="BE231" s="187" t="s">
        <v>396</v>
      </c>
      <c r="BF231" s="187" t="s">
        <v>396</v>
      </c>
      <c r="BG231" s="187" t="s">
        <v>396</v>
      </c>
    </row>
    <row r="232" spans="1:59">
      <c r="A232" s="187">
        <v>633981</v>
      </c>
      <c r="B232" s="187">
        <v>18866732</v>
      </c>
      <c r="C232" s="187">
        <v>2022</v>
      </c>
      <c r="D232" s="187" t="s">
        <v>380</v>
      </c>
      <c r="E232" s="187">
        <v>16</v>
      </c>
      <c r="F232" s="187" t="s">
        <v>421</v>
      </c>
      <c r="G232" s="187" t="s">
        <v>382</v>
      </c>
      <c r="H232" s="187" t="s">
        <v>479</v>
      </c>
      <c r="I232" s="187" t="s">
        <v>422</v>
      </c>
      <c r="J232" s="187">
        <v>29.7546</v>
      </c>
      <c r="K232" s="187">
        <v>-95.606200000000001</v>
      </c>
      <c r="L232" s="187" t="s">
        <v>385</v>
      </c>
      <c r="M232" s="187" t="s">
        <v>386</v>
      </c>
      <c r="N232" s="187" t="s">
        <v>425</v>
      </c>
      <c r="O232" s="187" t="s">
        <v>388</v>
      </c>
      <c r="P232" s="187" t="s">
        <v>389</v>
      </c>
      <c r="Q232" s="187" t="s">
        <v>102</v>
      </c>
      <c r="R232" s="187" t="s">
        <v>434</v>
      </c>
      <c r="S232" s="187">
        <v>0</v>
      </c>
      <c r="T232" s="187">
        <v>0</v>
      </c>
      <c r="U232" s="187">
        <v>0</v>
      </c>
      <c r="V232" s="187">
        <v>0</v>
      </c>
      <c r="W232" s="187">
        <v>0</v>
      </c>
      <c r="X232" s="187">
        <v>4</v>
      </c>
      <c r="Y232" s="187">
        <v>1</v>
      </c>
      <c r="Z232" s="187">
        <v>0</v>
      </c>
      <c r="AA232" s="187">
        <v>0</v>
      </c>
      <c r="AB232" s="187">
        <v>0</v>
      </c>
      <c r="AC232" s="187">
        <v>0</v>
      </c>
      <c r="AD232" s="187">
        <v>4</v>
      </c>
      <c r="AE232" s="187">
        <v>0</v>
      </c>
      <c r="AF232" s="187">
        <v>1</v>
      </c>
      <c r="AG232" s="187">
        <v>0</v>
      </c>
      <c r="AH232" s="187">
        <v>0</v>
      </c>
      <c r="AI232" s="187">
        <v>0</v>
      </c>
      <c r="AJ232" s="187">
        <v>0</v>
      </c>
      <c r="AK232" s="187">
        <v>0</v>
      </c>
      <c r="AL232" s="187">
        <v>0</v>
      </c>
      <c r="AM232" s="187">
        <v>0</v>
      </c>
      <c r="AN232" s="187">
        <v>0</v>
      </c>
      <c r="AO232" s="187">
        <v>0</v>
      </c>
      <c r="AP232" s="187">
        <v>0</v>
      </c>
      <c r="AQ232" s="187">
        <v>0</v>
      </c>
      <c r="AR232" s="187">
        <v>0</v>
      </c>
      <c r="AS232" s="187">
        <v>0</v>
      </c>
      <c r="AT232" s="187">
        <v>0</v>
      </c>
      <c r="AU232" s="187" t="s">
        <v>52</v>
      </c>
      <c r="AV232" s="187" t="s">
        <v>391</v>
      </c>
      <c r="AW232" s="187" t="s">
        <v>392</v>
      </c>
      <c r="AX232" s="187" t="s">
        <v>393</v>
      </c>
      <c r="AY232" s="187">
        <v>77077</v>
      </c>
      <c r="AZ232" s="188">
        <v>48200000000</v>
      </c>
      <c r="BA232" s="187" t="s">
        <v>394</v>
      </c>
      <c r="BB232" s="187" t="s">
        <v>395</v>
      </c>
      <c r="BC232" s="187">
        <v>161370</v>
      </c>
      <c r="BD232" s="187">
        <v>2990</v>
      </c>
      <c r="BE232" s="187" t="s">
        <v>396</v>
      </c>
      <c r="BF232" s="187" t="s">
        <v>396</v>
      </c>
      <c r="BG232" s="187" t="s">
        <v>396</v>
      </c>
    </row>
    <row r="233" spans="1:59">
      <c r="A233" s="187">
        <v>634607</v>
      </c>
      <c r="B233" s="187">
        <v>18868932</v>
      </c>
      <c r="C233" s="187">
        <v>2022</v>
      </c>
      <c r="D233" s="187" t="s">
        <v>380</v>
      </c>
      <c r="E233" s="187">
        <v>23</v>
      </c>
      <c r="F233" s="187" t="s">
        <v>426</v>
      </c>
      <c r="G233" s="187" t="s">
        <v>382</v>
      </c>
      <c r="H233" s="187" t="s">
        <v>404</v>
      </c>
      <c r="I233" s="187" t="s">
        <v>415</v>
      </c>
      <c r="J233" s="187">
        <v>29.768249999999998</v>
      </c>
      <c r="K233" s="187">
        <v>-95.606300000000005</v>
      </c>
      <c r="L233" s="187" t="s">
        <v>385</v>
      </c>
      <c r="M233" s="187" t="s">
        <v>400</v>
      </c>
      <c r="N233" s="187" t="s">
        <v>425</v>
      </c>
      <c r="O233" s="187" t="s">
        <v>388</v>
      </c>
      <c r="P233" s="187" t="s">
        <v>342</v>
      </c>
      <c r="Q233" s="187" t="s">
        <v>103</v>
      </c>
      <c r="R233" s="187" t="s">
        <v>444</v>
      </c>
      <c r="S233" s="187">
        <v>0</v>
      </c>
      <c r="T233" s="187">
        <v>0</v>
      </c>
      <c r="U233" s="187">
        <v>0</v>
      </c>
      <c r="V233" s="187">
        <v>1</v>
      </c>
      <c r="W233" s="187">
        <v>1</v>
      </c>
      <c r="X233" s="187">
        <v>1</v>
      </c>
      <c r="Y233" s="187">
        <v>0</v>
      </c>
      <c r="Z233" s="187">
        <v>0</v>
      </c>
      <c r="AA233" s="187">
        <v>0</v>
      </c>
      <c r="AB233" s="187">
        <v>0</v>
      </c>
      <c r="AC233" s="187">
        <v>1</v>
      </c>
      <c r="AD233" s="187">
        <v>1</v>
      </c>
      <c r="AE233" s="187">
        <v>1</v>
      </c>
      <c r="AF233" s="187">
        <v>0</v>
      </c>
      <c r="AG233" s="187">
        <v>0</v>
      </c>
      <c r="AH233" s="187">
        <v>0</v>
      </c>
      <c r="AI233" s="187">
        <v>0</v>
      </c>
      <c r="AJ233" s="187">
        <v>0</v>
      </c>
      <c r="AK233" s="187">
        <v>0</v>
      </c>
      <c r="AL233" s="187">
        <v>0</v>
      </c>
      <c r="AM233" s="187">
        <v>0</v>
      </c>
      <c r="AN233" s="187">
        <v>0</v>
      </c>
      <c r="AO233" s="187">
        <v>0</v>
      </c>
      <c r="AP233" s="187">
        <v>0</v>
      </c>
      <c r="AQ233" s="187">
        <v>0</v>
      </c>
      <c r="AR233" s="187">
        <v>0</v>
      </c>
      <c r="AS233" s="187">
        <v>0</v>
      </c>
      <c r="AT233" s="187">
        <v>0</v>
      </c>
      <c r="AU233" s="187" t="s">
        <v>52</v>
      </c>
      <c r="AV233" s="187" t="s">
        <v>391</v>
      </c>
      <c r="AW233" s="187" t="s">
        <v>392</v>
      </c>
      <c r="AX233" s="187" t="s">
        <v>393</v>
      </c>
      <c r="AY233" s="187">
        <v>77079</v>
      </c>
      <c r="AZ233" s="188">
        <v>48200000000</v>
      </c>
      <c r="BA233" s="187" t="s">
        <v>394</v>
      </c>
      <c r="BB233" s="187" t="s">
        <v>395</v>
      </c>
      <c r="BC233" s="187">
        <v>161810</v>
      </c>
      <c r="BD233" s="187">
        <v>2990</v>
      </c>
      <c r="BE233" s="187" t="s">
        <v>396</v>
      </c>
      <c r="BF233" s="187" t="s">
        <v>396</v>
      </c>
      <c r="BG233" s="187" t="s">
        <v>396</v>
      </c>
    </row>
    <row r="234" spans="1:59">
      <c r="A234" s="187">
        <v>636477</v>
      </c>
      <c r="B234" s="187">
        <v>18876552</v>
      </c>
      <c r="C234" s="187">
        <v>2022</v>
      </c>
      <c r="D234" s="187" t="s">
        <v>380</v>
      </c>
      <c r="E234" s="187">
        <v>9</v>
      </c>
      <c r="F234" s="187" t="s">
        <v>411</v>
      </c>
      <c r="G234" s="187" t="s">
        <v>382</v>
      </c>
      <c r="H234" s="187" t="s">
        <v>383</v>
      </c>
      <c r="I234" s="187" t="s">
        <v>384</v>
      </c>
      <c r="J234" s="187">
        <v>29.753969999999999</v>
      </c>
      <c r="K234" s="187">
        <v>-95.606200000000001</v>
      </c>
      <c r="L234" s="187" t="s">
        <v>385</v>
      </c>
      <c r="M234" s="187" t="s">
        <v>386</v>
      </c>
      <c r="N234" s="187" t="s">
        <v>401</v>
      </c>
      <c r="O234" s="187" t="s">
        <v>388</v>
      </c>
      <c r="P234" s="187" t="s">
        <v>342</v>
      </c>
      <c r="Q234" s="187" t="s">
        <v>103</v>
      </c>
      <c r="R234" s="187" t="s">
        <v>410</v>
      </c>
      <c r="S234" s="187">
        <v>0</v>
      </c>
      <c r="T234" s="187">
        <v>0</v>
      </c>
      <c r="U234" s="187">
        <v>0</v>
      </c>
      <c r="V234" s="187">
        <v>2</v>
      </c>
      <c r="W234" s="187">
        <v>2</v>
      </c>
      <c r="X234" s="187">
        <v>1</v>
      </c>
      <c r="Y234" s="187">
        <v>0</v>
      </c>
      <c r="Z234" s="187">
        <v>0</v>
      </c>
      <c r="AA234" s="187">
        <v>0</v>
      </c>
      <c r="AB234" s="187">
        <v>0</v>
      </c>
      <c r="AC234" s="187">
        <v>2</v>
      </c>
      <c r="AD234" s="187">
        <v>1</v>
      </c>
      <c r="AE234" s="187">
        <v>2</v>
      </c>
      <c r="AF234" s="187">
        <v>0</v>
      </c>
      <c r="AG234" s="187">
        <v>0</v>
      </c>
      <c r="AH234" s="187">
        <v>0</v>
      </c>
      <c r="AI234" s="187">
        <v>0</v>
      </c>
      <c r="AJ234" s="187">
        <v>0</v>
      </c>
      <c r="AK234" s="187">
        <v>0</v>
      </c>
      <c r="AL234" s="187">
        <v>0</v>
      </c>
      <c r="AM234" s="187">
        <v>0</v>
      </c>
      <c r="AN234" s="187">
        <v>0</v>
      </c>
      <c r="AO234" s="187">
        <v>0</v>
      </c>
      <c r="AP234" s="187">
        <v>0</v>
      </c>
      <c r="AQ234" s="187">
        <v>0</v>
      </c>
      <c r="AR234" s="187">
        <v>0</v>
      </c>
      <c r="AS234" s="187">
        <v>0</v>
      </c>
      <c r="AT234" s="187">
        <v>0</v>
      </c>
      <c r="AU234" s="187" t="s">
        <v>52</v>
      </c>
      <c r="AV234" s="187" t="s">
        <v>391</v>
      </c>
      <c r="AW234" s="187" t="s">
        <v>392</v>
      </c>
      <c r="AX234" s="187" t="s">
        <v>393</v>
      </c>
      <c r="AY234" s="187">
        <v>77077</v>
      </c>
      <c r="AZ234" s="188">
        <v>48200000000</v>
      </c>
      <c r="BA234" s="187" t="s">
        <v>394</v>
      </c>
      <c r="BB234" s="187" t="s">
        <v>395</v>
      </c>
      <c r="BC234" s="187">
        <v>161370</v>
      </c>
      <c r="BD234" s="187">
        <v>2990</v>
      </c>
      <c r="BE234" s="187" t="s">
        <v>396</v>
      </c>
      <c r="BF234" s="187" t="s">
        <v>396</v>
      </c>
      <c r="BG234" s="187" t="s">
        <v>396</v>
      </c>
    </row>
    <row r="235" spans="1:59">
      <c r="A235" s="187">
        <v>639982</v>
      </c>
      <c r="B235" s="187">
        <v>18890506</v>
      </c>
      <c r="C235" s="187">
        <v>2022</v>
      </c>
      <c r="D235" s="189">
        <v>44684</v>
      </c>
      <c r="E235" s="187">
        <v>22</v>
      </c>
      <c r="F235" s="187" t="s">
        <v>381</v>
      </c>
      <c r="G235" s="187" t="s">
        <v>382</v>
      </c>
      <c r="H235" s="187" t="s">
        <v>480</v>
      </c>
      <c r="I235" s="187" t="s">
        <v>422</v>
      </c>
      <c r="J235" s="187">
        <v>29.766220000000001</v>
      </c>
      <c r="K235" s="187">
        <v>-95.606300000000005</v>
      </c>
      <c r="L235" s="187" t="s">
        <v>446</v>
      </c>
      <c r="M235" s="187" t="s">
        <v>435</v>
      </c>
      <c r="N235" s="187" t="s">
        <v>418</v>
      </c>
      <c r="O235" s="187" t="s">
        <v>431</v>
      </c>
      <c r="P235" s="187" t="s">
        <v>389</v>
      </c>
      <c r="Q235" s="187" t="s">
        <v>102</v>
      </c>
      <c r="R235" s="187" t="s">
        <v>416</v>
      </c>
      <c r="S235" s="187">
        <v>0</v>
      </c>
      <c r="T235" s="187">
        <v>0</v>
      </c>
      <c r="U235" s="187">
        <v>0</v>
      </c>
      <c r="V235" s="187">
        <v>0</v>
      </c>
      <c r="W235" s="187">
        <v>0</v>
      </c>
      <c r="X235" s="187">
        <v>1</v>
      </c>
      <c r="Y235" s="187">
        <v>1</v>
      </c>
      <c r="Z235" s="187">
        <v>0</v>
      </c>
      <c r="AA235" s="187">
        <v>0</v>
      </c>
      <c r="AB235" s="187">
        <v>0</v>
      </c>
      <c r="AC235" s="187">
        <v>0</v>
      </c>
      <c r="AD235" s="187">
        <v>1</v>
      </c>
      <c r="AE235" s="187">
        <v>0</v>
      </c>
      <c r="AF235" s="187">
        <v>1</v>
      </c>
      <c r="AG235" s="187">
        <v>0</v>
      </c>
      <c r="AH235" s="187">
        <v>0</v>
      </c>
      <c r="AI235" s="187">
        <v>0</v>
      </c>
      <c r="AJ235" s="187">
        <v>0</v>
      </c>
      <c r="AK235" s="187">
        <v>0</v>
      </c>
      <c r="AL235" s="187">
        <v>0</v>
      </c>
      <c r="AM235" s="187">
        <v>0</v>
      </c>
      <c r="AN235" s="187">
        <v>0</v>
      </c>
      <c r="AO235" s="187">
        <v>0</v>
      </c>
      <c r="AP235" s="187">
        <v>0</v>
      </c>
      <c r="AQ235" s="187">
        <v>0</v>
      </c>
      <c r="AR235" s="187">
        <v>0</v>
      </c>
      <c r="AS235" s="187">
        <v>0</v>
      </c>
      <c r="AT235" s="187">
        <v>0</v>
      </c>
      <c r="AU235" s="187" t="s">
        <v>52</v>
      </c>
      <c r="AV235" s="187" t="s">
        <v>391</v>
      </c>
      <c r="AW235" s="187" t="s">
        <v>392</v>
      </c>
      <c r="AX235" s="187" t="s">
        <v>393</v>
      </c>
      <c r="AY235" s="187">
        <v>77079</v>
      </c>
      <c r="AZ235" s="188">
        <v>48200000000</v>
      </c>
      <c r="BA235" s="187" t="s">
        <v>394</v>
      </c>
      <c r="BB235" s="187" t="s">
        <v>395</v>
      </c>
      <c r="BC235" s="187">
        <v>161810</v>
      </c>
      <c r="BD235" s="187">
        <v>2990</v>
      </c>
      <c r="BE235" s="187" t="s">
        <v>396</v>
      </c>
      <c r="BF235" s="187" t="s">
        <v>396</v>
      </c>
      <c r="BG235" s="187" t="s">
        <v>396</v>
      </c>
    </row>
    <row r="236" spans="1:59">
      <c r="A236" s="187">
        <v>642539</v>
      </c>
      <c r="B236" s="187">
        <v>18900322</v>
      </c>
      <c r="C236" s="187">
        <v>2022</v>
      </c>
      <c r="D236" s="187" t="s">
        <v>380</v>
      </c>
      <c r="E236" s="187">
        <v>17</v>
      </c>
      <c r="F236" s="187" t="s">
        <v>397</v>
      </c>
      <c r="G236" s="187" t="s">
        <v>382</v>
      </c>
      <c r="H236" s="187" t="s">
        <v>408</v>
      </c>
      <c r="I236" s="187" t="s">
        <v>384</v>
      </c>
      <c r="J236" s="187">
        <v>29.770060000000001</v>
      </c>
      <c r="K236" s="187">
        <v>-95.606499999999997</v>
      </c>
      <c r="L236" s="187" t="s">
        <v>446</v>
      </c>
      <c r="M236" s="187" t="s">
        <v>446</v>
      </c>
      <c r="N236" s="187" t="s">
        <v>425</v>
      </c>
      <c r="O236" s="187" t="s">
        <v>388</v>
      </c>
      <c r="P236" s="187" t="s">
        <v>389</v>
      </c>
      <c r="Q236" s="187" t="s">
        <v>102</v>
      </c>
      <c r="R236" s="187" t="s">
        <v>403</v>
      </c>
      <c r="S236" s="187">
        <v>0</v>
      </c>
      <c r="T236" s="187">
        <v>0</v>
      </c>
      <c r="U236" s="187">
        <v>0</v>
      </c>
      <c r="V236" s="187">
        <v>0</v>
      </c>
      <c r="W236" s="187">
        <v>0</v>
      </c>
      <c r="X236" s="187">
        <v>1</v>
      </c>
      <c r="Y236" s="187">
        <v>2</v>
      </c>
      <c r="Z236" s="187">
        <v>0</v>
      </c>
      <c r="AA236" s="187">
        <v>0</v>
      </c>
      <c r="AB236" s="187">
        <v>0</v>
      </c>
      <c r="AC236" s="187">
        <v>0</v>
      </c>
      <c r="AD236" s="187">
        <v>1</v>
      </c>
      <c r="AE236" s="187">
        <v>0</v>
      </c>
      <c r="AF236" s="187">
        <v>2</v>
      </c>
      <c r="AG236" s="187">
        <v>0</v>
      </c>
      <c r="AH236" s="187">
        <v>0</v>
      </c>
      <c r="AI236" s="187">
        <v>0</v>
      </c>
      <c r="AJ236" s="187">
        <v>0</v>
      </c>
      <c r="AK236" s="187">
        <v>0</v>
      </c>
      <c r="AL236" s="187">
        <v>0</v>
      </c>
      <c r="AM236" s="187">
        <v>0</v>
      </c>
      <c r="AN236" s="187">
        <v>0</v>
      </c>
      <c r="AO236" s="187">
        <v>0</v>
      </c>
      <c r="AP236" s="187">
        <v>0</v>
      </c>
      <c r="AQ236" s="187">
        <v>0</v>
      </c>
      <c r="AR236" s="187">
        <v>0</v>
      </c>
      <c r="AS236" s="187">
        <v>0</v>
      </c>
      <c r="AT236" s="187">
        <v>0</v>
      </c>
      <c r="AU236" s="187" t="s">
        <v>52</v>
      </c>
      <c r="AV236" s="187" t="s">
        <v>391</v>
      </c>
      <c r="AW236" s="187" t="s">
        <v>392</v>
      </c>
      <c r="AX236" s="187" t="s">
        <v>393</v>
      </c>
      <c r="AY236" s="187">
        <v>77079</v>
      </c>
      <c r="AZ236" s="188">
        <v>48200000000</v>
      </c>
      <c r="BA236" s="187" t="s">
        <v>394</v>
      </c>
      <c r="BB236" s="187" t="s">
        <v>395</v>
      </c>
      <c r="BC236" s="187">
        <v>162030</v>
      </c>
      <c r="BD236" s="187">
        <v>2990</v>
      </c>
      <c r="BE236" s="187" t="s">
        <v>396</v>
      </c>
      <c r="BF236" s="187" t="s">
        <v>396</v>
      </c>
      <c r="BG236" s="187" t="s">
        <v>396</v>
      </c>
    </row>
    <row r="237" spans="1:59">
      <c r="A237" s="187">
        <v>642939</v>
      </c>
      <c r="B237" s="187">
        <v>18901939</v>
      </c>
      <c r="C237" s="187">
        <v>2022</v>
      </c>
      <c r="D237" s="187" t="s">
        <v>380</v>
      </c>
      <c r="E237" s="187">
        <v>14</v>
      </c>
      <c r="F237" s="187" t="s">
        <v>381</v>
      </c>
      <c r="G237" s="187" t="s">
        <v>382</v>
      </c>
      <c r="H237" s="187" t="s">
        <v>383</v>
      </c>
      <c r="I237" s="187" t="s">
        <v>398</v>
      </c>
      <c r="J237" s="187">
        <v>29.753969999999999</v>
      </c>
      <c r="K237" s="187">
        <v>-95.606200000000001</v>
      </c>
      <c r="L237" s="187" t="s">
        <v>385</v>
      </c>
      <c r="M237" s="187" t="s">
        <v>386</v>
      </c>
      <c r="N237" s="187" t="s">
        <v>401</v>
      </c>
      <c r="O237" s="187" t="s">
        <v>388</v>
      </c>
      <c r="P237" s="187" t="s">
        <v>389</v>
      </c>
      <c r="Q237" s="187" t="s">
        <v>103</v>
      </c>
      <c r="R237" s="187" t="s">
        <v>423</v>
      </c>
      <c r="S237" s="187">
        <v>0</v>
      </c>
      <c r="T237" s="187">
        <v>0</v>
      </c>
      <c r="U237" s="187">
        <v>0</v>
      </c>
      <c r="V237" s="187">
        <v>0</v>
      </c>
      <c r="W237" s="187">
        <v>0</v>
      </c>
      <c r="X237" s="187">
        <v>1</v>
      </c>
      <c r="Y237" s="187">
        <v>1</v>
      </c>
      <c r="Z237" s="187">
        <v>0</v>
      </c>
      <c r="AA237" s="187">
        <v>0</v>
      </c>
      <c r="AB237" s="187">
        <v>0</v>
      </c>
      <c r="AC237" s="187">
        <v>0</v>
      </c>
      <c r="AD237" s="187">
        <v>1</v>
      </c>
      <c r="AE237" s="187">
        <v>0</v>
      </c>
      <c r="AF237" s="187">
        <v>1</v>
      </c>
      <c r="AG237" s="187">
        <v>0</v>
      </c>
      <c r="AH237" s="187">
        <v>0</v>
      </c>
      <c r="AI237" s="187">
        <v>0</v>
      </c>
      <c r="AJ237" s="187">
        <v>0</v>
      </c>
      <c r="AK237" s="187">
        <v>0</v>
      </c>
      <c r="AL237" s="187">
        <v>0</v>
      </c>
      <c r="AM237" s="187">
        <v>0</v>
      </c>
      <c r="AN237" s="187">
        <v>0</v>
      </c>
      <c r="AO237" s="187">
        <v>0</v>
      </c>
      <c r="AP237" s="187">
        <v>0</v>
      </c>
      <c r="AQ237" s="187">
        <v>0</v>
      </c>
      <c r="AR237" s="187">
        <v>0</v>
      </c>
      <c r="AS237" s="187">
        <v>0</v>
      </c>
      <c r="AT237" s="187">
        <v>0</v>
      </c>
      <c r="AU237" s="187" t="s">
        <v>52</v>
      </c>
      <c r="AV237" s="187" t="s">
        <v>391</v>
      </c>
      <c r="AW237" s="187" t="s">
        <v>392</v>
      </c>
      <c r="AX237" s="187" t="s">
        <v>393</v>
      </c>
      <c r="AY237" s="187">
        <v>77077</v>
      </c>
      <c r="AZ237" s="188">
        <v>48200000000</v>
      </c>
      <c r="BA237" s="187" t="s">
        <v>394</v>
      </c>
      <c r="BB237" s="187" t="s">
        <v>395</v>
      </c>
      <c r="BC237" s="187">
        <v>161370</v>
      </c>
      <c r="BD237" s="187">
        <v>2990</v>
      </c>
      <c r="BE237" s="187" t="s">
        <v>396</v>
      </c>
      <c r="BF237" s="187" t="s">
        <v>396</v>
      </c>
      <c r="BG237" s="187" t="s">
        <v>396</v>
      </c>
    </row>
    <row r="238" spans="1:59">
      <c r="A238" s="187">
        <v>646008</v>
      </c>
      <c r="B238" s="187">
        <v>18914512</v>
      </c>
      <c r="C238" s="187">
        <v>2022</v>
      </c>
      <c r="D238" s="187" t="s">
        <v>380</v>
      </c>
      <c r="E238" s="187">
        <v>14</v>
      </c>
      <c r="F238" s="187" t="s">
        <v>397</v>
      </c>
      <c r="G238" s="187" t="s">
        <v>382</v>
      </c>
      <c r="H238" s="187" t="s">
        <v>404</v>
      </c>
      <c r="I238" s="187" t="s">
        <v>422</v>
      </c>
      <c r="J238" s="187">
        <v>29.766670000000001</v>
      </c>
      <c r="K238" s="187">
        <v>-95.606300000000005</v>
      </c>
      <c r="L238" s="187" t="s">
        <v>385</v>
      </c>
      <c r="M238" s="187" t="s">
        <v>386</v>
      </c>
      <c r="N238" s="187" t="s">
        <v>425</v>
      </c>
      <c r="O238" s="187" t="s">
        <v>388</v>
      </c>
      <c r="P238" s="187" t="s">
        <v>389</v>
      </c>
      <c r="Q238" s="187" t="s">
        <v>103</v>
      </c>
      <c r="R238" s="187" t="s">
        <v>424</v>
      </c>
      <c r="S238" s="187">
        <v>0</v>
      </c>
      <c r="T238" s="187">
        <v>0</v>
      </c>
      <c r="U238" s="187">
        <v>0</v>
      </c>
      <c r="V238" s="187">
        <v>0</v>
      </c>
      <c r="W238" s="187">
        <v>0</v>
      </c>
      <c r="X238" s="187">
        <v>1</v>
      </c>
      <c r="Y238" s="187">
        <v>1</v>
      </c>
      <c r="Z238" s="187">
        <v>0</v>
      </c>
      <c r="AA238" s="187">
        <v>0</v>
      </c>
      <c r="AB238" s="187">
        <v>0</v>
      </c>
      <c r="AC238" s="187">
        <v>0</v>
      </c>
      <c r="AD238" s="187">
        <v>1</v>
      </c>
      <c r="AE238" s="187">
        <v>0</v>
      </c>
      <c r="AF238" s="187">
        <v>1</v>
      </c>
      <c r="AG238" s="187">
        <v>0</v>
      </c>
      <c r="AH238" s="187">
        <v>0</v>
      </c>
      <c r="AI238" s="187">
        <v>0</v>
      </c>
      <c r="AJ238" s="187">
        <v>0</v>
      </c>
      <c r="AK238" s="187">
        <v>0</v>
      </c>
      <c r="AL238" s="187">
        <v>0</v>
      </c>
      <c r="AM238" s="187">
        <v>0</v>
      </c>
      <c r="AN238" s="187">
        <v>0</v>
      </c>
      <c r="AO238" s="187">
        <v>0</v>
      </c>
      <c r="AP238" s="187">
        <v>0</v>
      </c>
      <c r="AQ238" s="187">
        <v>0</v>
      </c>
      <c r="AR238" s="187">
        <v>0</v>
      </c>
      <c r="AS238" s="187">
        <v>0</v>
      </c>
      <c r="AT238" s="187">
        <v>0</v>
      </c>
      <c r="AU238" s="187" t="s">
        <v>52</v>
      </c>
      <c r="AV238" s="187" t="s">
        <v>391</v>
      </c>
      <c r="AW238" s="187" t="s">
        <v>392</v>
      </c>
      <c r="AX238" s="187" t="s">
        <v>393</v>
      </c>
      <c r="AY238" s="187">
        <v>77079</v>
      </c>
      <c r="AZ238" s="188">
        <v>48200000000</v>
      </c>
      <c r="BA238" s="187" t="s">
        <v>394</v>
      </c>
      <c r="BB238" s="187" t="s">
        <v>395</v>
      </c>
      <c r="BC238" s="187">
        <v>161810</v>
      </c>
      <c r="BD238" s="187">
        <v>2990</v>
      </c>
      <c r="BE238" s="187" t="s">
        <v>396</v>
      </c>
      <c r="BF238" s="187" t="s">
        <v>396</v>
      </c>
      <c r="BG238" s="187" t="s">
        <v>396</v>
      </c>
    </row>
    <row r="239" spans="1:59">
      <c r="A239" s="187">
        <v>647577</v>
      </c>
      <c r="B239" s="187">
        <v>18921468</v>
      </c>
      <c r="C239" s="187">
        <v>2022</v>
      </c>
      <c r="D239" s="187" t="s">
        <v>380</v>
      </c>
      <c r="E239" s="187">
        <v>7</v>
      </c>
      <c r="F239" s="187" t="s">
        <v>426</v>
      </c>
      <c r="G239" s="187" t="s">
        <v>382</v>
      </c>
      <c r="H239" s="187" t="s">
        <v>383</v>
      </c>
      <c r="I239" s="187" t="s">
        <v>398</v>
      </c>
      <c r="J239" s="187">
        <v>29.759530000000002</v>
      </c>
      <c r="K239" s="187">
        <v>-95.606300000000005</v>
      </c>
      <c r="L239" s="187" t="s">
        <v>385</v>
      </c>
      <c r="M239" s="187" t="s">
        <v>386</v>
      </c>
      <c r="N239" s="187" t="s">
        <v>425</v>
      </c>
      <c r="O239" s="187" t="s">
        <v>441</v>
      </c>
      <c r="P239" s="187" t="s">
        <v>342</v>
      </c>
      <c r="Q239" s="187" t="s">
        <v>102</v>
      </c>
      <c r="R239" s="187" t="s">
        <v>472</v>
      </c>
      <c r="S239" s="187">
        <v>0</v>
      </c>
      <c r="T239" s="187">
        <v>0</v>
      </c>
      <c r="U239" s="187">
        <v>0</v>
      </c>
      <c r="V239" s="187">
        <v>1</v>
      </c>
      <c r="W239" s="187">
        <v>1</v>
      </c>
      <c r="X239" s="187">
        <v>0</v>
      </c>
      <c r="Y239" s="187">
        <v>0</v>
      </c>
      <c r="Z239" s="187">
        <v>0</v>
      </c>
      <c r="AA239" s="187">
        <v>0</v>
      </c>
      <c r="AB239" s="187">
        <v>0</v>
      </c>
      <c r="AC239" s="187">
        <v>1</v>
      </c>
      <c r="AD239" s="187">
        <v>0</v>
      </c>
      <c r="AE239" s="187">
        <v>1</v>
      </c>
      <c r="AF239" s="187">
        <v>0</v>
      </c>
      <c r="AG239" s="187">
        <v>0</v>
      </c>
      <c r="AH239" s="187">
        <v>0</v>
      </c>
      <c r="AI239" s="187">
        <v>0</v>
      </c>
      <c r="AJ239" s="187">
        <v>0</v>
      </c>
      <c r="AK239" s="187">
        <v>0</v>
      </c>
      <c r="AL239" s="187">
        <v>0</v>
      </c>
      <c r="AM239" s="187">
        <v>0</v>
      </c>
      <c r="AN239" s="187">
        <v>0</v>
      </c>
      <c r="AO239" s="187">
        <v>0</v>
      </c>
      <c r="AP239" s="187">
        <v>0</v>
      </c>
      <c r="AQ239" s="187">
        <v>0</v>
      </c>
      <c r="AR239" s="187">
        <v>0</v>
      </c>
      <c r="AS239" s="187">
        <v>0</v>
      </c>
      <c r="AT239" s="187">
        <v>0</v>
      </c>
      <c r="AU239" s="187" t="s">
        <v>52</v>
      </c>
      <c r="AV239" s="187" t="s">
        <v>391</v>
      </c>
      <c r="AW239" s="187" t="s">
        <v>392</v>
      </c>
      <c r="AX239" s="187" t="s">
        <v>393</v>
      </c>
      <c r="AY239" s="187">
        <v>77077</v>
      </c>
      <c r="AZ239" s="188">
        <v>48200000000</v>
      </c>
      <c r="BA239" s="187" t="s">
        <v>394</v>
      </c>
      <c r="BB239" s="187" t="s">
        <v>395</v>
      </c>
      <c r="BC239" s="187">
        <v>161590</v>
      </c>
      <c r="BD239" s="187">
        <v>2990</v>
      </c>
      <c r="BE239" s="187" t="s">
        <v>396</v>
      </c>
      <c r="BF239" s="187" t="s">
        <v>396</v>
      </c>
      <c r="BG239" s="187" t="s">
        <v>396</v>
      </c>
    </row>
    <row r="240" spans="1:59">
      <c r="A240" s="187">
        <v>654758</v>
      </c>
      <c r="B240" s="187">
        <v>18950055</v>
      </c>
      <c r="C240" s="187">
        <v>2022</v>
      </c>
      <c r="D240" s="189">
        <v>44718</v>
      </c>
      <c r="E240" s="187">
        <v>4</v>
      </c>
      <c r="F240" s="187" t="s">
        <v>411</v>
      </c>
      <c r="G240" s="187" t="s">
        <v>382</v>
      </c>
      <c r="H240" s="187" t="s">
        <v>404</v>
      </c>
      <c r="I240" s="187" t="s">
        <v>384</v>
      </c>
      <c r="J240" s="187">
        <v>29.770009999999999</v>
      </c>
      <c r="K240" s="187">
        <v>-95.606300000000005</v>
      </c>
      <c r="L240" s="187" t="s">
        <v>385</v>
      </c>
      <c r="M240" s="187" t="s">
        <v>400</v>
      </c>
      <c r="N240" s="187" t="s">
        <v>401</v>
      </c>
      <c r="O240" s="187" t="s">
        <v>481</v>
      </c>
      <c r="P240" s="187" t="s">
        <v>389</v>
      </c>
      <c r="Q240" s="187" t="s">
        <v>102</v>
      </c>
      <c r="R240" s="187" t="s">
        <v>416</v>
      </c>
      <c r="S240" s="187">
        <v>0</v>
      </c>
      <c r="T240" s="187">
        <v>0</v>
      </c>
      <c r="U240" s="187">
        <v>0</v>
      </c>
      <c r="V240" s="187">
        <v>0</v>
      </c>
      <c r="W240" s="187">
        <v>0</v>
      </c>
      <c r="X240" s="187">
        <v>1</v>
      </c>
      <c r="Y240" s="187">
        <v>0</v>
      </c>
      <c r="Z240" s="187">
        <v>0</v>
      </c>
      <c r="AA240" s="187">
        <v>0</v>
      </c>
      <c r="AB240" s="187">
        <v>0</v>
      </c>
      <c r="AC240" s="187">
        <v>0</v>
      </c>
      <c r="AD240" s="187">
        <v>1</v>
      </c>
      <c r="AE240" s="187">
        <v>0</v>
      </c>
      <c r="AF240" s="187">
        <v>0</v>
      </c>
      <c r="AG240" s="187">
        <v>0</v>
      </c>
      <c r="AH240" s="187">
        <v>0</v>
      </c>
      <c r="AI240" s="187">
        <v>0</v>
      </c>
      <c r="AJ240" s="187">
        <v>0</v>
      </c>
      <c r="AK240" s="187">
        <v>0</v>
      </c>
      <c r="AL240" s="187">
        <v>0</v>
      </c>
      <c r="AM240" s="187">
        <v>0</v>
      </c>
      <c r="AN240" s="187">
        <v>0</v>
      </c>
      <c r="AO240" s="187">
        <v>0</v>
      </c>
      <c r="AP240" s="187">
        <v>0</v>
      </c>
      <c r="AQ240" s="187">
        <v>0</v>
      </c>
      <c r="AR240" s="187">
        <v>0</v>
      </c>
      <c r="AS240" s="187">
        <v>0</v>
      </c>
      <c r="AT240" s="187">
        <v>0</v>
      </c>
      <c r="AU240" s="187" t="s">
        <v>52</v>
      </c>
      <c r="AV240" s="187" t="s">
        <v>391</v>
      </c>
      <c r="AW240" s="187" t="s">
        <v>392</v>
      </c>
      <c r="AX240" s="187" t="s">
        <v>393</v>
      </c>
      <c r="AY240" s="187">
        <v>77079</v>
      </c>
      <c r="AZ240" s="188">
        <v>48200000000</v>
      </c>
      <c r="BA240" s="187" t="s">
        <v>394</v>
      </c>
      <c r="BB240" s="187" t="s">
        <v>395</v>
      </c>
      <c r="BC240" s="187">
        <v>162030</v>
      </c>
      <c r="BD240" s="187">
        <v>2990</v>
      </c>
      <c r="BE240" s="187" t="s">
        <v>396</v>
      </c>
      <c r="BF240" s="187" t="s">
        <v>396</v>
      </c>
      <c r="BG240" s="187" t="s">
        <v>396</v>
      </c>
    </row>
    <row r="241" spans="1:59">
      <c r="A241" s="187">
        <v>661289</v>
      </c>
      <c r="B241" s="187">
        <v>18976526</v>
      </c>
      <c r="C241" s="187">
        <v>2022</v>
      </c>
      <c r="D241" s="189">
        <v>44713</v>
      </c>
      <c r="E241" s="187">
        <v>15</v>
      </c>
      <c r="F241" s="187" t="s">
        <v>414</v>
      </c>
      <c r="G241" s="187" t="s">
        <v>382</v>
      </c>
      <c r="H241" s="187" t="s">
        <v>404</v>
      </c>
      <c r="I241" s="187" t="s">
        <v>398</v>
      </c>
      <c r="J241" s="187">
        <v>29.769929999999999</v>
      </c>
      <c r="K241" s="187">
        <v>-95.606300000000005</v>
      </c>
      <c r="L241" s="187" t="s">
        <v>385</v>
      </c>
      <c r="M241" s="187" t="s">
        <v>386</v>
      </c>
      <c r="N241" s="187" t="s">
        <v>425</v>
      </c>
      <c r="O241" s="187" t="s">
        <v>388</v>
      </c>
      <c r="P241" s="187" t="s">
        <v>342</v>
      </c>
      <c r="Q241" s="187" t="s">
        <v>102</v>
      </c>
      <c r="R241" s="187" t="s">
        <v>403</v>
      </c>
      <c r="S241" s="187">
        <v>0</v>
      </c>
      <c r="T241" s="187">
        <v>0</v>
      </c>
      <c r="U241" s="187">
        <v>0</v>
      </c>
      <c r="V241" s="187">
        <v>3</v>
      </c>
      <c r="W241" s="187">
        <v>3</v>
      </c>
      <c r="X241" s="187">
        <v>1</v>
      </c>
      <c r="Y241" s="187">
        <v>0</v>
      </c>
      <c r="Z241" s="187">
        <v>0</v>
      </c>
      <c r="AA241" s="187">
        <v>0</v>
      </c>
      <c r="AB241" s="187">
        <v>0</v>
      </c>
      <c r="AC241" s="187">
        <v>3</v>
      </c>
      <c r="AD241" s="187">
        <v>1</v>
      </c>
      <c r="AE241" s="187">
        <v>3</v>
      </c>
      <c r="AF241" s="187">
        <v>0</v>
      </c>
      <c r="AG241" s="187">
        <v>0</v>
      </c>
      <c r="AH241" s="187">
        <v>0</v>
      </c>
      <c r="AI241" s="187">
        <v>0</v>
      </c>
      <c r="AJ241" s="187">
        <v>0</v>
      </c>
      <c r="AK241" s="187">
        <v>0</v>
      </c>
      <c r="AL241" s="187">
        <v>0</v>
      </c>
      <c r="AM241" s="187">
        <v>0</v>
      </c>
      <c r="AN241" s="187">
        <v>0</v>
      </c>
      <c r="AO241" s="187">
        <v>0</v>
      </c>
      <c r="AP241" s="187">
        <v>0</v>
      </c>
      <c r="AQ241" s="187">
        <v>0</v>
      </c>
      <c r="AR241" s="187">
        <v>0</v>
      </c>
      <c r="AS241" s="187">
        <v>0</v>
      </c>
      <c r="AT241" s="187">
        <v>0</v>
      </c>
      <c r="AU241" s="187" t="s">
        <v>52</v>
      </c>
      <c r="AV241" s="187" t="s">
        <v>391</v>
      </c>
      <c r="AW241" s="187" t="s">
        <v>392</v>
      </c>
      <c r="AX241" s="187" t="s">
        <v>393</v>
      </c>
      <c r="AY241" s="187">
        <v>77079</v>
      </c>
      <c r="AZ241" s="188">
        <v>48200000000</v>
      </c>
      <c r="BA241" s="187" t="s">
        <v>394</v>
      </c>
      <c r="BB241" s="187" t="s">
        <v>395</v>
      </c>
      <c r="BC241" s="187">
        <v>162030</v>
      </c>
      <c r="BD241" s="187">
        <v>2990</v>
      </c>
      <c r="BE241" s="187" t="s">
        <v>396</v>
      </c>
      <c r="BF241" s="187" t="s">
        <v>396</v>
      </c>
      <c r="BG241" s="187" t="s">
        <v>396</v>
      </c>
    </row>
    <row r="242" spans="1:59">
      <c r="A242" s="187">
        <v>663329</v>
      </c>
      <c r="B242" s="187">
        <v>18984129</v>
      </c>
      <c r="C242" s="187">
        <v>2022</v>
      </c>
      <c r="D242" s="187" t="s">
        <v>380</v>
      </c>
      <c r="E242" s="187">
        <v>15</v>
      </c>
      <c r="F242" s="187" t="s">
        <v>411</v>
      </c>
      <c r="G242" s="187" t="s">
        <v>382</v>
      </c>
      <c r="H242" s="187" t="s">
        <v>443</v>
      </c>
      <c r="I242" s="187" t="s">
        <v>415</v>
      </c>
      <c r="J242" s="187">
        <v>29.768999999999998</v>
      </c>
      <c r="K242" s="187">
        <v>-95.606200000000001</v>
      </c>
      <c r="L242" s="187" t="s">
        <v>399</v>
      </c>
      <c r="M242" s="187" t="s">
        <v>386</v>
      </c>
      <c r="N242" s="187" t="s">
        <v>418</v>
      </c>
      <c r="O242" s="187" t="s">
        <v>388</v>
      </c>
      <c r="P242" s="187" t="s">
        <v>389</v>
      </c>
      <c r="Q242" s="187" t="s">
        <v>102</v>
      </c>
      <c r="R242" s="187" t="s">
        <v>403</v>
      </c>
      <c r="S242" s="187">
        <v>0</v>
      </c>
      <c r="T242" s="187">
        <v>0</v>
      </c>
      <c r="U242" s="187">
        <v>0</v>
      </c>
      <c r="V242" s="187">
        <v>0</v>
      </c>
      <c r="W242" s="187">
        <v>0</v>
      </c>
      <c r="X242" s="187">
        <v>2</v>
      </c>
      <c r="Y242" s="187">
        <v>3</v>
      </c>
      <c r="Z242" s="187">
        <v>0</v>
      </c>
      <c r="AA242" s="187">
        <v>0</v>
      </c>
      <c r="AB242" s="187">
        <v>0</v>
      </c>
      <c r="AC242" s="187">
        <v>0</v>
      </c>
      <c r="AD242" s="187">
        <v>2</v>
      </c>
      <c r="AE242" s="187">
        <v>0</v>
      </c>
      <c r="AF242" s="187">
        <v>3</v>
      </c>
      <c r="AG242" s="187">
        <v>0</v>
      </c>
      <c r="AH242" s="187">
        <v>0</v>
      </c>
      <c r="AI242" s="187">
        <v>0</v>
      </c>
      <c r="AJ242" s="187">
        <v>0</v>
      </c>
      <c r="AK242" s="187">
        <v>0</v>
      </c>
      <c r="AL242" s="187">
        <v>0</v>
      </c>
      <c r="AM242" s="187">
        <v>0</v>
      </c>
      <c r="AN242" s="187">
        <v>0</v>
      </c>
      <c r="AO242" s="187">
        <v>0</v>
      </c>
      <c r="AP242" s="187">
        <v>0</v>
      </c>
      <c r="AQ242" s="187">
        <v>0</v>
      </c>
      <c r="AR242" s="187">
        <v>0</v>
      </c>
      <c r="AS242" s="187">
        <v>0</v>
      </c>
      <c r="AT242" s="187">
        <v>0</v>
      </c>
      <c r="AU242" s="187" t="s">
        <v>52</v>
      </c>
      <c r="AV242" s="187" t="s">
        <v>391</v>
      </c>
      <c r="AW242" s="187" t="s">
        <v>392</v>
      </c>
      <c r="AX242" s="187" t="s">
        <v>393</v>
      </c>
      <c r="AY242" s="187">
        <v>77079</v>
      </c>
      <c r="AZ242" s="188">
        <v>48200000000</v>
      </c>
      <c r="BA242" s="187" t="s">
        <v>394</v>
      </c>
      <c r="BB242" s="187" t="s">
        <v>395</v>
      </c>
      <c r="BC242" s="187">
        <v>161810</v>
      </c>
      <c r="BD242" s="187">
        <v>2990</v>
      </c>
      <c r="BE242" s="187" t="s">
        <v>396</v>
      </c>
      <c r="BF242" s="187" t="s">
        <v>396</v>
      </c>
      <c r="BG242" s="187" t="s">
        <v>396</v>
      </c>
    </row>
    <row r="243" spans="1:59">
      <c r="A243" s="187">
        <v>664933</v>
      </c>
      <c r="B243" s="187">
        <v>18990540</v>
      </c>
      <c r="C243" s="187">
        <v>2022</v>
      </c>
      <c r="D243" s="187" t="s">
        <v>380</v>
      </c>
      <c r="E243" s="187">
        <v>17</v>
      </c>
      <c r="F243" s="187" t="s">
        <v>414</v>
      </c>
      <c r="G243" s="187" t="s">
        <v>382</v>
      </c>
      <c r="H243" s="187" t="s">
        <v>408</v>
      </c>
      <c r="I243" s="187" t="s">
        <v>384</v>
      </c>
      <c r="J243" s="187">
        <v>29.77007</v>
      </c>
      <c r="K243" s="187">
        <v>-95.606200000000001</v>
      </c>
      <c r="L243" s="187" t="s">
        <v>385</v>
      </c>
      <c r="M243" s="187" t="s">
        <v>386</v>
      </c>
      <c r="N243" s="187" t="s">
        <v>425</v>
      </c>
      <c r="O243" s="187" t="s">
        <v>388</v>
      </c>
      <c r="P243" s="187" t="s">
        <v>342</v>
      </c>
      <c r="Q243" s="187" t="s">
        <v>102</v>
      </c>
      <c r="R243" s="187" t="s">
        <v>403</v>
      </c>
      <c r="S243" s="187">
        <v>0</v>
      </c>
      <c r="T243" s="187">
        <v>0</v>
      </c>
      <c r="U243" s="187">
        <v>0</v>
      </c>
      <c r="V243" s="187">
        <v>1</v>
      </c>
      <c r="W243" s="187">
        <v>1</v>
      </c>
      <c r="X243" s="187">
        <v>0</v>
      </c>
      <c r="Y243" s="187">
        <v>1</v>
      </c>
      <c r="Z243" s="187">
        <v>0</v>
      </c>
      <c r="AA243" s="187">
        <v>0</v>
      </c>
      <c r="AB243" s="187">
        <v>0</v>
      </c>
      <c r="AC243" s="187">
        <v>1</v>
      </c>
      <c r="AD243" s="187">
        <v>0</v>
      </c>
      <c r="AE243" s="187">
        <v>1</v>
      </c>
      <c r="AF243" s="187">
        <v>1</v>
      </c>
      <c r="AG243" s="187">
        <v>0</v>
      </c>
      <c r="AH243" s="187">
        <v>0</v>
      </c>
      <c r="AI243" s="187">
        <v>0</v>
      </c>
      <c r="AJ243" s="187">
        <v>0</v>
      </c>
      <c r="AK243" s="187">
        <v>0</v>
      </c>
      <c r="AL243" s="187">
        <v>0</v>
      </c>
      <c r="AM243" s="187">
        <v>0</v>
      </c>
      <c r="AN243" s="187">
        <v>0</v>
      </c>
      <c r="AO243" s="187">
        <v>0</v>
      </c>
      <c r="AP243" s="187">
        <v>0</v>
      </c>
      <c r="AQ243" s="187">
        <v>0</v>
      </c>
      <c r="AR243" s="187">
        <v>0</v>
      </c>
      <c r="AS243" s="187">
        <v>0</v>
      </c>
      <c r="AT243" s="187">
        <v>0</v>
      </c>
      <c r="AU243" s="187" t="s">
        <v>52</v>
      </c>
      <c r="AV243" s="187" t="s">
        <v>391</v>
      </c>
      <c r="AW243" s="187" t="s">
        <v>392</v>
      </c>
      <c r="AX243" s="187" t="s">
        <v>393</v>
      </c>
      <c r="AY243" s="187">
        <v>77079</v>
      </c>
      <c r="AZ243" s="188">
        <v>48200000000</v>
      </c>
      <c r="BA243" s="187" t="s">
        <v>394</v>
      </c>
      <c r="BB243" s="187" t="s">
        <v>395</v>
      </c>
      <c r="BC243" s="187">
        <v>162030</v>
      </c>
      <c r="BD243" s="187">
        <v>2990</v>
      </c>
      <c r="BE243" s="187" t="s">
        <v>396</v>
      </c>
      <c r="BF243" s="187" t="s">
        <v>396</v>
      </c>
      <c r="BG243" s="187" t="s">
        <v>396</v>
      </c>
    </row>
    <row r="244" spans="1:59">
      <c r="A244" s="187">
        <v>664957</v>
      </c>
      <c r="B244" s="187">
        <v>18990603</v>
      </c>
      <c r="C244" s="187">
        <v>2022</v>
      </c>
      <c r="D244" s="187" t="s">
        <v>380</v>
      </c>
      <c r="E244" s="187">
        <v>18</v>
      </c>
      <c r="F244" s="187" t="s">
        <v>426</v>
      </c>
      <c r="G244" s="187" t="s">
        <v>382</v>
      </c>
      <c r="H244" s="187" t="s">
        <v>383</v>
      </c>
      <c r="I244" s="187" t="s">
        <v>384</v>
      </c>
      <c r="J244" s="187">
        <v>29.755410000000001</v>
      </c>
      <c r="K244" s="187">
        <v>-95.606200000000001</v>
      </c>
      <c r="L244" s="187" t="s">
        <v>385</v>
      </c>
      <c r="M244" s="187" t="s">
        <v>386</v>
      </c>
      <c r="N244" s="187" t="s">
        <v>425</v>
      </c>
      <c r="O244" s="187" t="s">
        <v>388</v>
      </c>
      <c r="P244" s="187" t="s">
        <v>389</v>
      </c>
      <c r="Q244" s="187" t="s">
        <v>102</v>
      </c>
      <c r="R244" s="187" t="s">
        <v>444</v>
      </c>
      <c r="S244" s="187">
        <v>0</v>
      </c>
      <c r="T244" s="187">
        <v>0</v>
      </c>
      <c r="U244" s="187">
        <v>0</v>
      </c>
      <c r="V244" s="187">
        <v>0</v>
      </c>
      <c r="W244" s="187">
        <v>0</v>
      </c>
      <c r="X244" s="187">
        <v>4</v>
      </c>
      <c r="Y244" s="187">
        <v>0</v>
      </c>
      <c r="Z244" s="187">
        <v>0</v>
      </c>
      <c r="AA244" s="187">
        <v>0</v>
      </c>
      <c r="AB244" s="187">
        <v>0</v>
      </c>
      <c r="AC244" s="187">
        <v>0</v>
      </c>
      <c r="AD244" s="187">
        <v>4</v>
      </c>
      <c r="AE244" s="187">
        <v>0</v>
      </c>
      <c r="AF244" s="187">
        <v>0</v>
      </c>
      <c r="AG244" s="187">
        <v>0</v>
      </c>
      <c r="AH244" s="187">
        <v>0</v>
      </c>
      <c r="AI244" s="187">
        <v>0</v>
      </c>
      <c r="AJ244" s="187">
        <v>0</v>
      </c>
      <c r="AK244" s="187">
        <v>0</v>
      </c>
      <c r="AL244" s="187">
        <v>0</v>
      </c>
      <c r="AM244" s="187">
        <v>0</v>
      </c>
      <c r="AN244" s="187">
        <v>0</v>
      </c>
      <c r="AO244" s="187">
        <v>0</v>
      </c>
      <c r="AP244" s="187">
        <v>0</v>
      </c>
      <c r="AQ244" s="187">
        <v>0</v>
      </c>
      <c r="AR244" s="187">
        <v>0</v>
      </c>
      <c r="AS244" s="187">
        <v>0</v>
      </c>
      <c r="AT244" s="187">
        <v>0</v>
      </c>
      <c r="AU244" s="187" t="s">
        <v>52</v>
      </c>
      <c r="AV244" s="187" t="s">
        <v>391</v>
      </c>
      <c r="AW244" s="187" t="s">
        <v>392</v>
      </c>
      <c r="AX244" s="187" t="s">
        <v>393</v>
      </c>
      <c r="AY244" s="187">
        <v>77077</v>
      </c>
      <c r="AZ244" s="188">
        <v>48200000000</v>
      </c>
      <c r="BA244" s="187" t="s">
        <v>394</v>
      </c>
      <c r="BB244" s="187" t="s">
        <v>395</v>
      </c>
      <c r="BC244" s="187">
        <v>161370</v>
      </c>
      <c r="BD244" s="187">
        <v>2990</v>
      </c>
      <c r="BE244" s="187" t="s">
        <v>396</v>
      </c>
      <c r="BF244" s="187" t="s">
        <v>396</v>
      </c>
      <c r="BG244" s="187" t="s">
        <v>396</v>
      </c>
    </row>
    <row r="245" spans="1:59">
      <c r="A245" s="187">
        <v>667343</v>
      </c>
      <c r="B245" s="187">
        <v>18999878</v>
      </c>
      <c r="C245" s="187">
        <v>2022</v>
      </c>
      <c r="D245" s="189">
        <v>44747</v>
      </c>
      <c r="E245" s="187">
        <v>17</v>
      </c>
      <c r="F245" s="187" t="s">
        <v>381</v>
      </c>
      <c r="G245" s="187" t="s">
        <v>382</v>
      </c>
      <c r="H245" s="187" t="s">
        <v>383</v>
      </c>
      <c r="I245" s="187" t="s">
        <v>415</v>
      </c>
      <c r="J245" s="187">
        <v>29.758040000000001</v>
      </c>
      <c r="K245" s="187">
        <v>-95.606300000000005</v>
      </c>
      <c r="L245" s="187" t="s">
        <v>385</v>
      </c>
      <c r="M245" s="187" t="s">
        <v>386</v>
      </c>
      <c r="N245" s="187" t="s">
        <v>418</v>
      </c>
      <c r="O245" s="187" t="s">
        <v>388</v>
      </c>
      <c r="P245" s="187" t="s">
        <v>389</v>
      </c>
      <c r="Q245" s="187" t="s">
        <v>102</v>
      </c>
      <c r="R245" s="187" t="s">
        <v>403</v>
      </c>
      <c r="S245" s="187">
        <v>0</v>
      </c>
      <c r="T245" s="187">
        <v>0</v>
      </c>
      <c r="U245" s="187">
        <v>0</v>
      </c>
      <c r="V245" s="187">
        <v>0</v>
      </c>
      <c r="W245" s="187">
        <v>0</v>
      </c>
      <c r="X245" s="187">
        <v>2</v>
      </c>
      <c r="Y245" s="187">
        <v>0</v>
      </c>
      <c r="Z245" s="187">
        <v>0</v>
      </c>
      <c r="AA245" s="187">
        <v>0</v>
      </c>
      <c r="AB245" s="187">
        <v>0</v>
      </c>
      <c r="AC245" s="187">
        <v>0</v>
      </c>
      <c r="AD245" s="187">
        <v>2</v>
      </c>
      <c r="AE245" s="187">
        <v>0</v>
      </c>
      <c r="AF245" s="187">
        <v>0</v>
      </c>
      <c r="AG245" s="187">
        <v>0</v>
      </c>
      <c r="AH245" s="187">
        <v>0</v>
      </c>
      <c r="AI245" s="187">
        <v>0</v>
      </c>
      <c r="AJ245" s="187">
        <v>0</v>
      </c>
      <c r="AK245" s="187">
        <v>0</v>
      </c>
      <c r="AL245" s="187">
        <v>0</v>
      </c>
      <c r="AM245" s="187">
        <v>0</v>
      </c>
      <c r="AN245" s="187">
        <v>0</v>
      </c>
      <c r="AO245" s="187">
        <v>0</v>
      </c>
      <c r="AP245" s="187">
        <v>0</v>
      </c>
      <c r="AQ245" s="187">
        <v>0</v>
      </c>
      <c r="AR245" s="187">
        <v>0</v>
      </c>
      <c r="AS245" s="187">
        <v>0</v>
      </c>
      <c r="AT245" s="187">
        <v>0</v>
      </c>
      <c r="AU245" s="187" t="s">
        <v>52</v>
      </c>
      <c r="AV245" s="187" t="s">
        <v>391</v>
      </c>
      <c r="AW245" s="187" t="s">
        <v>392</v>
      </c>
      <c r="AX245" s="187" t="s">
        <v>393</v>
      </c>
      <c r="AY245" s="187">
        <v>77077</v>
      </c>
      <c r="AZ245" s="188">
        <v>48200000000</v>
      </c>
      <c r="BA245" s="187" t="s">
        <v>394</v>
      </c>
      <c r="BB245" s="187" t="s">
        <v>395</v>
      </c>
      <c r="BC245" s="187">
        <v>161590</v>
      </c>
      <c r="BD245" s="187">
        <v>2990</v>
      </c>
      <c r="BE245" s="187" t="s">
        <v>396</v>
      </c>
      <c r="BF245" s="187" t="s">
        <v>396</v>
      </c>
      <c r="BG245" s="187" t="s">
        <v>396</v>
      </c>
    </row>
    <row r="246" spans="1:59">
      <c r="A246" s="187">
        <v>667508</v>
      </c>
      <c r="B246" s="187">
        <v>19000684</v>
      </c>
      <c r="C246" s="187">
        <v>2022</v>
      </c>
      <c r="D246" s="189">
        <v>44749</v>
      </c>
      <c r="E246" s="187">
        <v>12</v>
      </c>
      <c r="F246" s="187" t="s">
        <v>421</v>
      </c>
      <c r="G246" s="187" t="s">
        <v>382</v>
      </c>
      <c r="H246" s="187" t="s">
        <v>383</v>
      </c>
      <c r="I246" s="187" t="s">
        <v>398</v>
      </c>
      <c r="J246" s="187">
        <v>29.759450000000001</v>
      </c>
      <c r="K246" s="187">
        <v>-95.606099999999998</v>
      </c>
      <c r="L246" s="187" t="s">
        <v>385</v>
      </c>
      <c r="M246" s="187" t="s">
        <v>386</v>
      </c>
      <c r="N246" s="187" t="s">
        <v>425</v>
      </c>
      <c r="O246" s="187" t="s">
        <v>388</v>
      </c>
      <c r="P246" s="187" t="s">
        <v>389</v>
      </c>
      <c r="Q246" s="187" t="s">
        <v>102</v>
      </c>
      <c r="R246" s="187" t="s">
        <v>390</v>
      </c>
      <c r="S246" s="187">
        <v>0</v>
      </c>
      <c r="T246" s="187">
        <v>0</v>
      </c>
      <c r="U246" s="187">
        <v>0</v>
      </c>
      <c r="V246" s="187">
        <v>0</v>
      </c>
      <c r="W246" s="187">
        <v>0</v>
      </c>
      <c r="X246" s="187">
        <v>1</v>
      </c>
      <c r="Y246" s="187">
        <v>1</v>
      </c>
      <c r="Z246" s="187">
        <v>0</v>
      </c>
      <c r="AA246" s="187">
        <v>0</v>
      </c>
      <c r="AB246" s="187">
        <v>0</v>
      </c>
      <c r="AC246" s="187">
        <v>0</v>
      </c>
      <c r="AD246" s="187">
        <v>1</v>
      </c>
      <c r="AE246" s="187">
        <v>0</v>
      </c>
      <c r="AF246" s="187">
        <v>1</v>
      </c>
      <c r="AG246" s="187">
        <v>0</v>
      </c>
      <c r="AH246" s="187">
        <v>0</v>
      </c>
      <c r="AI246" s="187">
        <v>0</v>
      </c>
      <c r="AJ246" s="187">
        <v>0</v>
      </c>
      <c r="AK246" s="187">
        <v>0</v>
      </c>
      <c r="AL246" s="187">
        <v>0</v>
      </c>
      <c r="AM246" s="187">
        <v>0</v>
      </c>
      <c r="AN246" s="187">
        <v>0</v>
      </c>
      <c r="AO246" s="187">
        <v>0</v>
      </c>
      <c r="AP246" s="187">
        <v>0</v>
      </c>
      <c r="AQ246" s="187">
        <v>0</v>
      </c>
      <c r="AR246" s="187">
        <v>0</v>
      </c>
      <c r="AS246" s="187">
        <v>0</v>
      </c>
      <c r="AT246" s="187">
        <v>0</v>
      </c>
      <c r="AU246" s="187" t="s">
        <v>52</v>
      </c>
      <c r="AV246" s="187" t="s">
        <v>391</v>
      </c>
      <c r="AW246" s="187" t="s">
        <v>392</v>
      </c>
      <c r="AX246" s="187" t="s">
        <v>393</v>
      </c>
      <c r="AY246" s="187">
        <v>77077</v>
      </c>
      <c r="AZ246" s="188">
        <v>48200000000</v>
      </c>
      <c r="BA246" s="187" t="s">
        <v>394</v>
      </c>
      <c r="BB246" s="187" t="s">
        <v>395</v>
      </c>
      <c r="BC246" s="187">
        <v>161590</v>
      </c>
      <c r="BD246" s="187">
        <v>2990</v>
      </c>
      <c r="BE246" s="187" t="s">
        <v>396</v>
      </c>
      <c r="BF246" s="187" t="s">
        <v>396</v>
      </c>
      <c r="BG246" s="187" t="s">
        <v>396</v>
      </c>
    </row>
    <row r="247" spans="1:59">
      <c r="A247" s="187">
        <v>677891</v>
      </c>
      <c r="B247" s="187">
        <v>19040435</v>
      </c>
      <c r="C247" s="187">
        <v>2022</v>
      </c>
      <c r="D247" s="187" t="s">
        <v>380</v>
      </c>
      <c r="E247" s="187">
        <v>9</v>
      </c>
      <c r="F247" s="187" t="s">
        <v>397</v>
      </c>
      <c r="G247" s="187" t="s">
        <v>382</v>
      </c>
      <c r="H247" s="187" t="s">
        <v>383</v>
      </c>
      <c r="I247" s="187" t="s">
        <v>422</v>
      </c>
      <c r="J247" s="187">
        <v>29.75535</v>
      </c>
      <c r="K247" s="187">
        <v>-95.606200000000001</v>
      </c>
      <c r="L247" s="187" t="s">
        <v>385</v>
      </c>
      <c r="M247" s="187" t="s">
        <v>386</v>
      </c>
      <c r="N247" s="187" t="s">
        <v>425</v>
      </c>
      <c r="O247" s="187" t="s">
        <v>388</v>
      </c>
      <c r="P247" s="187" t="s">
        <v>389</v>
      </c>
      <c r="Q247" s="187" t="s">
        <v>105</v>
      </c>
      <c r="R247" s="187" t="s">
        <v>424</v>
      </c>
      <c r="S247" s="187">
        <v>0</v>
      </c>
      <c r="T247" s="187">
        <v>0</v>
      </c>
      <c r="U247" s="187">
        <v>0</v>
      </c>
      <c r="V247" s="187">
        <v>0</v>
      </c>
      <c r="W247" s="187">
        <v>0</v>
      </c>
      <c r="X247" s="187">
        <v>2</v>
      </c>
      <c r="Y247" s="187">
        <v>0</v>
      </c>
      <c r="Z247" s="187">
        <v>0</v>
      </c>
      <c r="AA247" s="187">
        <v>0</v>
      </c>
      <c r="AB247" s="187">
        <v>0</v>
      </c>
      <c r="AC247" s="187">
        <v>0</v>
      </c>
      <c r="AD247" s="187">
        <v>2</v>
      </c>
      <c r="AE247" s="187">
        <v>0</v>
      </c>
      <c r="AF247" s="187">
        <v>0</v>
      </c>
      <c r="AG247" s="187">
        <v>0</v>
      </c>
      <c r="AH247" s="187">
        <v>0</v>
      </c>
      <c r="AI247" s="187">
        <v>0</v>
      </c>
      <c r="AJ247" s="187">
        <v>0</v>
      </c>
      <c r="AK247" s="187">
        <v>0</v>
      </c>
      <c r="AL247" s="187">
        <v>0</v>
      </c>
      <c r="AM247" s="187">
        <v>0</v>
      </c>
      <c r="AN247" s="187">
        <v>0</v>
      </c>
      <c r="AO247" s="187">
        <v>0</v>
      </c>
      <c r="AP247" s="187">
        <v>0</v>
      </c>
      <c r="AQ247" s="187">
        <v>0</v>
      </c>
      <c r="AR247" s="187">
        <v>0</v>
      </c>
      <c r="AS247" s="187">
        <v>0</v>
      </c>
      <c r="AT247" s="187">
        <v>0</v>
      </c>
      <c r="AU247" s="187" t="s">
        <v>52</v>
      </c>
      <c r="AV247" s="187" t="s">
        <v>391</v>
      </c>
      <c r="AW247" s="187" t="s">
        <v>392</v>
      </c>
      <c r="AX247" s="187" t="s">
        <v>393</v>
      </c>
      <c r="AY247" s="187">
        <v>77077</v>
      </c>
      <c r="AZ247" s="188">
        <v>48200000000</v>
      </c>
      <c r="BA247" s="187" t="s">
        <v>394</v>
      </c>
      <c r="BB247" s="187" t="s">
        <v>395</v>
      </c>
      <c r="BC247" s="187">
        <v>161370</v>
      </c>
      <c r="BD247" s="187">
        <v>2990</v>
      </c>
      <c r="BE247" s="187" t="s">
        <v>396</v>
      </c>
      <c r="BF247" s="187" t="s">
        <v>396</v>
      </c>
      <c r="BG247" s="187" t="s">
        <v>396</v>
      </c>
    </row>
    <row r="248" spans="1:59">
      <c r="A248" s="187">
        <v>681698</v>
      </c>
      <c r="B248" s="187">
        <v>19056878</v>
      </c>
      <c r="C248" s="187">
        <v>2022</v>
      </c>
      <c r="D248" s="189">
        <v>44782</v>
      </c>
      <c r="E248" s="187">
        <v>15</v>
      </c>
      <c r="F248" s="187" t="s">
        <v>381</v>
      </c>
      <c r="G248" s="187" t="s">
        <v>382</v>
      </c>
      <c r="H248" s="187" t="s">
        <v>419</v>
      </c>
      <c r="I248" s="187" t="s">
        <v>384</v>
      </c>
      <c r="J248" s="187">
        <v>29.753969999999999</v>
      </c>
      <c r="K248" s="187">
        <v>-95.606200000000001</v>
      </c>
      <c r="L248" s="187" t="s">
        <v>405</v>
      </c>
      <c r="M248" s="187" t="s">
        <v>386</v>
      </c>
      <c r="N248" s="187" t="s">
        <v>425</v>
      </c>
      <c r="O248" s="187" t="s">
        <v>388</v>
      </c>
      <c r="P248" s="187" t="s">
        <v>389</v>
      </c>
      <c r="Q248" s="187" t="s">
        <v>103</v>
      </c>
      <c r="R248" s="187" t="s">
        <v>416</v>
      </c>
      <c r="S248" s="187">
        <v>0</v>
      </c>
      <c r="T248" s="187">
        <v>0</v>
      </c>
      <c r="U248" s="187">
        <v>0</v>
      </c>
      <c r="V248" s="187">
        <v>0</v>
      </c>
      <c r="W248" s="187">
        <v>0</v>
      </c>
      <c r="X248" s="187">
        <v>3</v>
      </c>
      <c r="Y248" s="187">
        <v>0</v>
      </c>
      <c r="Z248" s="187">
        <v>0</v>
      </c>
      <c r="AA248" s="187">
        <v>0</v>
      </c>
      <c r="AB248" s="187">
        <v>0</v>
      </c>
      <c r="AC248" s="187">
        <v>0</v>
      </c>
      <c r="AD248" s="187">
        <v>3</v>
      </c>
      <c r="AE248" s="187">
        <v>0</v>
      </c>
      <c r="AF248" s="187">
        <v>0</v>
      </c>
      <c r="AG248" s="187">
        <v>0</v>
      </c>
      <c r="AH248" s="187">
        <v>0</v>
      </c>
      <c r="AI248" s="187">
        <v>0</v>
      </c>
      <c r="AJ248" s="187">
        <v>0</v>
      </c>
      <c r="AK248" s="187">
        <v>0</v>
      </c>
      <c r="AL248" s="187">
        <v>0</v>
      </c>
      <c r="AM248" s="187">
        <v>0</v>
      </c>
      <c r="AN248" s="187">
        <v>0</v>
      </c>
      <c r="AO248" s="187">
        <v>0</v>
      </c>
      <c r="AP248" s="187">
        <v>0</v>
      </c>
      <c r="AQ248" s="187">
        <v>0</v>
      </c>
      <c r="AR248" s="187">
        <v>0</v>
      </c>
      <c r="AS248" s="187">
        <v>0</v>
      </c>
      <c r="AT248" s="187">
        <v>0</v>
      </c>
      <c r="AU248" s="187" t="s">
        <v>52</v>
      </c>
      <c r="AV248" s="187" t="s">
        <v>391</v>
      </c>
      <c r="AW248" s="187" t="s">
        <v>392</v>
      </c>
      <c r="AX248" s="187" t="s">
        <v>393</v>
      </c>
      <c r="AY248" s="187">
        <v>77077</v>
      </c>
      <c r="AZ248" s="188">
        <v>48200000000</v>
      </c>
      <c r="BA248" s="187" t="s">
        <v>394</v>
      </c>
      <c r="BB248" s="187" t="s">
        <v>395</v>
      </c>
      <c r="BC248" s="187">
        <v>161370</v>
      </c>
      <c r="BD248" s="187">
        <v>2990</v>
      </c>
      <c r="BE248" s="187" t="s">
        <v>396</v>
      </c>
      <c r="BF248" s="187" t="s">
        <v>396</v>
      </c>
      <c r="BG248" s="187" t="s">
        <v>396</v>
      </c>
    </row>
    <row r="249" spans="1:59">
      <c r="A249" s="187">
        <v>682642</v>
      </c>
      <c r="B249" s="187">
        <v>19060372</v>
      </c>
      <c r="C249" s="187">
        <v>2022</v>
      </c>
      <c r="D249" s="187" t="s">
        <v>380</v>
      </c>
      <c r="E249" s="187">
        <v>11</v>
      </c>
      <c r="F249" s="187" t="s">
        <v>411</v>
      </c>
      <c r="G249" s="187" t="s">
        <v>382</v>
      </c>
      <c r="H249" s="187" t="s">
        <v>404</v>
      </c>
      <c r="I249" s="187" t="s">
        <v>415</v>
      </c>
      <c r="J249" s="187">
        <v>29.767980000000001</v>
      </c>
      <c r="K249" s="187">
        <v>-95.606300000000005</v>
      </c>
      <c r="L249" s="187" t="s">
        <v>385</v>
      </c>
      <c r="M249" s="187" t="s">
        <v>386</v>
      </c>
      <c r="N249" s="187" t="s">
        <v>425</v>
      </c>
      <c r="O249" s="187" t="s">
        <v>388</v>
      </c>
      <c r="P249" s="187" t="s">
        <v>342</v>
      </c>
      <c r="Q249" s="187" t="s">
        <v>102</v>
      </c>
      <c r="R249" s="187" t="s">
        <v>403</v>
      </c>
      <c r="S249" s="187">
        <v>0</v>
      </c>
      <c r="T249" s="187">
        <v>0</v>
      </c>
      <c r="U249" s="187">
        <v>0</v>
      </c>
      <c r="V249" s="187">
        <v>1</v>
      </c>
      <c r="W249" s="187">
        <v>1</v>
      </c>
      <c r="X249" s="187">
        <v>1</v>
      </c>
      <c r="Y249" s="187">
        <v>0</v>
      </c>
      <c r="Z249" s="187">
        <v>0</v>
      </c>
      <c r="AA249" s="187">
        <v>0</v>
      </c>
      <c r="AB249" s="187">
        <v>0</v>
      </c>
      <c r="AC249" s="187">
        <v>1</v>
      </c>
      <c r="AD249" s="187">
        <v>1</v>
      </c>
      <c r="AE249" s="187">
        <v>1</v>
      </c>
      <c r="AF249" s="187">
        <v>0</v>
      </c>
      <c r="AG249" s="187">
        <v>0</v>
      </c>
      <c r="AH249" s="187">
        <v>0</v>
      </c>
      <c r="AI249" s="187">
        <v>0</v>
      </c>
      <c r="AJ249" s="187">
        <v>0</v>
      </c>
      <c r="AK249" s="187">
        <v>0</v>
      </c>
      <c r="AL249" s="187">
        <v>0</v>
      </c>
      <c r="AM249" s="187">
        <v>0</v>
      </c>
      <c r="AN249" s="187">
        <v>0</v>
      </c>
      <c r="AO249" s="187">
        <v>0</v>
      </c>
      <c r="AP249" s="187">
        <v>0</v>
      </c>
      <c r="AQ249" s="187">
        <v>0</v>
      </c>
      <c r="AR249" s="187">
        <v>0</v>
      </c>
      <c r="AS249" s="187">
        <v>0</v>
      </c>
      <c r="AT249" s="187">
        <v>0</v>
      </c>
      <c r="AU249" s="187" t="s">
        <v>52</v>
      </c>
      <c r="AV249" s="187" t="s">
        <v>391</v>
      </c>
      <c r="AW249" s="187" t="s">
        <v>392</v>
      </c>
      <c r="AX249" s="187" t="s">
        <v>393</v>
      </c>
      <c r="AY249" s="187">
        <v>77079</v>
      </c>
      <c r="AZ249" s="188">
        <v>48200000000</v>
      </c>
      <c r="BA249" s="187" t="s">
        <v>394</v>
      </c>
      <c r="BB249" s="187" t="s">
        <v>395</v>
      </c>
      <c r="BC249" s="187">
        <v>161810</v>
      </c>
      <c r="BD249" s="187">
        <v>2990</v>
      </c>
      <c r="BE249" s="187" t="s">
        <v>482</v>
      </c>
      <c r="BF249" s="187" t="s">
        <v>396</v>
      </c>
      <c r="BG249" s="187" t="s">
        <v>396</v>
      </c>
    </row>
    <row r="250" spans="1:59">
      <c r="A250" s="187">
        <v>684398</v>
      </c>
      <c r="B250" s="187">
        <v>19067227</v>
      </c>
      <c r="C250" s="187">
        <v>2022</v>
      </c>
      <c r="D250" s="187" t="s">
        <v>380</v>
      </c>
      <c r="E250" s="187">
        <v>7</v>
      </c>
      <c r="F250" s="187" t="s">
        <v>414</v>
      </c>
      <c r="G250" s="187" t="s">
        <v>382</v>
      </c>
      <c r="H250" s="187" t="s">
        <v>383</v>
      </c>
      <c r="I250" s="187" t="s">
        <v>422</v>
      </c>
      <c r="J250" s="187">
        <v>29.753969999999999</v>
      </c>
      <c r="K250" s="187">
        <v>-95.606200000000001</v>
      </c>
      <c r="L250" s="187" t="s">
        <v>385</v>
      </c>
      <c r="M250" s="187" t="s">
        <v>386</v>
      </c>
      <c r="N250" s="187" t="s">
        <v>401</v>
      </c>
      <c r="O250" s="187" t="s">
        <v>388</v>
      </c>
      <c r="P250" s="187" t="s">
        <v>342</v>
      </c>
      <c r="Q250" s="187" t="s">
        <v>103</v>
      </c>
      <c r="R250" s="187" t="s">
        <v>410</v>
      </c>
      <c r="S250" s="187">
        <v>0</v>
      </c>
      <c r="T250" s="187">
        <v>0</v>
      </c>
      <c r="U250" s="187">
        <v>0</v>
      </c>
      <c r="V250" s="187">
        <v>1</v>
      </c>
      <c r="W250" s="187">
        <v>1</v>
      </c>
      <c r="X250" s="187">
        <v>4</v>
      </c>
      <c r="Y250" s="187">
        <v>0</v>
      </c>
      <c r="Z250" s="187">
        <v>0</v>
      </c>
      <c r="AA250" s="187">
        <v>0</v>
      </c>
      <c r="AB250" s="187">
        <v>0</v>
      </c>
      <c r="AC250" s="187">
        <v>1</v>
      </c>
      <c r="AD250" s="187">
        <v>4</v>
      </c>
      <c r="AE250" s="187">
        <v>1</v>
      </c>
      <c r="AF250" s="187">
        <v>0</v>
      </c>
      <c r="AG250" s="187">
        <v>0</v>
      </c>
      <c r="AH250" s="187">
        <v>0</v>
      </c>
      <c r="AI250" s="187">
        <v>0</v>
      </c>
      <c r="AJ250" s="187">
        <v>0</v>
      </c>
      <c r="AK250" s="187">
        <v>0</v>
      </c>
      <c r="AL250" s="187">
        <v>0</v>
      </c>
      <c r="AM250" s="187">
        <v>0</v>
      </c>
      <c r="AN250" s="187">
        <v>0</v>
      </c>
      <c r="AO250" s="187">
        <v>0</v>
      </c>
      <c r="AP250" s="187">
        <v>0</v>
      </c>
      <c r="AQ250" s="187">
        <v>0</v>
      </c>
      <c r="AR250" s="187">
        <v>0</v>
      </c>
      <c r="AS250" s="187">
        <v>0</v>
      </c>
      <c r="AT250" s="187">
        <v>0</v>
      </c>
      <c r="AU250" s="187" t="s">
        <v>52</v>
      </c>
      <c r="AV250" s="187" t="s">
        <v>391</v>
      </c>
      <c r="AW250" s="187" t="s">
        <v>392</v>
      </c>
      <c r="AX250" s="187" t="s">
        <v>393</v>
      </c>
      <c r="AY250" s="187">
        <v>77077</v>
      </c>
      <c r="AZ250" s="188">
        <v>48200000000</v>
      </c>
      <c r="BA250" s="187" t="s">
        <v>394</v>
      </c>
      <c r="BB250" s="187" t="s">
        <v>395</v>
      </c>
      <c r="BC250" s="187">
        <v>161370</v>
      </c>
      <c r="BD250" s="187">
        <v>2990</v>
      </c>
      <c r="BE250" s="187" t="s">
        <v>396</v>
      </c>
      <c r="BF250" s="187" t="s">
        <v>396</v>
      </c>
      <c r="BG250" s="187" t="s">
        <v>396</v>
      </c>
    </row>
    <row r="251" spans="1:59">
      <c r="A251" s="187">
        <v>689055</v>
      </c>
      <c r="B251" s="187">
        <v>19086052</v>
      </c>
      <c r="C251" s="187">
        <v>2022</v>
      </c>
      <c r="D251" s="187" t="s">
        <v>380</v>
      </c>
      <c r="E251" s="187">
        <v>12</v>
      </c>
      <c r="F251" s="187" t="s">
        <v>426</v>
      </c>
      <c r="G251" s="187" t="s">
        <v>382</v>
      </c>
      <c r="H251" s="187" t="s">
        <v>468</v>
      </c>
      <c r="I251" s="187" t="s">
        <v>384</v>
      </c>
      <c r="J251" s="187">
        <v>29.759620000000002</v>
      </c>
      <c r="K251" s="187">
        <v>-95.606300000000005</v>
      </c>
      <c r="L251" s="187" t="s">
        <v>405</v>
      </c>
      <c r="M251" s="187" t="s">
        <v>386</v>
      </c>
      <c r="N251" s="187" t="s">
        <v>401</v>
      </c>
      <c r="O251" s="187" t="s">
        <v>388</v>
      </c>
      <c r="P251" s="187" t="s">
        <v>389</v>
      </c>
      <c r="Q251" s="187" t="s">
        <v>106</v>
      </c>
      <c r="R251" s="187" t="s">
        <v>433</v>
      </c>
      <c r="S251" s="187">
        <v>0</v>
      </c>
      <c r="T251" s="187">
        <v>0</v>
      </c>
      <c r="U251" s="187">
        <v>0</v>
      </c>
      <c r="V251" s="187">
        <v>0</v>
      </c>
      <c r="W251" s="187">
        <v>0</v>
      </c>
      <c r="X251" s="187">
        <v>2</v>
      </c>
      <c r="Y251" s="187">
        <v>0</v>
      </c>
      <c r="Z251" s="187">
        <v>0</v>
      </c>
      <c r="AA251" s="187">
        <v>0</v>
      </c>
      <c r="AB251" s="187">
        <v>0</v>
      </c>
      <c r="AC251" s="187">
        <v>0</v>
      </c>
      <c r="AD251" s="187">
        <v>2</v>
      </c>
      <c r="AE251" s="187">
        <v>0</v>
      </c>
      <c r="AF251" s="187">
        <v>0</v>
      </c>
      <c r="AG251" s="187">
        <v>0</v>
      </c>
      <c r="AH251" s="187">
        <v>0</v>
      </c>
      <c r="AI251" s="187">
        <v>0</v>
      </c>
      <c r="AJ251" s="187">
        <v>0</v>
      </c>
      <c r="AK251" s="187">
        <v>0</v>
      </c>
      <c r="AL251" s="187">
        <v>0</v>
      </c>
      <c r="AM251" s="187">
        <v>0</v>
      </c>
      <c r="AN251" s="187">
        <v>0</v>
      </c>
      <c r="AO251" s="187">
        <v>0</v>
      </c>
      <c r="AP251" s="187">
        <v>0</v>
      </c>
      <c r="AQ251" s="187">
        <v>0</v>
      </c>
      <c r="AR251" s="187">
        <v>0</v>
      </c>
      <c r="AS251" s="187">
        <v>0</v>
      </c>
      <c r="AT251" s="187">
        <v>0</v>
      </c>
      <c r="AU251" s="187" t="s">
        <v>52</v>
      </c>
      <c r="AV251" s="187" t="s">
        <v>391</v>
      </c>
      <c r="AW251" s="187" t="s">
        <v>392</v>
      </c>
      <c r="AX251" s="187" t="s">
        <v>393</v>
      </c>
      <c r="AY251" s="187">
        <v>77077</v>
      </c>
      <c r="AZ251" s="188">
        <v>48200000000</v>
      </c>
      <c r="BA251" s="187" t="s">
        <v>394</v>
      </c>
      <c r="BB251" s="187" t="s">
        <v>395</v>
      </c>
      <c r="BC251" s="187">
        <v>161590</v>
      </c>
      <c r="BD251" s="187">
        <v>2990</v>
      </c>
      <c r="BE251" s="187" t="s">
        <v>396</v>
      </c>
      <c r="BF251" s="187" t="s">
        <v>396</v>
      </c>
      <c r="BG251" s="187" t="s">
        <v>396</v>
      </c>
    </row>
    <row r="252" spans="1:59">
      <c r="A252" s="187">
        <v>691889</v>
      </c>
      <c r="B252" s="187">
        <v>19096760</v>
      </c>
      <c r="C252" s="187">
        <v>2022</v>
      </c>
      <c r="D252" s="187" t="s">
        <v>380</v>
      </c>
      <c r="E252" s="187">
        <v>11</v>
      </c>
      <c r="F252" s="187" t="s">
        <v>426</v>
      </c>
      <c r="G252" s="187" t="s">
        <v>382</v>
      </c>
      <c r="H252" s="187" t="s">
        <v>468</v>
      </c>
      <c r="I252" s="187" t="s">
        <v>415</v>
      </c>
      <c r="J252" s="187">
        <v>29.759620000000002</v>
      </c>
      <c r="K252" s="187">
        <v>-95.606300000000005</v>
      </c>
      <c r="L252" s="187" t="s">
        <v>399</v>
      </c>
      <c r="M252" s="187" t="s">
        <v>386</v>
      </c>
      <c r="N252" s="187" t="s">
        <v>425</v>
      </c>
      <c r="O252" s="187" t="s">
        <v>388</v>
      </c>
      <c r="P252" s="187" t="s">
        <v>389</v>
      </c>
      <c r="Q252" s="187" t="s">
        <v>102</v>
      </c>
      <c r="R252" s="187" t="s">
        <v>413</v>
      </c>
      <c r="S252" s="187">
        <v>0</v>
      </c>
      <c r="T252" s="187">
        <v>0</v>
      </c>
      <c r="U252" s="187">
        <v>0</v>
      </c>
      <c r="V252" s="187">
        <v>0</v>
      </c>
      <c r="W252" s="187">
        <v>0</v>
      </c>
      <c r="X252" s="187">
        <v>1</v>
      </c>
      <c r="Y252" s="187">
        <v>1</v>
      </c>
      <c r="Z252" s="187">
        <v>0</v>
      </c>
      <c r="AA252" s="187">
        <v>0</v>
      </c>
      <c r="AB252" s="187">
        <v>0</v>
      </c>
      <c r="AC252" s="187">
        <v>0</v>
      </c>
      <c r="AD252" s="187">
        <v>1</v>
      </c>
      <c r="AE252" s="187">
        <v>0</v>
      </c>
      <c r="AF252" s="187">
        <v>1</v>
      </c>
      <c r="AG252" s="187">
        <v>0</v>
      </c>
      <c r="AH252" s="187">
        <v>0</v>
      </c>
      <c r="AI252" s="187">
        <v>0</v>
      </c>
      <c r="AJ252" s="187">
        <v>0</v>
      </c>
      <c r="AK252" s="187">
        <v>0</v>
      </c>
      <c r="AL252" s="187">
        <v>0</v>
      </c>
      <c r="AM252" s="187">
        <v>0</v>
      </c>
      <c r="AN252" s="187">
        <v>0</v>
      </c>
      <c r="AO252" s="187">
        <v>0</v>
      </c>
      <c r="AP252" s="187">
        <v>0</v>
      </c>
      <c r="AQ252" s="187">
        <v>0</v>
      </c>
      <c r="AR252" s="187">
        <v>0</v>
      </c>
      <c r="AS252" s="187">
        <v>0</v>
      </c>
      <c r="AT252" s="187">
        <v>0</v>
      </c>
      <c r="AU252" s="187" t="s">
        <v>52</v>
      </c>
      <c r="AV252" s="187" t="s">
        <v>391</v>
      </c>
      <c r="AW252" s="187" t="s">
        <v>392</v>
      </c>
      <c r="AX252" s="187" t="s">
        <v>393</v>
      </c>
      <c r="AY252" s="187">
        <v>77077</v>
      </c>
      <c r="AZ252" s="188">
        <v>48200000000</v>
      </c>
      <c r="BA252" s="187" t="s">
        <v>394</v>
      </c>
      <c r="BB252" s="187" t="s">
        <v>395</v>
      </c>
      <c r="BC252" s="187">
        <v>161590</v>
      </c>
      <c r="BD252" s="187">
        <v>2990</v>
      </c>
      <c r="BE252" s="187" t="s">
        <v>396</v>
      </c>
      <c r="BF252" s="187" t="s">
        <v>396</v>
      </c>
      <c r="BG252" s="187" t="s">
        <v>396</v>
      </c>
    </row>
    <row r="253" spans="1:59">
      <c r="A253" s="187">
        <v>697325</v>
      </c>
      <c r="B253" s="187">
        <v>19118964</v>
      </c>
      <c r="C253" s="187">
        <v>2022</v>
      </c>
      <c r="D253" s="187" t="s">
        <v>380</v>
      </c>
      <c r="E253" s="187">
        <v>23</v>
      </c>
      <c r="F253" s="187" t="s">
        <v>397</v>
      </c>
      <c r="G253" s="187" t="s">
        <v>382</v>
      </c>
      <c r="H253" s="187" t="s">
        <v>404</v>
      </c>
      <c r="I253" s="187" t="s">
        <v>398</v>
      </c>
      <c r="J253" s="187">
        <v>29.77</v>
      </c>
      <c r="K253" s="187">
        <v>-95.606300000000005</v>
      </c>
      <c r="L253" s="187" t="s">
        <v>385</v>
      </c>
      <c r="M253" s="187" t="s">
        <v>400</v>
      </c>
      <c r="N253" s="187" t="s">
        <v>401</v>
      </c>
      <c r="O253" s="187" t="s">
        <v>388</v>
      </c>
      <c r="P253" s="187" t="s">
        <v>389</v>
      </c>
      <c r="Q253" s="187" t="s">
        <v>106</v>
      </c>
      <c r="R253" s="187" t="s">
        <v>403</v>
      </c>
      <c r="S253" s="187">
        <v>0</v>
      </c>
      <c r="T253" s="187">
        <v>0</v>
      </c>
      <c r="U253" s="187">
        <v>0</v>
      </c>
      <c r="V253" s="187">
        <v>0</v>
      </c>
      <c r="W253" s="187">
        <v>0</v>
      </c>
      <c r="X253" s="187">
        <v>1</v>
      </c>
      <c r="Y253" s="187">
        <v>1</v>
      </c>
      <c r="Z253" s="187">
        <v>0</v>
      </c>
      <c r="AA253" s="187">
        <v>0</v>
      </c>
      <c r="AB253" s="187">
        <v>0</v>
      </c>
      <c r="AC253" s="187">
        <v>0</v>
      </c>
      <c r="AD253" s="187">
        <v>1</v>
      </c>
      <c r="AE253" s="187">
        <v>0</v>
      </c>
      <c r="AF253" s="187">
        <v>1</v>
      </c>
      <c r="AG253" s="187">
        <v>0</v>
      </c>
      <c r="AH253" s="187">
        <v>0</v>
      </c>
      <c r="AI253" s="187">
        <v>0</v>
      </c>
      <c r="AJ253" s="187">
        <v>0</v>
      </c>
      <c r="AK253" s="187">
        <v>0</v>
      </c>
      <c r="AL253" s="187">
        <v>0</v>
      </c>
      <c r="AM253" s="187">
        <v>0</v>
      </c>
      <c r="AN253" s="187">
        <v>0</v>
      </c>
      <c r="AO253" s="187">
        <v>0</v>
      </c>
      <c r="AP253" s="187">
        <v>0</v>
      </c>
      <c r="AQ253" s="187">
        <v>0</v>
      </c>
      <c r="AR253" s="187">
        <v>0</v>
      </c>
      <c r="AS253" s="187">
        <v>0</v>
      </c>
      <c r="AT253" s="187">
        <v>0</v>
      </c>
      <c r="AU253" s="187" t="s">
        <v>52</v>
      </c>
      <c r="AV253" s="187" t="s">
        <v>391</v>
      </c>
      <c r="AW253" s="187" t="s">
        <v>392</v>
      </c>
      <c r="AX253" s="187" t="s">
        <v>393</v>
      </c>
      <c r="AY253" s="187">
        <v>77079</v>
      </c>
      <c r="AZ253" s="188">
        <v>48200000000</v>
      </c>
      <c r="BA253" s="187" t="s">
        <v>394</v>
      </c>
      <c r="BB253" s="187" t="s">
        <v>395</v>
      </c>
      <c r="BC253" s="187">
        <v>162030</v>
      </c>
      <c r="BD253" s="187">
        <v>2990</v>
      </c>
      <c r="BE253" s="187" t="s">
        <v>396</v>
      </c>
      <c r="BF253" s="187" t="s">
        <v>396</v>
      </c>
      <c r="BG253" s="187" t="s">
        <v>396</v>
      </c>
    </row>
    <row r="254" spans="1:59">
      <c r="A254" s="187">
        <v>698007</v>
      </c>
      <c r="B254" s="187">
        <v>19122236</v>
      </c>
      <c r="C254" s="187">
        <v>2022</v>
      </c>
      <c r="D254" s="187" t="s">
        <v>380</v>
      </c>
      <c r="E254" s="187">
        <v>17</v>
      </c>
      <c r="F254" s="187" t="s">
        <v>426</v>
      </c>
      <c r="G254" s="187" t="s">
        <v>382</v>
      </c>
      <c r="H254" s="187" t="s">
        <v>404</v>
      </c>
      <c r="I254" s="187" t="s">
        <v>415</v>
      </c>
      <c r="J254" s="187">
        <v>29.77027</v>
      </c>
      <c r="K254" s="187">
        <v>-95.606300000000005</v>
      </c>
      <c r="L254" s="187" t="s">
        <v>399</v>
      </c>
      <c r="M254" s="187" t="s">
        <v>386</v>
      </c>
      <c r="N254" s="187" t="s">
        <v>425</v>
      </c>
      <c r="O254" s="187" t="s">
        <v>388</v>
      </c>
      <c r="P254" s="187" t="s">
        <v>389</v>
      </c>
      <c r="Q254" s="187" t="s">
        <v>102</v>
      </c>
      <c r="R254" s="187" t="s">
        <v>390</v>
      </c>
      <c r="S254" s="187">
        <v>0</v>
      </c>
      <c r="T254" s="187">
        <v>0</v>
      </c>
      <c r="U254" s="187">
        <v>0</v>
      </c>
      <c r="V254" s="187">
        <v>0</v>
      </c>
      <c r="W254" s="187">
        <v>0</v>
      </c>
      <c r="X254" s="187">
        <v>3</v>
      </c>
      <c r="Y254" s="187">
        <v>0</v>
      </c>
      <c r="Z254" s="187">
        <v>0</v>
      </c>
      <c r="AA254" s="187">
        <v>0</v>
      </c>
      <c r="AB254" s="187">
        <v>0</v>
      </c>
      <c r="AC254" s="187">
        <v>0</v>
      </c>
      <c r="AD254" s="187">
        <v>3</v>
      </c>
      <c r="AE254" s="187">
        <v>0</v>
      </c>
      <c r="AF254" s="187">
        <v>0</v>
      </c>
      <c r="AG254" s="187">
        <v>0</v>
      </c>
      <c r="AH254" s="187">
        <v>0</v>
      </c>
      <c r="AI254" s="187">
        <v>0</v>
      </c>
      <c r="AJ254" s="187">
        <v>0</v>
      </c>
      <c r="AK254" s="187">
        <v>0</v>
      </c>
      <c r="AL254" s="187">
        <v>0</v>
      </c>
      <c r="AM254" s="187">
        <v>0</v>
      </c>
      <c r="AN254" s="187">
        <v>0</v>
      </c>
      <c r="AO254" s="187">
        <v>0</v>
      </c>
      <c r="AP254" s="187">
        <v>0</v>
      </c>
      <c r="AQ254" s="187">
        <v>0</v>
      </c>
      <c r="AR254" s="187">
        <v>0</v>
      </c>
      <c r="AS254" s="187">
        <v>0</v>
      </c>
      <c r="AT254" s="187">
        <v>0</v>
      </c>
      <c r="AU254" s="187" t="s">
        <v>52</v>
      </c>
      <c r="AV254" s="187" t="s">
        <v>391</v>
      </c>
      <c r="AW254" s="187" t="s">
        <v>392</v>
      </c>
      <c r="AX254" s="187" t="s">
        <v>393</v>
      </c>
      <c r="AY254" s="187">
        <v>77079</v>
      </c>
      <c r="AZ254" s="188">
        <v>48200000000</v>
      </c>
      <c r="BA254" s="187" t="s">
        <v>394</v>
      </c>
      <c r="BB254" s="187" t="s">
        <v>395</v>
      </c>
      <c r="BC254" s="187">
        <v>162030</v>
      </c>
      <c r="BD254" s="187">
        <v>2990</v>
      </c>
      <c r="BE254" s="187" t="s">
        <v>396</v>
      </c>
      <c r="BF254" s="187" t="s">
        <v>396</v>
      </c>
      <c r="BG254" s="187" t="s">
        <v>396</v>
      </c>
    </row>
    <row r="255" spans="1:59">
      <c r="A255" s="187">
        <v>699561</v>
      </c>
      <c r="B255" s="187">
        <v>19129176</v>
      </c>
      <c r="C255" s="187">
        <v>2022</v>
      </c>
      <c r="D255" s="189">
        <v>44808</v>
      </c>
      <c r="E255" s="187">
        <v>17</v>
      </c>
      <c r="F255" s="187" t="s">
        <v>429</v>
      </c>
      <c r="G255" s="187" t="s">
        <v>382</v>
      </c>
      <c r="H255" s="187" t="s">
        <v>404</v>
      </c>
      <c r="I255" s="187" t="s">
        <v>398</v>
      </c>
      <c r="J255" s="187">
        <v>29.76998</v>
      </c>
      <c r="K255" s="187">
        <v>-95.606300000000005</v>
      </c>
      <c r="L255" s="187" t="s">
        <v>385</v>
      </c>
      <c r="M255" s="187" t="s">
        <v>386</v>
      </c>
      <c r="N255" s="187" t="s">
        <v>416</v>
      </c>
      <c r="O255" s="187" t="s">
        <v>388</v>
      </c>
      <c r="P255" s="187" t="s">
        <v>389</v>
      </c>
      <c r="Q255" s="187" t="s">
        <v>102</v>
      </c>
      <c r="R255" s="187" t="s">
        <v>413</v>
      </c>
      <c r="S255" s="187">
        <v>0</v>
      </c>
      <c r="T255" s="187">
        <v>0</v>
      </c>
      <c r="U255" s="187">
        <v>0</v>
      </c>
      <c r="V255" s="187">
        <v>0</v>
      </c>
      <c r="W255" s="187">
        <v>0</v>
      </c>
      <c r="X255" s="187">
        <v>6</v>
      </c>
      <c r="Y255" s="187">
        <v>0</v>
      </c>
      <c r="Z255" s="187">
        <v>0</v>
      </c>
      <c r="AA255" s="187">
        <v>0</v>
      </c>
      <c r="AB255" s="187">
        <v>0</v>
      </c>
      <c r="AC255" s="187">
        <v>0</v>
      </c>
      <c r="AD255" s="187">
        <v>6</v>
      </c>
      <c r="AE255" s="187">
        <v>0</v>
      </c>
      <c r="AF255" s="187">
        <v>0</v>
      </c>
      <c r="AG255" s="187">
        <v>0</v>
      </c>
      <c r="AH255" s="187">
        <v>0</v>
      </c>
      <c r="AI255" s="187">
        <v>0</v>
      </c>
      <c r="AJ255" s="187">
        <v>0</v>
      </c>
      <c r="AK255" s="187">
        <v>0</v>
      </c>
      <c r="AL255" s="187">
        <v>0</v>
      </c>
      <c r="AM255" s="187">
        <v>0</v>
      </c>
      <c r="AN255" s="187">
        <v>0</v>
      </c>
      <c r="AO255" s="187">
        <v>0</v>
      </c>
      <c r="AP255" s="187">
        <v>0</v>
      </c>
      <c r="AQ255" s="187">
        <v>0</v>
      </c>
      <c r="AR255" s="187">
        <v>0</v>
      </c>
      <c r="AS255" s="187">
        <v>0</v>
      </c>
      <c r="AT255" s="187">
        <v>0</v>
      </c>
      <c r="AU255" s="187" t="s">
        <v>52</v>
      </c>
      <c r="AV255" s="187" t="s">
        <v>391</v>
      </c>
      <c r="AW255" s="187" t="s">
        <v>392</v>
      </c>
      <c r="AX255" s="187" t="s">
        <v>393</v>
      </c>
      <c r="AY255" s="187">
        <v>77079</v>
      </c>
      <c r="AZ255" s="188">
        <v>48200000000</v>
      </c>
      <c r="BA255" s="187" t="s">
        <v>394</v>
      </c>
      <c r="BB255" s="187" t="s">
        <v>395</v>
      </c>
      <c r="BC255" s="187">
        <v>162030</v>
      </c>
      <c r="BD255" s="187">
        <v>2990</v>
      </c>
      <c r="BE255" s="187" t="s">
        <v>396</v>
      </c>
      <c r="BF255" s="187" t="s">
        <v>396</v>
      </c>
      <c r="BG255" s="187" t="s">
        <v>396</v>
      </c>
    </row>
    <row r="256" spans="1:59">
      <c r="A256" s="187">
        <v>701756</v>
      </c>
      <c r="B256" s="187">
        <v>19138235</v>
      </c>
      <c r="C256" s="187">
        <v>2022</v>
      </c>
      <c r="D256" s="187" t="s">
        <v>380</v>
      </c>
      <c r="E256" s="187">
        <v>13</v>
      </c>
      <c r="F256" s="187" t="s">
        <v>426</v>
      </c>
      <c r="G256" s="187" t="s">
        <v>382</v>
      </c>
      <c r="H256" s="187" t="s">
        <v>468</v>
      </c>
      <c r="I256" s="187" t="s">
        <v>415</v>
      </c>
      <c r="J256" s="187">
        <v>29.760120000000001</v>
      </c>
      <c r="K256" s="187">
        <v>-95.606300000000005</v>
      </c>
      <c r="L256" s="187" t="s">
        <v>385</v>
      </c>
      <c r="M256" s="187" t="s">
        <v>386</v>
      </c>
      <c r="N256" s="187" t="s">
        <v>425</v>
      </c>
      <c r="O256" s="187" t="s">
        <v>388</v>
      </c>
      <c r="P256" s="187" t="s">
        <v>389</v>
      </c>
      <c r="Q256" s="187" t="s">
        <v>106</v>
      </c>
      <c r="R256" s="187" t="s">
        <v>403</v>
      </c>
      <c r="S256" s="187">
        <v>0</v>
      </c>
      <c r="T256" s="187">
        <v>0</v>
      </c>
      <c r="U256" s="187">
        <v>0</v>
      </c>
      <c r="V256" s="187">
        <v>0</v>
      </c>
      <c r="W256" s="187">
        <v>0</v>
      </c>
      <c r="X256" s="187">
        <v>3</v>
      </c>
      <c r="Y256" s="187">
        <v>0</v>
      </c>
      <c r="Z256" s="187">
        <v>0</v>
      </c>
      <c r="AA256" s="187">
        <v>0</v>
      </c>
      <c r="AB256" s="187">
        <v>0</v>
      </c>
      <c r="AC256" s="187">
        <v>0</v>
      </c>
      <c r="AD256" s="187">
        <v>3</v>
      </c>
      <c r="AE256" s="187">
        <v>0</v>
      </c>
      <c r="AF256" s="187">
        <v>0</v>
      </c>
      <c r="AG256" s="187">
        <v>0</v>
      </c>
      <c r="AH256" s="187">
        <v>0</v>
      </c>
      <c r="AI256" s="187">
        <v>0</v>
      </c>
      <c r="AJ256" s="187">
        <v>0</v>
      </c>
      <c r="AK256" s="187">
        <v>0</v>
      </c>
      <c r="AL256" s="187">
        <v>0</v>
      </c>
      <c r="AM256" s="187">
        <v>0</v>
      </c>
      <c r="AN256" s="187">
        <v>0</v>
      </c>
      <c r="AO256" s="187">
        <v>0</v>
      </c>
      <c r="AP256" s="187">
        <v>0</v>
      </c>
      <c r="AQ256" s="187">
        <v>0</v>
      </c>
      <c r="AR256" s="187">
        <v>0</v>
      </c>
      <c r="AS256" s="187">
        <v>0</v>
      </c>
      <c r="AT256" s="187">
        <v>0</v>
      </c>
      <c r="AU256" s="187" t="s">
        <v>52</v>
      </c>
      <c r="AV256" s="187" t="s">
        <v>391</v>
      </c>
      <c r="AW256" s="187" t="s">
        <v>392</v>
      </c>
      <c r="AX256" s="187" t="s">
        <v>393</v>
      </c>
      <c r="AY256" s="187">
        <v>77077</v>
      </c>
      <c r="AZ256" s="188">
        <v>48200000000</v>
      </c>
      <c r="BA256" s="187" t="s">
        <v>394</v>
      </c>
      <c r="BB256" s="187" t="s">
        <v>395</v>
      </c>
      <c r="BC256" s="187">
        <v>161590</v>
      </c>
      <c r="BD256" s="187">
        <v>2990</v>
      </c>
      <c r="BE256" s="187" t="s">
        <v>396</v>
      </c>
      <c r="BF256" s="187" t="s">
        <v>396</v>
      </c>
      <c r="BG256" s="187" t="s">
        <v>396</v>
      </c>
    </row>
    <row r="257" spans="1:59">
      <c r="A257" s="187">
        <v>702258</v>
      </c>
      <c r="B257" s="187">
        <v>19140249</v>
      </c>
      <c r="C257" s="187">
        <v>2022</v>
      </c>
      <c r="D257" s="187" t="s">
        <v>380</v>
      </c>
      <c r="E257" s="187">
        <v>10</v>
      </c>
      <c r="F257" s="187" t="s">
        <v>381</v>
      </c>
      <c r="G257" s="187" t="s">
        <v>382</v>
      </c>
      <c r="H257" s="187" t="s">
        <v>404</v>
      </c>
      <c r="I257" s="187" t="s">
        <v>398</v>
      </c>
      <c r="J257" s="187">
        <v>29.767420000000001</v>
      </c>
      <c r="K257" s="187">
        <v>-95.606300000000005</v>
      </c>
      <c r="L257" s="187" t="s">
        <v>385</v>
      </c>
      <c r="M257" s="187" t="s">
        <v>386</v>
      </c>
      <c r="N257" s="187" t="s">
        <v>418</v>
      </c>
      <c r="O257" s="187" t="s">
        <v>388</v>
      </c>
      <c r="P257" s="187" t="s">
        <v>389</v>
      </c>
      <c r="Q257" s="187" t="s">
        <v>103</v>
      </c>
      <c r="R257" s="187" t="s">
        <v>427</v>
      </c>
      <c r="S257" s="187">
        <v>0</v>
      </c>
      <c r="T257" s="187">
        <v>0</v>
      </c>
      <c r="U257" s="187">
        <v>0</v>
      </c>
      <c r="V257" s="187">
        <v>0</v>
      </c>
      <c r="W257" s="187">
        <v>0</v>
      </c>
      <c r="X257" s="187">
        <v>1</v>
      </c>
      <c r="Y257" s="187">
        <v>1</v>
      </c>
      <c r="Z257" s="187">
        <v>0</v>
      </c>
      <c r="AA257" s="187">
        <v>0</v>
      </c>
      <c r="AB257" s="187">
        <v>0</v>
      </c>
      <c r="AC257" s="187">
        <v>0</v>
      </c>
      <c r="AD257" s="187">
        <v>1</v>
      </c>
      <c r="AE257" s="187">
        <v>0</v>
      </c>
      <c r="AF257" s="187">
        <v>1</v>
      </c>
      <c r="AG257" s="187">
        <v>0</v>
      </c>
      <c r="AH257" s="187">
        <v>0</v>
      </c>
      <c r="AI257" s="187">
        <v>0</v>
      </c>
      <c r="AJ257" s="187">
        <v>0</v>
      </c>
      <c r="AK257" s="187">
        <v>0</v>
      </c>
      <c r="AL257" s="187">
        <v>0</v>
      </c>
      <c r="AM257" s="187">
        <v>0</v>
      </c>
      <c r="AN257" s="187">
        <v>0</v>
      </c>
      <c r="AO257" s="187">
        <v>0</v>
      </c>
      <c r="AP257" s="187">
        <v>0</v>
      </c>
      <c r="AQ257" s="187">
        <v>0</v>
      </c>
      <c r="AR257" s="187">
        <v>0</v>
      </c>
      <c r="AS257" s="187">
        <v>0</v>
      </c>
      <c r="AT257" s="187">
        <v>0</v>
      </c>
      <c r="AU257" s="187" t="s">
        <v>52</v>
      </c>
      <c r="AV257" s="187" t="s">
        <v>391</v>
      </c>
      <c r="AW257" s="187" t="s">
        <v>392</v>
      </c>
      <c r="AX257" s="187" t="s">
        <v>393</v>
      </c>
      <c r="AY257" s="187">
        <v>77079</v>
      </c>
      <c r="AZ257" s="188">
        <v>48200000000</v>
      </c>
      <c r="BA257" s="187" t="s">
        <v>394</v>
      </c>
      <c r="BB257" s="187" t="s">
        <v>395</v>
      </c>
      <c r="BC257" s="187">
        <v>161810</v>
      </c>
      <c r="BD257" s="187">
        <v>2990</v>
      </c>
      <c r="BE257" s="187" t="s">
        <v>396</v>
      </c>
      <c r="BF257" s="187" t="s">
        <v>396</v>
      </c>
      <c r="BG257" s="187" t="s">
        <v>396</v>
      </c>
    </row>
    <row r="258" spans="1:59">
      <c r="A258" s="187">
        <v>706173</v>
      </c>
      <c r="B258" s="187">
        <v>19156302</v>
      </c>
      <c r="C258" s="187">
        <v>2022</v>
      </c>
      <c r="D258" s="187" t="s">
        <v>380</v>
      </c>
      <c r="E258" s="187">
        <v>21</v>
      </c>
      <c r="F258" s="187" t="s">
        <v>381</v>
      </c>
      <c r="G258" s="187" t="s">
        <v>382</v>
      </c>
      <c r="H258" s="187" t="s">
        <v>383</v>
      </c>
      <c r="I258" s="187" t="s">
        <v>398</v>
      </c>
      <c r="J258" s="187">
        <v>29.753920000000001</v>
      </c>
      <c r="K258" s="187">
        <v>-95.606200000000001</v>
      </c>
      <c r="L258" s="187" t="s">
        <v>385</v>
      </c>
      <c r="M258" s="187" t="s">
        <v>400</v>
      </c>
      <c r="N258" s="187" t="s">
        <v>425</v>
      </c>
      <c r="O258" s="187" t="s">
        <v>388</v>
      </c>
      <c r="P258" s="187" t="s">
        <v>342</v>
      </c>
      <c r="Q258" s="187" t="s">
        <v>102</v>
      </c>
      <c r="R258" s="187" t="s">
        <v>403</v>
      </c>
      <c r="S258" s="187">
        <v>0</v>
      </c>
      <c r="T258" s="187">
        <v>0</v>
      </c>
      <c r="U258" s="187">
        <v>0</v>
      </c>
      <c r="V258" s="187">
        <v>1</v>
      </c>
      <c r="W258" s="187">
        <v>1</v>
      </c>
      <c r="X258" s="187">
        <v>1</v>
      </c>
      <c r="Y258" s="187">
        <v>0</v>
      </c>
      <c r="Z258" s="187">
        <v>0</v>
      </c>
      <c r="AA258" s="187">
        <v>0</v>
      </c>
      <c r="AB258" s="187">
        <v>0</v>
      </c>
      <c r="AC258" s="187">
        <v>1</v>
      </c>
      <c r="AD258" s="187">
        <v>1</v>
      </c>
      <c r="AE258" s="187">
        <v>1</v>
      </c>
      <c r="AF258" s="187">
        <v>0</v>
      </c>
      <c r="AG258" s="187">
        <v>0</v>
      </c>
      <c r="AH258" s="187">
        <v>0</v>
      </c>
      <c r="AI258" s="187">
        <v>0</v>
      </c>
      <c r="AJ258" s="187">
        <v>0</v>
      </c>
      <c r="AK258" s="187">
        <v>0</v>
      </c>
      <c r="AL258" s="187">
        <v>0</v>
      </c>
      <c r="AM258" s="187">
        <v>0</v>
      </c>
      <c r="AN258" s="187">
        <v>0</v>
      </c>
      <c r="AO258" s="187">
        <v>0</v>
      </c>
      <c r="AP258" s="187">
        <v>0</v>
      </c>
      <c r="AQ258" s="187">
        <v>0</v>
      </c>
      <c r="AR258" s="187">
        <v>0</v>
      </c>
      <c r="AS258" s="187">
        <v>0</v>
      </c>
      <c r="AT258" s="187">
        <v>0</v>
      </c>
      <c r="AU258" s="187" t="s">
        <v>52</v>
      </c>
      <c r="AV258" s="187" t="s">
        <v>391</v>
      </c>
      <c r="AW258" s="187" t="s">
        <v>392</v>
      </c>
      <c r="AX258" s="187" t="s">
        <v>393</v>
      </c>
      <c r="AY258" s="187">
        <v>77077</v>
      </c>
      <c r="AZ258" s="188">
        <v>48200000000</v>
      </c>
      <c r="BA258" s="187" t="s">
        <v>394</v>
      </c>
      <c r="BB258" s="187" t="s">
        <v>395</v>
      </c>
      <c r="BC258" s="187">
        <v>161370</v>
      </c>
      <c r="BD258" s="187">
        <v>2990</v>
      </c>
      <c r="BE258" s="187" t="s">
        <v>396</v>
      </c>
      <c r="BF258" s="187" t="s">
        <v>396</v>
      </c>
      <c r="BG258" s="187" t="s">
        <v>396</v>
      </c>
    </row>
    <row r="259" spans="1:59">
      <c r="A259" s="187">
        <v>709844</v>
      </c>
      <c r="B259" s="187">
        <v>19170602</v>
      </c>
      <c r="C259" s="187">
        <v>2022</v>
      </c>
      <c r="D259" s="187" t="s">
        <v>380</v>
      </c>
      <c r="E259" s="187">
        <v>18</v>
      </c>
      <c r="F259" s="187" t="s">
        <v>397</v>
      </c>
      <c r="G259" s="187" t="s">
        <v>382</v>
      </c>
      <c r="H259" s="187" t="s">
        <v>383</v>
      </c>
      <c r="I259" s="187" t="s">
        <v>398</v>
      </c>
      <c r="J259" s="187">
        <v>29.75384</v>
      </c>
      <c r="K259" s="187">
        <v>-95.606200000000001</v>
      </c>
      <c r="L259" s="187" t="s">
        <v>385</v>
      </c>
      <c r="M259" s="187" t="s">
        <v>386</v>
      </c>
      <c r="N259" s="187" t="s">
        <v>425</v>
      </c>
      <c r="O259" s="187" t="s">
        <v>388</v>
      </c>
      <c r="P259" s="187" t="s">
        <v>342</v>
      </c>
      <c r="Q259" s="187" t="s">
        <v>102</v>
      </c>
      <c r="R259" s="187" t="s">
        <v>403</v>
      </c>
      <c r="S259" s="187">
        <v>0</v>
      </c>
      <c r="T259" s="187">
        <v>0</v>
      </c>
      <c r="U259" s="187">
        <v>0</v>
      </c>
      <c r="V259" s="187">
        <v>1</v>
      </c>
      <c r="W259" s="187">
        <v>1</v>
      </c>
      <c r="X259" s="187">
        <v>1</v>
      </c>
      <c r="Y259" s="187">
        <v>1</v>
      </c>
      <c r="Z259" s="187">
        <v>0</v>
      </c>
      <c r="AA259" s="187">
        <v>0</v>
      </c>
      <c r="AB259" s="187">
        <v>0</v>
      </c>
      <c r="AC259" s="187">
        <v>1</v>
      </c>
      <c r="AD259" s="187">
        <v>1</v>
      </c>
      <c r="AE259" s="187">
        <v>1</v>
      </c>
      <c r="AF259" s="187">
        <v>1</v>
      </c>
      <c r="AG259" s="187">
        <v>0</v>
      </c>
      <c r="AH259" s="187">
        <v>0</v>
      </c>
      <c r="AI259" s="187">
        <v>0</v>
      </c>
      <c r="AJ259" s="187">
        <v>0</v>
      </c>
      <c r="AK259" s="187">
        <v>0</v>
      </c>
      <c r="AL259" s="187">
        <v>0</v>
      </c>
      <c r="AM259" s="187">
        <v>0</v>
      </c>
      <c r="AN259" s="187">
        <v>0</v>
      </c>
      <c r="AO259" s="187">
        <v>0</v>
      </c>
      <c r="AP259" s="187">
        <v>0</v>
      </c>
      <c r="AQ259" s="187">
        <v>0</v>
      </c>
      <c r="AR259" s="187">
        <v>0</v>
      </c>
      <c r="AS259" s="187">
        <v>0</v>
      </c>
      <c r="AT259" s="187">
        <v>0</v>
      </c>
      <c r="AU259" s="187" t="s">
        <v>52</v>
      </c>
      <c r="AV259" s="187" t="s">
        <v>391</v>
      </c>
      <c r="AW259" s="187" t="s">
        <v>392</v>
      </c>
      <c r="AX259" s="187" t="s">
        <v>393</v>
      </c>
      <c r="AY259" s="187">
        <v>77077</v>
      </c>
      <c r="AZ259" s="188">
        <v>48200000000</v>
      </c>
      <c r="BA259" s="187" t="s">
        <v>394</v>
      </c>
      <c r="BB259" s="187" t="s">
        <v>395</v>
      </c>
      <c r="BC259" s="187">
        <v>161370</v>
      </c>
      <c r="BD259" s="187">
        <v>2990</v>
      </c>
      <c r="BE259" s="187" t="s">
        <v>396</v>
      </c>
      <c r="BF259" s="187" t="s">
        <v>396</v>
      </c>
      <c r="BG259" s="187" t="s">
        <v>396</v>
      </c>
    </row>
    <row r="260" spans="1:59">
      <c r="A260" s="187">
        <v>712244</v>
      </c>
      <c r="B260" s="187">
        <v>19181322</v>
      </c>
      <c r="C260" s="187">
        <v>2022</v>
      </c>
      <c r="D260" s="187" t="s">
        <v>380</v>
      </c>
      <c r="E260" s="187">
        <v>18</v>
      </c>
      <c r="F260" s="187" t="s">
        <v>381</v>
      </c>
      <c r="G260" s="187" t="s">
        <v>382</v>
      </c>
      <c r="H260" s="187" t="s">
        <v>408</v>
      </c>
      <c r="I260" s="187" t="s">
        <v>398</v>
      </c>
      <c r="J260" s="187">
        <v>29.770060000000001</v>
      </c>
      <c r="K260" s="187">
        <v>-95.606300000000005</v>
      </c>
      <c r="L260" s="187" t="s">
        <v>385</v>
      </c>
      <c r="M260" s="187" t="s">
        <v>386</v>
      </c>
      <c r="N260" s="187" t="s">
        <v>425</v>
      </c>
      <c r="O260" s="187" t="s">
        <v>388</v>
      </c>
      <c r="P260" s="187" t="s">
        <v>389</v>
      </c>
      <c r="Q260" s="187" t="s">
        <v>102</v>
      </c>
      <c r="R260" s="187" t="s">
        <v>390</v>
      </c>
      <c r="S260" s="187">
        <v>0</v>
      </c>
      <c r="T260" s="187">
        <v>0</v>
      </c>
      <c r="U260" s="187">
        <v>0</v>
      </c>
      <c r="V260" s="187">
        <v>0</v>
      </c>
      <c r="W260" s="187">
        <v>0</v>
      </c>
      <c r="X260" s="187">
        <v>3</v>
      </c>
      <c r="Y260" s="187">
        <v>0</v>
      </c>
      <c r="Z260" s="187">
        <v>0</v>
      </c>
      <c r="AA260" s="187">
        <v>0</v>
      </c>
      <c r="AB260" s="187">
        <v>0</v>
      </c>
      <c r="AC260" s="187">
        <v>0</v>
      </c>
      <c r="AD260" s="187">
        <v>3</v>
      </c>
      <c r="AE260" s="187">
        <v>0</v>
      </c>
      <c r="AF260" s="187">
        <v>0</v>
      </c>
      <c r="AG260" s="187">
        <v>0</v>
      </c>
      <c r="AH260" s="187">
        <v>0</v>
      </c>
      <c r="AI260" s="187">
        <v>0</v>
      </c>
      <c r="AJ260" s="187">
        <v>0</v>
      </c>
      <c r="AK260" s="187">
        <v>0</v>
      </c>
      <c r="AL260" s="187">
        <v>0</v>
      </c>
      <c r="AM260" s="187">
        <v>0</v>
      </c>
      <c r="AN260" s="187">
        <v>0</v>
      </c>
      <c r="AO260" s="187">
        <v>0</v>
      </c>
      <c r="AP260" s="187">
        <v>0</v>
      </c>
      <c r="AQ260" s="187">
        <v>0</v>
      </c>
      <c r="AR260" s="187">
        <v>0</v>
      </c>
      <c r="AS260" s="187">
        <v>0</v>
      </c>
      <c r="AT260" s="187">
        <v>0</v>
      </c>
      <c r="AU260" s="187" t="s">
        <v>52</v>
      </c>
      <c r="AV260" s="187" t="s">
        <v>391</v>
      </c>
      <c r="AW260" s="187" t="s">
        <v>392</v>
      </c>
      <c r="AX260" s="187" t="s">
        <v>393</v>
      </c>
      <c r="AY260" s="187">
        <v>77079</v>
      </c>
      <c r="AZ260" s="188">
        <v>48200000000</v>
      </c>
      <c r="BA260" s="187" t="s">
        <v>394</v>
      </c>
      <c r="BB260" s="187" t="s">
        <v>395</v>
      </c>
      <c r="BC260" s="187">
        <v>162030</v>
      </c>
      <c r="BD260" s="187">
        <v>2990</v>
      </c>
      <c r="BE260" s="187" t="s">
        <v>396</v>
      </c>
      <c r="BF260" s="187" t="s">
        <v>396</v>
      </c>
      <c r="BG260" s="187" t="s">
        <v>396</v>
      </c>
    </row>
    <row r="261" spans="1:59">
      <c r="A261" s="187">
        <v>712780</v>
      </c>
      <c r="B261" s="187">
        <v>19183375</v>
      </c>
      <c r="C261" s="187">
        <v>2022</v>
      </c>
      <c r="D261" s="187" t="s">
        <v>380</v>
      </c>
      <c r="E261" s="187">
        <v>15</v>
      </c>
      <c r="F261" s="187" t="s">
        <v>429</v>
      </c>
      <c r="G261" s="187" t="s">
        <v>382</v>
      </c>
      <c r="H261" s="187" t="s">
        <v>404</v>
      </c>
      <c r="I261" s="187" t="s">
        <v>422</v>
      </c>
      <c r="J261" s="187">
        <v>29.770060000000001</v>
      </c>
      <c r="K261" s="187">
        <v>-95.606300000000005</v>
      </c>
      <c r="L261" s="187" t="s">
        <v>385</v>
      </c>
      <c r="M261" s="187" t="s">
        <v>386</v>
      </c>
      <c r="N261" s="187" t="s">
        <v>425</v>
      </c>
      <c r="O261" s="187" t="s">
        <v>473</v>
      </c>
      <c r="P261" s="187" t="s">
        <v>402</v>
      </c>
      <c r="Q261" s="187" t="s">
        <v>106</v>
      </c>
      <c r="R261" s="187" t="s">
        <v>433</v>
      </c>
      <c r="S261" s="187">
        <v>0</v>
      </c>
      <c r="T261" s="187">
        <v>0</v>
      </c>
      <c r="U261" s="187">
        <v>1</v>
      </c>
      <c r="V261" s="187">
        <v>0</v>
      </c>
      <c r="W261" s="187">
        <v>1</v>
      </c>
      <c r="X261" s="187">
        <v>2</v>
      </c>
      <c r="Y261" s="187">
        <v>0</v>
      </c>
      <c r="Z261" s="187">
        <v>0</v>
      </c>
      <c r="AA261" s="187">
        <v>0</v>
      </c>
      <c r="AB261" s="187">
        <v>0</v>
      </c>
      <c r="AC261" s="187">
        <v>0</v>
      </c>
      <c r="AD261" s="187">
        <v>2</v>
      </c>
      <c r="AE261" s="187">
        <v>0</v>
      </c>
      <c r="AF261" s="187">
        <v>0</v>
      </c>
      <c r="AG261" s="187">
        <v>0</v>
      </c>
      <c r="AH261" s="187">
        <v>0</v>
      </c>
      <c r="AI261" s="187">
        <v>1</v>
      </c>
      <c r="AJ261" s="187">
        <v>0</v>
      </c>
      <c r="AK261" s="187">
        <v>0</v>
      </c>
      <c r="AL261" s="187">
        <v>1</v>
      </c>
      <c r="AM261" s="187">
        <v>0</v>
      </c>
      <c r="AN261" s="187">
        <v>0</v>
      </c>
      <c r="AO261" s="187">
        <v>0</v>
      </c>
      <c r="AP261" s="187">
        <v>0</v>
      </c>
      <c r="AQ261" s="187">
        <v>0</v>
      </c>
      <c r="AR261" s="187">
        <v>0</v>
      </c>
      <c r="AS261" s="187">
        <v>0</v>
      </c>
      <c r="AT261" s="187">
        <v>0</v>
      </c>
      <c r="AU261" s="187" t="s">
        <v>52</v>
      </c>
      <c r="AV261" s="187" t="s">
        <v>391</v>
      </c>
      <c r="AW261" s="187" t="s">
        <v>392</v>
      </c>
      <c r="AX261" s="187" t="s">
        <v>393</v>
      </c>
      <c r="AY261" s="187">
        <v>77079</v>
      </c>
      <c r="AZ261" s="188">
        <v>48200000000</v>
      </c>
      <c r="BA261" s="187" t="s">
        <v>394</v>
      </c>
      <c r="BB261" s="187" t="s">
        <v>395</v>
      </c>
      <c r="BC261" s="187">
        <v>162030</v>
      </c>
      <c r="BD261" s="187">
        <v>2990</v>
      </c>
      <c r="BE261" s="187" t="s">
        <v>396</v>
      </c>
      <c r="BF261" s="187" t="s">
        <v>396</v>
      </c>
      <c r="BG261" s="187" t="s">
        <v>396</v>
      </c>
    </row>
    <row r="262" spans="1:59">
      <c r="A262" s="187">
        <v>719851</v>
      </c>
      <c r="B262" s="187">
        <v>19211496</v>
      </c>
      <c r="C262" s="187">
        <v>2022</v>
      </c>
      <c r="D262" s="187" t="s">
        <v>380</v>
      </c>
      <c r="E262" s="187">
        <v>17</v>
      </c>
      <c r="F262" s="187" t="s">
        <v>414</v>
      </c>
      <c r="G262" s="187" t="s">
        <v>382</v>
      </c>
      <c r="H262" s="187" t="s">
        <v>383</v>
      </c>
      <c r="I262" s="187" t="s">
        <v>415</v>
      </c>
      <c r="J262" s="187">
        <v>29.758369999999999</v>
      </c>
      <c r="K262" s="187">
        <v>-95.606300000000005</v>
      </c>
      <c r="L262" s="187" t="s">
        <v>405</v>
      </c>
      <c r="M262" s="187" t="s">
        <v>386</v>
      </c>
      <c r="N262" s="187" t="s">
        <v>425</v>
      </c>
      <c r="O262" s="187" t="s">
        <v>388</v>
      </c>
      <c r="P262" s="187" t="s">
        <v>342</v>
      </c>
      <c r="Q262" s="187" t="s">
        <v>102</v>
      </c>
      <c r="R262" s="187" t="s">
        <v>403</v>
      </c>
      <c r="S262" s="187">
        <v>0</v>
      </c>
      <c r="T262" s="187">
        <v>0</v>
      </c>
      <c r="U262" s="187">
        <v>0</v>
      </c>
      <c r="V262" s="187">
        <v>1</v>
      </c>
      <c r="W262" s="187">
        <v>1</v>
      </c>
      <c r="X262" s="187">
        <v>2</v>
      </c>
      <c r="Y262" s="187">
        <v>0</v>
      </c>
      <c r="Z262" s="187">
        <v>0</v>
      </c>
      <c r="AA262" s="187">
        <v>0</v>
      </c>
      <c r="AB262" s="187">
        <v>0</v>
      </c>
      <c r="AC262" s="187">
        <v>1</v>
      </c>
      <c r="AD262" s="187">
        <v>2</v>
      </c>
      <c r="AE262" s="187">
        <v>1</v>
      </c>
      <c r="AF262" s="187">
        <v>0</v>
      </c>
      <c r="AG262" s="187">
        <v>0</v>
      </c>
      <c r="AH262" s="187">
        <v>0</v>
      </c>
      <c r="AI262" s="187">
        <v>0</v>
      </c>
      <c r="AJ262" s="187">
        <v>0</v>
      </c>
      <c r="AK262" s="187">
        <v>0</v>
      </c>
      <c r="AL262" s="187">
        <v>0</v>
      </c>
      <c r="AM262" s="187">
        <v>0</v>
      </c>
      <c r="AN262" s="187">
        <v>0</v>
      </c>
      <c r="AO262" s="187">
        <v>0</v>
      </c>
      <c r="AP262" s="187">
        <v>0</v>
      </c>
      <c r="AQ262" s="187">
        <v>0</v>
      </c>
      <c r="AR262" s="187">
        <v>0</v>
      </c>
      <c r="AS262" s="187">
        <v>0</v>
      </c>
      <c r="AT262" s="187">
        <v>0</v>
      </c>
      <c r="AU262" s="187" t="s">
        <v>52</v>
      </c>
      <c r="AV262" s="187" t="s">
        <v>391</v>
      </c>
      <c r="AW262" s="187" t="s">
        <v>392</v>
      </c>
      <c r="AX262" s="187" t="s">
        <v>393</v>
      </c>
      <c r="AY262" s="187">
        <v>77077</v>
      </c>
      <c r="AZ262" s="188">
        <v>48200000000</v>
      </c>
      <c r="BA262" s="187" t="s">
        <v>394</v>
      </c>
      <c r="BB262" s="187" t="s">
        <v>395</v>
      </c>
      <c r="BC262" s="187">
        <v>161590</v>
      </c>
      <c r="BD262" s="187">
        <v>2990</v>
      </c>
      <c r="BE262" s="187" t="s">
        <v>396</v>
      </c>
      <c r="BF262" s="187" t="s">
        <v>396</v>
      </c>
      <c r="BG262" s="187" t="s">
        <v>396</v>
      </c>
    </row>
    <row r="263" spans="1:59">
      <c r="A263" s="187">
        <v>721758</v>
      </c>
      <c r="B263" s="187">
        <v>19219180</v>
      </c>
      <c r="C263" s="187">
        <v>2022</v>
      </c>
      <c r="D263" s="187" t="s">
        <v>380</v>
      </c>
      <c r="E263" s="187">
        <v>13</v>
      </c>
      <c r="F263" s="187" t="s">
        <v>381</v>
      </c>
      <c r="G263" s="187" t="s">
        <v>483</v>
      </c>
      <c r="H263" s="187" t="s">
        <v>383</v>
      </c>
      <c r="I263" s="187" t="s">
        <v>398</v>
      </c>
      <c r="J263" s="187">
        <v>29.75395</v>
      </c>
      <c r="K263" s="187">
        <v>-95.606200000000001</v>
      </c>
      <c r="L263" s="187" t="s">
        <v>385</v>
      </c>
      <c r="M263" s="187" t="s">
        <v>386</v>
      </c>
      <c r="N263" s="187" t="s">
        <v>406</v>
      </c>
      <c r="O263" s="187" t="s">
        <v>388</v>
      </c>
      <c r="P263" s="187" t="s">
        <v>389</v>
      </c>
      <c r="Q263" s="187" t="s">
        <v>106</v>
      </c>
      <c r="R263" s="187" t="s">
        <v>403</v>
      </c>
      <c r="S263" s="187">
        <v>0</v>
      </c>
      <c r="T263" s="187">
        <v>0</v>
      </c>
      <c r="U263" s="187">
        <v>0</v>
      </c>
      <c r="V263" s="187">
        <v>0</v>
      </c>
      <c r="W263" s="187">
        <v>0</v>
      </c>
      <c r="X263" s="187">
        <v>5</v>
      </c>
      <c r="Y263" s="187">
        <v>0</v>
      </c>
      <c r="Z263" s="187">
        <v>0</v>
      </c>
      <c r="AA263" s="187">
        <v>0</v>
      </c>
      <c r="AB263" s="187">
        <v>0</v>
      </c>
      <c r="AC263" s="187">
        <v>0</v>
      </c>
      <c r="AD263" s="187">
        <v>5</v>
      </c>
      <c r="AE263" s="187">
        <v>0</v>
      </c>
      <c r="AF263" s="187">
        <v>0</v>
      </c>
      <c r="AG263" s="187">
        <v>0</v>
      </c>
      <c r="AH263" s="187">
        <v>0</v>
      </c>
      <c r="AI263" s="187">
        <v>0</v>
      </c>
      <c r="AJ263" s="187">
        <v>0</v>
      </c>
      <c r="AK263" s="187">
        <v>0</v>
      </c>
      <c r="AL263" s="187">
        <v>0</v>
      </c>
      <c r="AM263" s="187">
        <v>0</v>
      </c>
      <c r="AN263" s="187">
        <v>0</v>
      </c>
      <c r="AO263" s="187">
        <v>0</v>
      </c>
      <c r="AP263" s="187">
        <v>0</v>
      </c>
      <c r="AQ263" s="187">
        <v>0</v>
      </c>
      <c r="AR263" s="187">
        <v>0</v>
      </c>
      <c r="AS263" s="187">
        <v>0</v>
      </c>
      <c r="AT263" s="187">
        <v>0</v>
      </c>
      <c r="AU263" s="187" t="s">
        <v>52</v>
      </c>
      <c r="AV263" s="187" t="s">
        <v>391</v>
      </c>
      <c r="AW263" s="187" t="s">
        <v>392</v>
      </c>
      <c r="AX263" s="187" t="s">
        <v>393</v>
      </c>
      <c r="AY263" s="187">
        <v>77077</v>
      </c>
      <c r="AZ263" s="188">
        <v>48200000000</v>
      </c>
      <c r="BA263" s="187" t="s">
        <v>394</v>
      </c>
      <c r="BB263" s="187" t="s">
        <v>395</v>
      </c>
      <c r="BC263" s="187">
        <v>161370</v>
      </c>
      <c r="BD263" s="187">
        <v>2990</v>
      </c>
      <c r="BE263" s="187" t="s">
        <v>396</v>
      </c>
      <c r="BF263" s="187" t="s">
        <v>396</v>
      </c>
      <c r="BG263" s="187" t="s">
        <v>396</v>
      </c>
    </row>
    <row r="264" spans="1:59">
      <c r="A264" s="187">
        <v>724042</v>
      </c>
      <c r="B264" s="187">
        <v>19228146</v>
      </c>
      <c r="C264" s="187">
        <v>2022</v>
      </c>
      <c r="D264" s="187" t="s">
        <v>380</v>
      </c>
      <c r="E264" s="187">
        <v>20</v>
      </c>
      <c r="F264" s="187" t="s">
        <v>426</v>
      </c>
      <c r="G264" s="187" t="s">
        <v>382</v>
      </c>
      <c r="H264" s="187" t="s">
        <v>383</v>
      </c>
      <c r="I264" s="187" t="s">
        <v>415</v>
      </c>
      <c r="J264" s="187">
        <v>29.758620000000001</v>
      </c>
      <c r="K264" s="187">
        <v>-95.606099999999998</v>
      </c>
      <c r="L264" s="187" t="s">
        <v>385</v>
      </c>
      <c r="M264" s="187" t="s">
        <v>400</v>
      </c>
      <c r="N264" s="187" t="s">
        <v>425</v>
      </c>
      <c r="O264" s="187" t="s">
        <v>388</v>
      </c>
      <c r="P264" s="187" t="s">
        <v>389</v>
      </c>
      <c r="Q264" s="187" t="s">
        <v>102</v>
      </c>
      <c r="R264" s="187" t="s">
        <v>403</v>
      </c>
      <c r="S264" s="187">
        <v>0</v>
      </c>
      <c r="T264" s="187">
        <v>0</v>
      </c>
      <c r="U264" s="187">
        <v>0</v>
      </c>
      <c r="V264" s="187">
        <v>0</v>
      </c>
      <c r="W264" s="187">
        <v>0</v>
      </c>
      <c r="X264" s="187">
        <v>1</v>
      </c>
      <c r="Y264" s="187">
        <v>1</v>
      </c>
      <c r="Z264" s="187">
        <v>0</v>
      </c>
      <c r="AA264" s="187">
        <v>0</v>
      </c>
      <c r="AB264" s="187">
        <v>0</v>
      </c>
      <c r="AC264" s="187">
        <v>0</v>
      </c>
      <c r="AD264" s="187">
        <v>1</v>
      </c>
      <c r="AE264" s="187">
        <v>0</v>
      </c>
      <c r="AF264" s="187">
        <v>1</v>
      </c>
      <c r="AG264" s="187">
        <v>0</v>
      </c>
      <c r="AH264" s="187">
        <v>0</v>
      </c>
      <c r="AI264" s="187">
        <v>0</v>
      </c>
      <c r="AJ264" s="187">
        <v>0</v>
      </c>
      <c r="AK264" s="187">
        <v>0</v>
      </c>
      <c r="AL264" s="187">
        <v>0</v>
      </c>
      <c r="AM264" s="187">
        <v>0</v>
      </c>
      <c r="AN264" s="187">
        <v>0</v>
      </c>
      <c r="AO264" s="187">
        <v>0</v>
      </c>
      <c r="AP264" s="187">
        <v>0</v>
      </c>
      <c r="AQ264" s="187">
        <v>0</v>
      </c>
      <c r="AR264" s="187">
        <v>0</v>
      </c>
      <c r="AS264" s="187">
        <v>0</v>
      </c>
      <c r="AT264" s="187">
        <v>0</v>
      </c>
      <c r="AU264" s="187" t="s">
        <v>52</v>
      </c>
      <c r="AV264" s="187" t="s">
        <v>391</v>
      </c>
      <c r="AW264" s="187" t="s">
        <v>392</v>
      </c>
      <c r="AX264" s="187" t="s">
        <v>393</v>
      </c>
      <c r="AY264" s="187">
        <v>77077</v>
      </c>
      <c r="AZ264" s="188">
        <v>48200000000</v>
      </c>
      <c r="BA264" s="187" t="s">
        <v>394</v>
      </c>
      <c r="BB264" s="187" t="s">
        <v>395</v>
      </c>
      <c r="BC264" s="187">
        <v>161590</v>
      </c>
      <c r="BD264" s="187">
        <v>2990</v>
      </c>
      <c r="BE264" s="187" t="s">
        <v>396</v>
      </c>
      <c r="BF264" s="187" t="s">
        <v>396</v>
      </c>
      <c r="BG264" s="187" t="s">
        <v>396</v>
      </c>
    </row>
    <row r="265" spans="1:59">
      <c r="A265" s="187">
        <v>724457</v>
      </c>
      <c r="B265" s="187">
        <v>19229792</v>
      </c>
      <c r="C265" s="187">
        <v>2022</v>
      </c>
      <c r="D265" s="187" t="s">
        <v>380</v>
      </c>
      <c r="E265" s="187">
        <v>20</v>
      </c>
      <c r="F265" s="187" t="s">
        <v>397</v>
      </c>
      <c r="G265" s="187" t="s">
        <v>382</v>
      </c>
      <c r="H265" s="187" t="s">
        <v>383</v>
      </c>
      <c r="I265" s="187" t="s">
        <v>415</v>
      </c>
      <c r="J265" s="187">
        <v>29.758179999999999</v>
      </c>
      <c r="K265" s="187">
        <v>-95.606300000000005</v>
      </c>
      <c r="L265" s="187" t="s">
        <v>399</v>
      </c>
      <c r="M265" s="187" t="s">
        <v>400</v>
      </c>
      <c r="N265" s="187" t="s">
        <v>425</v>
      </c>
      <c r="O265" s="187" t="s">
        <v>388</v>
      </c>
      <c r="P265" s="187" t="s">
        <v>389</v>
      </c>
      <c r="Q265" s="187" t="s">
        <v>106</v>
      </c>
      <c r="R265" s="187" t="s">
        <v>484</v>
      </c>
      <c r="S265" s="187">
        <v>0</v>
      </c>
      <c r="T265" s="187">
        <v>0</v>
      </c>
      <c r="U265" s="187">
        <v>0</v>
      </c>
      <c r="V265" s="187">
        <v>0</v>
      </c>
      <c r="W265" s="187">
        <v>0</v>
      </c>
      <c r="X265" s="187">
        <v>4</v>
      </c>
      <c r="Y265" s="187">
        <v>0</v>
      </c>
      <c r="Z265" s="187">
        <v>0</v>
      </c>
      <c r="AA265" s="187">
        <v>0</v>
      </c>
      <c r="AB265" s="187">
        <v>0</v>
      </c>
      <c r="AC265" s="187">
        <v>0</v>
      </c>
      <c r="AD265" s="187">
        <v>4</v>
      </c>
      <c r="AE265" s="187">
        <v>0</v>
      </c>
      <c r="AF265" s="187">
        <v>0</v>
      </c>
      <c r="AG265" s="187">
        <v>0</v>
      </c>
      <c r="AH265" s="187">
        <v>0</v>
      </c>
      <c r="AI265" s="187">
        <v>0</v>
      </c>
      <c r="AJ265" s="187">
        <v>0</v>
      </c>
      <c r="AK265" s="187">
        <v>0</v>
      </c>
      <c r="AL265" s="187">
        <v>0</v>
      </c>
      <c r="AM265" s="187">
        <v>0</v>
      </c>
      <c r="AN265" s="187">
        <v>0</v>
      </c>
      <c r="AO265" s="187">
        <v>0</v>
      </c>
      <c r="AP265" s="187">
        <v>0</v>
      </c>
      <c r="AQ265" s="187">
        <v>0</v>
      </c>
      <c r="AR265" s="187">
        <v>0</v>
      </c>
      <c r="AS265" s="187">
        <v>0</v>
      </c>
      <c r="AT265" s="187">
        <v>0</v>
      </c>
      <c r="AU265" s="187" t="s">
        <v>52</v>
      </c>
      <c r="AV265" s="187" t="s">
        <v>391</v>
      </c>
      <c r="AW265" s="187" t="s">
        <v>392</v>
      </c>
      <c r="AX265" s="187" t="s">
        <v>393</v>
      </c>
      <c r="AY265" s="187">
        <v>77077</v>
      </c>
      <c r="AZ265" s="188">
        <v>48200000000</v>
      </c>
      <c r="BA265" s="187" t="s">
        <v>394</v>
      </c>
      <c r="BB265" s="187" t="s">
        <v>395</v>
      </c>
      <c r="BC265" s="187">
        <v>161590</v>
      </c>
      <c r="BD265" s="187">
        <v>2990</v>
      </c>
      <c r="BE265" s="187" t="s">
        <v>396</v>
      </c>
      <c r="BF265" s="187" t="s">
        <v>396</v>
      </c>
      <c r="BG265" s="187" t="s">
        <v>396</v>
      </c>
    </row>
    <row r="266" spans="1:59">
      <c r="A266" s="187">
        <v>734320</v>
      </c>
      <c r="B266" s="187">
        <v>19270418</v>
      </c>
      <c r="C266" s="187">
        <v>2022</v>
      </c>
      <c r="D266" s="187" t="s">
        <v>380</v>
      </c>
      <c r="E266" s="187">
        <v>9</v>
      </c>
      <c r="F266" s="187" t="s">
        <v>381</v>
      </c>
      <c r="G266" s="187" t="s">
        <v>382</v>
      </c>
      <c r="H266" s="187" t="s">
        <v>404</v>
      </c>
      <c r="I266" s="187" t="s">
        <v>415</v>
      </c>
      <c r="J266" s="187">
        <v>29.770060000000001</v>
      </c>
      <c r="K266" s="187">
        <v>-95.606300000000005</v>
      </c>
      <c r="L266" s="187" t="s">
        <v>405</v>
      </c>
      <c r="M266" s="187" t="s">
        <v>386</v>
      </c>
      <c r="N266" s="187" t="s">
        <v>401</v>
      </c>
      <c r="O266" s="187" t="s">
        <v>388</v>
      </c>
      <c r="P266" s="187" t="s">
        <v>389</v>
      </c>
      <c r="Q266" s="187" t="s">
        <v>106</v>
      </c>
      <c r="R266" s="187" t="s">
        <v>413</v>
      </c>
      <c r="S266" s="187">
        <v>0</v>
      </c>
      <c r="T266" s="187">
        <v>0</v>
      </c>
      <c r="U266" s="187">
        <v>0</v>
      </c>
      <c r="V266" s="187">
        <v>0</v>
      </c>
      <c r="W266" s="187">
        <v>0</v>
      </c>
      <c r="X266" s="187">
        <v>1</v>
      </c>
      <c r="Y266" s="187">
        <v>1</v>
      </c>
      <c r="Z266" s="187">
        <v>0</v>
      </c>
      <c r="AA266" s="187">
        <v>0</v>
      </c>
      <c r="AB266" s="187">
        <v>0</v>
      </c>
      <c r="AC266" s="187">
        <v>0</v>
      </c>
      <c r="AD266" s="187">
        <v>1</v>
      </c>
      <c r="AE266" s="187">
        <v>0</v>
      </c>
      <c r="AF266" s="187">
        <v>1</v>
      </c>
      <c r="AG266" s="187">
        <v>0</v>
      </c>
      <c r="AH266" s="187">
        <v>0</v>
      </c>
      <c r="AI266" s="187">
        <v>0</v>
      </c>
      <c r="AJ266" s="187">
        <v>0</v>
      </c>
      <c r="AK266" s="187">
        <v>0</v>
      </c>
      <c r="AL266" s="187">
        <v>0</v>
      </c>
      <c r="AM266" s="187">
        <v>0</v>
      </c>
      <c r="AN266" s="187">
        <v>0</v>
      </c>
      <c r="AO266" s="187">
        <v>0</v>
      </c>
      <c r="AP266" s="187">
        <v>0</v>
      </c>
      <c r="AQ266" s="187">
        <v>0</v>
      </c>
      <c r="AR266" s="187">
        <v>0</v>
      </c>
      <c r="AS266" s="187">
        <v>0</v>
      </c>
      <c r="AT266" s="187">
        <v>0</v>
      </c>
      <c r="AU266" s="187" t="s">
        <v>52</v>
      </c>
      <c r="AV266" s="187" t="s">
        <v>391</v>
      </c>
      <c r="AW266" s="187" t="s">
        <v>392</v>
      </c>
      <c r="AX266" s="187" t="s">
        <v>393</v>
      </c>
      <c r="AY266" s="187">
        <v>77079</v>
      </c>
      <c r="AZ266" s="188">
        <v>48200000000</v>
      </c>
      <c r="BA266" s="187" t="s">
        <v>394</v>
      </c>
      <c r="BB266" s="187" t="s">
        <v>395</v>
      </c>
      <c r="BC266" s="187">
        <v>162030</v>
      </c>
      <c r="BD266" s="187">
        <v>2990</v>
      </c>
      <c r="BE266" s="187" t="s">
        <v>396</v>
      </c>
      <c r="BF266" s="187" t="s">
        <v>396</v>
      </c>
      <c r="BG266" s="187" t="s">
        <v>396</v>
      </c>
    </row>
    <row r="267" spans="1:59">
      <c r="A267" s="187">
        <v>734707</v>
      </c>
      <c r="B267" s="187">
        <v>19272070</v>
      </c>
      <c r="C267" s="187">
        <v>2022</v>
      </c>
      <c r="D267" s="187" t="s">
        <v>380</v>
      </c>
      <c r="E267" s="187">
        <v>18</v>
      </c>
      <c r="F267" s="187" t="s">
        <v>381</v>
      </c>
      <c r="G267" s="187" t="s">
        <v>382</v>
      </c>
      <c r="H267" s="187" t="s">
        <v>383</v>
      </c>
      <c r="I267" s="187" t="s">
        <v>415</v>
      </c>
      <c r="J267" s="187">
        <v>29.758209999999998</v>
      </c>
      <c r="K267" s="187">
        <v>-95.606300000000005</v>
      </c>
      <c r="L267" s="187" t="s">
        <v>385</v>
      </c>
      <c r="M267" s="187" t="s">
        <v>439</v>
      </c>
      <c r="N267" s="187" t="s">
        <v>401</v>
      </c>
      <c r="O267" s="187" t="s">
        <v>388</v>
      </c>
      <c r="P267" s="187" t="s">
        <v>389</v>
      </c>
      <c r="Q267" s="187" t="s">
        <v>102</v>
      </c>
      <c r="R267" s="187" t="s">
        <v>403</v>
      </c>
      <c r="S267" s="187">
        <v>0</v>
      </c>
      <c r="T267" s="187">
        <v>0</v>
      </c>
      <c r="U267" s="187">
        <v>0</v>
      </c>
      <c r="V267" s="187">
        <v>0</v>
      </c>
      <c r="W267" s="187">
        <v>0</v>
      </c>
      <c r="X267" s="187">
        <v>1</v>
      </c>
      <c r="Y267" s="187">
        <v>1</v>
      </c>
      <c r="Z267" s="187">
        <v>0</v>
      </c>
      <c r="AA267" s="187">
        <v>0</v>
      </c>
      <c r="AB267" s="187">
        <v>0</v>
      </c>
      <c r="AC267" s="187">
        <v>0</v>
      </c>
      <c r="AD267" s="187">
        <v>1</v>
      </c>
      <c r="AE267" s="187">
        <v>0</v>
      </c>
      <c r="AF267" s="187">
        <v>1</v>
      </c>
      <c r="AG267" s="187">
        <v>0</v>
      </c>
      <c r="AH267" s="187">
        <v>0</v>
      </c>
      <c r="AI267" s="187">
        <v>0</v>
      </c>
      <c r="AJ267" s="187">
        <v>0</v>
      </c>
      <c r="AK267" s="187">
        <v>0</v>
      </c>
      <c r="AL267" s="187">
        <v>0</v>
      </c>
      <c r="AM267" s="187">
        <v>0</v>
      </c>
      <c r="AN267" s="187">
        <v>0</v>
      </c>
      <c r="AO267" s="187">
        <v>0</v>
      </c>
      <c r="AP267" s="187">
        <v>0</v>
      </c>
      <c r="AQ267" s="187">
        <v>0</v>
      </c>
      <c r="AR267" s="187">
        <v>0</v>
      </c>
      <c r="AS267" s="187">
        <v>0</v>
      </c>
      <c r="AT267" s="187">
        <v>0</v>
      </c>
      <c r="AU267" s="187" t="s">
        <v>52</v>
      </c>
      <c r="AV267" s="187" t="s">
        <v>391</v>
      </c>
      <c r="AW267" s="187" t="s">
        <v>392</v>
      </c>
      <c r="AX267" s="187" t="s">
        <v>393</v>
      </c>
      <c r="AY267" s="187">
        <v>77077</v>
      </c>
      <c r="AZ267" s="188">
        <v>48200000000</v>
      </c>
      <c r="BA267" s="187" t="s">
        <v>394</v>
      </c>
      <c r="BB267" s="187" t="s">
        <v>395</v>
      </c>
      <c r="BC267" s="187">
        <v>161590</v>
      </c>
      <c r="BD267" s="187">
        <v>2990</v>
      </c>
      <c r="BE267" s="187" t="s">
        <v>396</v>
      </c>
      <c r="BF267" s="187" t="s">
        <v>396</v>
      </c>
      <c r="BG267" s="187" t="s">
        <v>396</v>
      </c>
    </row>
    <row r="268" spans="1:59">
      <c r="A268" s="187">
        <v>734715</v>
      </c>
      <c r="B268" s="187">
        <v>19272112</v>
      </c>
      <c r="C268" s="187">
        <v>2022</v>
      </c>
      <c r="D268" s="187" t="s">
        <v>380</v>
      </c>
      <c r="E268" s="187">
        <v>18</v>
      </c>
      <c r="F268" s="187" t="s">
        <v>381</v>
      </c>
      <c r="G268" s="187" t="s">
        <v>382</v>
      </c>
      <c r="H268" s="187" t="s">
        <v>383</v>
      </c>
      <c r="I268" s="187" t="s">
        <v>415</v>
      </c>
      <c r="J268" s="187">
        <v>29.758289999999999</v>
      </c>
      <c r="K268" s="187">
        <v>-95.606300000000005</v>
      </c>
      <c r="L268" s="187" t="s">
        <v>385</v>
      </c>
      <c r="M268" s="187" t="s">
        <v>386</v>
      </c>
      <c r="N268" s="187" t="s">
        <v>401</v>
      </c>
      <c r="O268" s="187" t="s">
        <v>388</v>
      </c>
      <c r="P268" s="187" t="s">
        <v>389</v>
      </c>
      <c r="Q268" s="187" t="s">
        <v>106</v>
      </c>
      <c r="R268" s="187" t="s">
        <v>403</v>
      </c>
      <c r="S268" s="187">
        <v>0</v>
      </c>
      <c r="T268" s="187">
        <v>0</v>
      </c>
      <c r="U268" s="187">
        <v>0</v>
      </c>
      <c r="V268" s="187">
        <v>0</v>
      </c>
      <c r="W268" s="187">
        <v>0</v>
      </c>
      <c r="X268" s="187">
        <v>1</v>
      </c>
      <c r="Y268" s="187">
        <v>2</v>
      </c>
      <c r="Z268" s="187">
        <v>0</v>
      </c>
      <c r="AA268" s="187">
        <v>0</v>
      </c>
      <c r="AB268" s="187">
        <v>0</v>
      </c>
      <c r="AC268" s="187">
        <v>0</v>
      </c>
      <c r="AD268" s="187">
        <v>1</v>
      </c>
      <c r="AE268" s="187">
        <v>0</v>
      </c>
      <c r="AF268" s="187">
        <v>2</v>
      </c>
      <c r="AG268" s="187">
        <v>0</v>
      </c>
      <c r="AH268" s="187">
        <v>0</v>
      </c>
      <c r="AI268" s="187">
        <v>0</v>
      </c>
      <c r="AJ268" s="187">
        <v>0</v>
      </c>
      <c r="AK268" s="187">
        <v>0</v>
      </c>
      <c r="AL268" s="187">
        <v>0</v>
      </c>
      <c r="AM268" s="187">
        <v>0</v>
      </c>
      <c r="AN268" s="187">
        <v>0</v>
      </c>
      <c r="AO268" s="187">
        <v>0</v>
      </c>
      <c r="AP268" s="187">
        <v>0</v>
      </c>
      <c r="AQ268" s="187">
        <v>0</v>
      </c>
      <c r="AR268" s="187">
        <v>0</v>
      </c>
      <c r="AS268" s="187">
        <v>0</v>
      </c>
      <c r="AT268" s="187">
        <v>0</v>
      </c>
      <c r="AU268" s="187" t="s">
        <v>52</v>
      </c>
      <c r="AV268" s="187" t="s">
        <v>391</v>
      </c>
      <c r="AW268" s="187" t="s">
        <v>392</v>
      </c>
      <c r="AX268" s="187" t="s">
        <v>393</v>
      </c>
      <c r="AY268" s="187">
        <v>77077</v>
      </c>
      <c r="AZ268" s="188">
        <v>48200000000</v>
      </c>
      <c r="BA268" s="187" t="s">
        <v>394</v>
      </c>
      <c r="BB268" s="187" t="s">
        <v>395</v>
      </c>
      <c r="BC268" s="187">
        <v>161590</v>
      </c>
      <c r="BD268" s="187">
        <v>2990</v>
      </c>
      <c r="BE268" s="187" t="s">
        <v>396</v>
      </c>
      <c r="BF268" s="187" t="s">
        <v>396</v>
      </c>
      <c r="BG268" s="187" t="s">
        <v>396</v>
      </c>
    </row>
    <row r="269" spans="1:59">
      <c r="A269" s="187">
        <v>738529</v>
      </c>
      <c r="B269" s="187">
        <v>19287316</v>
      </c>
      <c r="C269" s="187">
        <v>2022</v>
      </c>
      <c r="D269" s="187" t="s">
        <v>380</v>
      </c>
      <c r="E269" s="187">
        <v>18</v>
      </c>
      <c r="F269" s="187" t="s">
        <v>426</v>
      </c>
      <c r="G269" s="187" t="s">
        <v>382</v>
      </c>
      <c r="H269" s="187" t="s">
        <v>383</v>
      </c>
      <c r="I269" s="187" t="s">
        <v>398</v>
      </c>
      <c r="J269" s="187">
        <v>29.75807</v>
      </c>
      <c r="K269" s="187">
        <v>-95.606099999999998</v>
      </c>
      <c r="L269" s="187" t="s">
        <v>385</v>
      </c>
      <c r="M269" s="187" t="s">
        <v>400</v>
      </c>
      <c r="N269" s="187" t="s">
        <v>401</v>
      </c>
      <c r="O269" s="187" t="s">
        <v>388</v>
      </c>
      <c r="P269" s="187" t="s">
        <v>389</v>
      </c>
      <c r="Q269" s="187" t="s">
        <v>103</v>
      </c>
      <c r="R269" s="187" t="s">
        <v>410</v>
      </c>
      <c r="S269" s="187">
        <v>0</v>
      </c>
      <c r="T269" s="187">
        <v>0</v>
      </c>
      <c r="U269" s="187">
        <v>0</v>
      </c>
      <c r="V269" s="187">
        <v>0</v>
      </c>
      <c r="W269" s="187">
        <v>0</v>
      </c>
      <c r="X269" s="187">
        <v>4</v>
      </c>
      <c r="Y269" s="187">
        <v>0</v>
      </c>
      <c r="Z269" s="187">
        <v>0</v>
      </c>
      <c r="AA269" s="187">
        <v>0</v>
      </c>
      <c r="AB269" s="187">
        <v>0</v>
      </c>
      <c r="AC269" s="187">
        <v>0</v>
      </c>
      <c r="AD269" s="187">
        <v>4</v>
      </c>
      <c r="AE269" s="187">
        <v>0</v>
      </c>
      <c r="AF269" s="187">
        <v>0</v>
      </c>
      <c r="AG269" s="187">
        <v>0</v>
      </c>
      <c r="AH269" s="187">
        <v>0</v>
      </c>
      <c r="AI269" s="187">
        <v>0</v>
      </c>
      <c r="AJ269" s="187">
        <v>0</v>
      </c>
      <c r="AK269" s="187">
        <v>0</v>
      </c>
      <c r="AL269" s="187">
        <v>0</v>
      </c>
      <c r="AM269" s="187">
        <v>0</v>
      </c>
      <c r="AN269" s="187">
        <v>0</v>
      </c>
      <c r="AO269" s="187">
        <v>0</v>
      </c>
      <c r="AP269" s="187">
        <v>0</v>
      </c>
      <c r="AQ269" s="187">
        <v>0</v>
      </c>
      <c r="AR269" s="187">
        <v>0</v>
      </c>
      <c r="AS269" s="187">
        <v>0</v>
      </c>
      <c r="AT269" s="187">
        <v>0</v>
      </c>
      <c r="AU269" s="187" t="s">
        <v>52</v>
      </c>
      <c r="AV269" s="187" t="s">
        <v>391</v>
      </c>
      <c r="AW269" s="187" t="s">
        <v>392</v>
      </c>
      <c r="AX269" s="187" t="s">
        <v>393</v>
      </c>
      <c r="AY269" s="187">
        <v>77077</v>
      </c>
      <c r="AZ269" s="188">
        <v>48200000000</v>
      </c>
      <c r="BA269" s="187" t="s">
        <v>394</v>
      </c>
      <c r="BB269" s="187" t="s">
        <v>395</v>
      </c>
      <c r="BC269" s="187">
        <v>161590</v>
      </c>
      <c r="BD269" s="187">
        <v>2990</v>
      </c>
      <c r="BE269" s="187" t="s">
        <v>396</v>
      </c>
      <c r="BF269" s="187" t="s">
        <v>396</v>
      </c>
      <c r="BG269" s="187" t="s">
        <v>396</v>
      </c>
    </row>
    <row r="270" spans="1:59">
      <c r="A270" s="187">
        <v>738530</v>
      </c>
      <c r="B270" s="187">
        <v>19287320</v>
      </c>
      <c r="C270" s="187">
        <v>2022</v>
      </c>
      <c r="D270" s="187" t="s">
        <v>380</v>
      </c>
      <c r="E270" s="187">
        <v>15</v>
      </c>
      <c r="F270" s="187" t="s">
        <v>426</v>
      </c>
      <c r="G270" s="187" t="s">
        <v>382</v>
      </c>
      <c r="H270" s="187" t="s">
        <v>419</v>
      </c>
      <c r="I270" s="187" t="s">
        <v>384</v>
      </c>
      <c r="J270" s="187">
        <v>29.753969999999999</v>
      </c>
      <c r="K270" s="187">
        <v>-95.606200000000001</v>
      </c>
      <c r="L270" s="187" t="s">
        <v>385</v>
      </c>
      <c r="M270" s="187" t="s">
        <v>386</v>
      </c>
      <c r="N270" s="187" t="s">
        <v>425</v>
      </c>
      <c r="O270" s="187" t="s">
        <v>388</v>
      </c>
      <c r="P270" s="187" t="s">
        <v>342</v>
      </c>
      <c r="Q270" s="187" t="s">
        <v>106</v>
      </c>
      <c r="R270" s="187" t="s">
        <v>403</v>
      </c>
      <c r="S270" s="187">
        <v>0</v>
      </c>
      <c r="T270" s="187">
        <v>0</v>
      </c>
      <c r="U270" s="187">
        <v>0</v>
      </c>
      <c r="V270" s="187">
        <v>1</v>
      </c>
      <c r="W270" s="187">
        <v>1</v>
      </c>
      <c r="X270" s="187">
        <v>3</v>
      </c>
      <c r="Y270" s="187">
        <v>0</v>
      </c>
      <c r="Z270" s="187">
        <v>0</v>
      </c>
      <c r="AA270" s="187">
        <v>0</v>
      </c>
      <c r="AB270" s="187">
        <v>0</v>
      </c>
      <c r="AC270" s="187">
        <v>1</v>
      </c>
      <c r="AD270" s="187">
        <v>3</v>
      </c>
      <c r="AE270" s="187">
        <v>1</v>
      </c>
      <c r="AF270" s="187">
        <v>0</v>
      </c>
      <c r="AG270" s="187">
        <v>0</v>
      </c>
      <c r="AH270" s="187">
        <v>0</v>
      </c>
      <c r="AI270" s="187">
        <v>0</v>
      </c>
      <c r="AJ270" s="187">
        <v>0</v>
      </c>
      <c r="AK270" s="187">
        <v>0</v>
      </c>
      <c r="AL270" s="187">
        <v>0</v>
      </c>
      <c r="AM270" s="187">
        <v>0</v>
      </c>
      <c r="AN270" s="187">
        <v>0</v>
      </c>
      <c r="AO270" s="187">
        <v>0</v>
      </c>
      <c r="AP270" s="187">
        <v>0</v>
      </c>
      <c r="AQ270" s="187">
        <v>0</v>
      </c>
      <c r="AR270" s="187">
        <v>0</v>
      </c>
      <c r="AS270" s="187">
        <v>0</v>
      </c>
      <c r="AT270" s="187">
        <v>0</v>
      </c>
      <c r="AU270" s="187" t="s">
        <v>52</v>
      </c>
      <c r="AV270" s="187" t="s">
        <v>391</v>
      </c>
      <c r="AW270" s="187" t="s">
        <v>392</v>
      </c>
      <c r="AX270" s="187" t="s">
        <v>393</v>
      </c>
      <c r="AY270" s="187">
        <v>77077</v>
      </c>
      <c r="AZ270" s="188">
        <v>48200000000</v>
      </c>
      <c r="BA270" s="187" t="s">
        <v>394</v>
      </c>
      <c r="BB270" s="187" t="s">
        <v>395</v>
      </c>
      <c r="BC270" s="187">
        <v>161370</v>
      </c>
      <c r="BD270" s="187">
        <v>2990</v>
      </c>
      <c r="BE270" s="187" t="s">
        <v>396</v>
      </c>
      <c r="BF270" s="187" t="s">
        <v>396</v>
      </c>
      <c r="BG270" s="187" t="s">
        <v>396</v>
      </c>
    </row>
    <row r="271" spans="1:59">
      <c r="A271" s="187">
        <v>739505</v>
      </c>
      <c r="B271" s="187">
        <v>19290822</v>
      </c>
      <c r="C271" s="187">
        <v>2022</v>
      </c>
      <c r="D271" s="187" t="s">
        <v>380</v>
      </c>
      <c r="E271" s="187">
        <v>10</v>
      </c>
      <c r="F271" s="187" t="s">
        <v>421</v>
      </c>
      <c r="G271" s="187" t="s">
        <v>382</v>
      </c>
      <c r="H271" s="187" t="s">
        <v>404</v>
      </c>
      <c r="I271" s="187" t="s">
        <v>415</v>
      </c>
      <c r="J271" s="187">
        <v>29.762969999999999</v>
      </c>
      <c r="K271" s="187">
        <v>-95.606200000000001</v>
      </c>
      <c r="L271" s="187" t="s">
        <v>385</v>
      </c>
      <c r="M271" s="187" t="s">
        <v>386</v>
      </c>
      <c r="N271" s="187" t="s">
        <v>425</v>
      </c>
      <c r="O271" s="187" t="s">
        <v>431</v>
      </c>
      <c r="P271" s="187" t="s">
        <v>389</v>
      </c>
      <c r="Q271" s="187" t="s">
        <v>102</v>
      </c>
      <c r="R271" s="187" t="s">
        <v>449</v>
      </c>
      <c r="S271" s="187">
        <v>0</v>
      </c>
      <c r="T271" s="187">
        <v>0</v>
      </c>
      <c r="U271" s="187">
        <v>0</v>
      </c>
      <c r="V271" s="187">
        <v>0</v>
      </c>
      <c r="W271" s="187">
        <v>0</v>
      </c>
      <c r="X271" s="187">
        <v>1</v>
      </c>
      <c r="Y271" s="187">
        <v>0</v>
      </c>
      <c r="Z271" s="187">
        <v>0</v>
      </c>
      <c r="AA271" s="187">
        <v>0</v>
      </c>
      <c r="AB271" s="187">
        <v>0</v>
      </c>
      <c r="AC271" s="187">
        <v>0</v>
      </c>
      <c r="AD271" s="187">
        <v>1</v>
      </c>
      <c r="AE271" s="187">
        <v>0</v>
      </c>
      <c r="AF271" s="187">
        <v>0</v>
      </c>
      <c r="AG271" s="187">
        <v>0</v>
      </c>
      <c r="AH271" s="187">
        <v>0</v>
      </c>
      <c r="AI271" s="187">
        <v>0</v>
      </c>
      <c r="AJ271" s="187">
        <v>0</v>
      </c>
      <c r="AK271" s="187">
        <v>0</v>
      </c>
      <c r="AL271" s="187">
        <v>0</v>
      </c>
      <c r="AM271" s="187">
        <v>0</v>
      </c>
      <c r="AN271" s="187">
        <v>0</v>
      </c>
      <c r="AO271" s="187">
        <v>0</v>
      </c>
      <c r="AP271" s="187">
        <v>0</v>
      </c>
      <c r="AQ271" s="187">
        <v>0</v>
      </c>
      <c r="AR271" s="187">
        <v>0</v>
      </c>
      <c r="AS271" s="187">
        <v>0</v>
      </c>
      <c r="AT271" s="187">
        <v>0</v>
      </c>
      <c r="AU271" s="187" t="s">
        <v>52</v>
      </c>
      <c r="AV271" s="187" t="s">
        <v>391</v>
      </c>
      <c r="AW271" s="187" t="s">
        <v>392</v>
      </c>
      <c r="AX271" s="187" t="s">
        <v>393</v>
      </c>
      <c r="AY271" s="187">
        <v>77079</v>
      </c>
      <c r="AZ271" s="188">
        <v>48200000000</v>
      </c>
      <c r="BA271" s="187" t="s">
        <v>394</v>
      </c>
      <c r="BB271" s="187" t="s">
        <v>395</v>
      </c>
      <c r="BC271" s="187">
        <v>161590</v>
      </c>
      <c r="BD271" s="187">
        <v>2990</v>
      </c>
      <c r="BE271" s="187" t="s">
        <v>396</v>
      </c>
      <c r="BF271" s="187" t="s">
        <v>396</v>
      </c>
      <c r="BG271" s="187" t="s">
        <v>396</v>
      </c>
    </row>
    <row r="272" spans="1:59">
      <c r="A272" s="187">
        <v>740898</v>
      </c>
      <c r="B272" s="187">
        <v>19296491</v>
      </c>
      <c r="C272" s="187">
        <v>2022</v>
      </c>
      <c r="D272" s="187" t="s">
        <v>380</v>
      </c>
      <c r="E272" s="187">
        <v>23</v>
      </c>
      <c r="F272" s="187" t="s">
        <v>429</v>
      </c>
      <c r="G272" s="187" t="s">
        <v>382</v>
      </c>
      <c r="H272" s="187" t="s">
        <v>383</v>
      </c>
      <c r="I272" s="187" t="s">
        <v>415</v>
      </c>
      <c r="J272" s="187">
        <v>29.753969999999999</v>
      </c>
      <c r="K272" s="187">
        <v>-95.606200000000001</v>
      </c>
      <c r="L272" s="187" t="s">
        <v>385</v>
      </c>
      <c r="M272" s="187" t="s">
        <v>400</v>
      </c>
      <c r="N272" s="187" t="s">
        <v>401</v>
      </c>
      <c r="O272" s="187" t="s">
        <v>388</v>
      </c>
      <c r="P272" s="187" t="s">
        <v>389</v>
      </c>
      <c r="Q272" s="187" t="s">
        <v>103</v>
      </c>
      <c r="R272" s="187" t="s">
        <v>410</v>
      </c>
      <c r="S272" s="187">
        <v>0</v>
      </c>
      <c r="T272" s="187">
        <v>0</v>
      </c>
      <c r="U272" s="187">
        <v>0</v>
      </c>
      <c r="V272" s="187">
        <v>0</v>
      </c>
      <c r="W272" s="187">
        <v>0</v>
      </c>
      <c r="X272" s="187">
        <v>3</v>
      </c>
      <c r="Y272" s="187">
        <v>0</v>
      </c>
      <c r="Z272" s="187">
        <v>0</v>
      </c>
      <c r="AA272" s="187">
        <v>0</v>
      </c>
      <c r="AB272" s="187">
        <v>0</v>
      </c>
      <c r="AC272" s="187">
        <v>0</v>
      </c>
      <c r="AD272" s="187">
        <v>3</v>
      </c>
      <c r="AE272" s="187">
        <v>0</v>
      </c>
      <c r="AF272" s="187">
        <v>0</v>
      </c>
      <c r="AG272" s="187">
        <v>0</v>
      </c>
      <c r="AH272" s="187">
        <v>0</v>
      </c>
      <c r="AI272" s="187">
        <v>0</v>
      </c>
      <c r="AJ272" s="187">
        <v>0</v>
      </c>
      <c r="AK272" s="187">
        <v>0</v>
      </c>
      <c r="AL272" s="187">
        <v>0</v>
      </c>
      <c r="AM272" s="187">
        <v>0</v>
      </c>
      <c r="AN272" s="187">
        <v>0</v>
      </c>
      <c r="AO272" s="187">
        <v>0</v>
      </c>
      <c r="AP272" s="187">
        <v>0</v>
      </c>
      <c r="AQ272" s="187">
        <v>0</v>
      </c>
      <c r="AR272" s="187">
        <v>0</v>
      </c>
      <c r="AS272" s="187">
        <v>0</v>
      </c>
      <c r="AT272" s="187">
        <v>0</v>
      </c>
      <c r="AU272" s="187" t="s">
        <v>52</v>
      </c>
      <c r="AV272" s="187" t="s">
        <v>391</v>
      </c>
      <c r="AW272" s="187" t="s">
        <v>392</v>
      </c>
      <c r="AX272" s="187" t="s">
        <v>393</v>
      </c>
      <c r="AY272" s="187">
        <v>77077</v>
      </c>
      <c r="AZ272" s="188">
        <v>48200000000</v>
      </c>
      <c r="BA272" s="187" t="s">
        <v>394</v>
      </c>
      <c r="BB272" s="187" t="s">
        <v>395</v>
      </c>
      <c r="BC272" s="187">
        <v>161370</v>
      </c>
      <c r="BD272" s="187">
        <v>2990</v>
      </c>
      <c r="BE272" s="187" t="s">
        <v>396</v>
      </c>
      <c r="BF272" s="187" t="s">
        <v>396</v>
      </c>
      <c r="BG272" s="187" t="s">
        <v>396</v>
      </c>
    </row>
    <row r="273" spans="1:59">
      <c r="A273" s="187">
        <v>743804</v>
      </c>
      <c r="B273" s="187">
        <v>19307896</v>
      </c>
      <c r="C273" s="187">
        <v>2022</v>
      </c>
      <c r="D273" s="187" t="s">
        <v>380</v>
      </c>
      <c r="E273" s="187">
        <v>18</v>
      </c>
      <c r="F273" s="187" t="s">
        <v>381</v>
      </c>
      <c r="G273" s="187" t="s">
        <v>382</v>
      </c>
      <c r="H273" s="187" t="s">
        <v>468</v>
      </c>
      <c r="I273" s="187" t="s">
        <v>415</v>
      </c>
      <c r="J273" s="187">
        <v>29.753830000000001</v>
      </c>
      <c r="K273" s="187">
        <v>-95.606200000000001</v>
      </c>
      <c r="L273" s="187" t="s">
        <v>385</v>
      </c>
      <c r="M273" s="187" t="s">
        <v>400</v>
      </c>
      <c r="N273" s="187" t="s">
        <v>418</v>
      </c>
      <c r="O273" s="187" t="s">
        <v>388</v>
      </c>
      <c r="P273" s="187" t="s">
        <v>389</v>
      </c>
      <c r="Q273" s="187" t="s">
        <v>105</v>
      </c>
      <c r="R273" s="187" t="s">
        <v>444</v>
      </c>
      <c r="S273" s="187">
        <v>0</v>
      </c>
      <c r="T273" s="187">
        <v>0</v>
      </c>
      <c r="U273" s="187">
        <v>0</v>
      </c>
      <c r="V273" s="187">
        <v>0</v>
      </c>
      <c r="W273" s="187">
        <v>0</v>
      </c>
      <c r="X273" s="187">
        <v>1</v>
      </c>
      <c r="Y273" s="187">
        <v>1</v>
      </c>
      <c r="Z273" s="187">
        <v>0</v>
      </c>
      <c r="AA273" s="187">
        <v>0</v>
      </c>
      <c r="AB273" s="187">
        <v>0</v>
      </c>
      <c r="AC273" s="187">
        <v>0</v>
      </c>
      <c r="AD273" s="187">
        <v>1</v>
      </c>
      <c r="AE273" s="187">
        <v>0</v>
      </c>
      <c r="AF273" s="187">
        <v>1</v>
      </c>
      <c r="AG273" s="187">
        <v>0</v>
      </c>
      <c r="AH273" s="187">
        <v>0</v>
      </c>
      <c r="AI273" s="187">
        <v>0</v>
      </c>
      <c r="AJ273" s="187">
        <v>0</v>
      </c>
      <c r="AK273" s="187">
        <v>0</v>
      </c>
      <c r="AL273" s="187">
        <v>0</v>
      </c>
      <c r="AM273" s="187">
        <v>0</v>
      </c>
      <c r="AN273" s="187">
        <v>0</v>
      </c>
      <c r="AO273" s="187">
        <v>0</v>
      </c>
      <c r="AP273" s="187">
        <v>0</v>
      </c>
      <c r="AQ273" s="187">
        <v>0</v>
      </c>
      <c r="AR273" s="187">
        <v>0</v>
      </c>
      <c r="AS273" s="187">
        <v>0</v>
      </c>
      <c r="AT273" s="187">
        <v>0</v>
      </c>
      <c r="AU273" s="187" t="s">
        <v>52</v>
      </c>
      <c r="AV273" s="187" t="s">
        <v>391</v>
      </c>
      <c r="AW273" s="187" t="s">
        <v>392</v>
      </c>
      <c r="AX273" s="187" t="s">
        <v>393</v>
      </c>
      <c r="AY273" s="187">
        <v>77077</v>
      </c>
      <c r="AZ273" s="188">
        <v>48200000000</v>
      </c>
      <c r="BA273" s="187" t="s">
        <v>394</v>
      </c>
      <c r="BB273" s="187" t="s">
        <v>395</v>
      </c>
      <c r="BC273" s="187">
        <v>161370</v>
      </c>
      <c r="BD273" s="187">
        <v>2990</v>
      </c>
      <c r="BE273" s="187" t="s">
        <v>396</v>
      </c>
      <c r="BF273" s="187" t="s">
        <v>396</v>
      </c>
      <c r="BG273" s="187" t="s">
        <v>396</v>
      </c>
    </row>
    <row r="1328" ht="13.9" customHeight="1"/>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D76C5-3492-4D4E-B6C2-948F0113998F}">
  <sheetPr>
    <tabColor theme="8"/>
  </sheetPr>
  <dimension ref="A1:AC307"/>
  <sheetViews>
    <sheetView topLeftCell="H1" workbookViewId="0">
      <selection activeCell="X2" sqref="X2:AA13"/>
    </sheetView>
  </sheetViews>
  <sheetFormatPr defaultRowHeight="15"/>
  <sheetData>
    <row r="1" spans="1:29" s="1" customFormat="1">
      <c r="A1" s="190" t="s">
        <v>322</v>
      </c>
      <c r="B1" s="190" t="s">
        <v>375</v>
      </c>
      <c r="C1" s="190" t="s">
        <v>485</v>
      </c>
      <c r="D1" s="190" t="s">
        <v>486</v>
      </c>
      <c r="E1" s="190" t="s">
        <v>487</v>
      </c>
      <c r="F1" s="190" t="s">
        <v>488</v>
      </c>
      <c r="G1" s="190" t="s">
        <v>489</v>
      </c>
      <c r="H1" s="190" t="s">
        <v>490</v>
      </c>
      <c r="I1" s="190" t="s">
        <v>491</v>
      </c>
      <c r="J1" s="190" t="s">
        <v>492</v>
      </c>
      <c r="K1" s="190" t="s">
        <v>117</v>
      </c>
      <c r="L1" s="190" t="s">
        <v>493</v>
      </c>
      <c r="M1" s="190" t="s">
        <v>494</v>
      </c>
      <c r="N1" s="190" t="s">
        <v>495</v>
      </c>
      <c r="O1" s="190" t="s">
        <v>496</v>
      </c>
      <c r="P1" s="190" t="s">
        <v>497</v>
      </c>
      <c r="Q1" s="190" t="s">
        <v>498</v>
      </c>
      <c r="R1" s="190" t="s">
        <v>499</v>
      </c>
      <c r="S1" s="190" t="s">
        <v>500</v>
      </c>
      <c r="T1" s="190" t="s">
        <v>501</v>
      </c>
      <c r="U1" s="190" t="s">
        <v>502</v>
      </c>
      <c r="V1" s="190" t="s">
        <v>503</v>
      </c>
      <c r="W1" s="190" t="s">
        <v>504</v>
      </c>
      <c r="X1" s="190" t="s">
        <v>505</v>
      </c>
      <c r="Y1" s="190" t="s">
        <v>506</v>
      </c>
      <c r="Z1" s="190" t="s">
        <v>507</v>
      </c>
      <c r="AA1" s="190" t="s">
        <v>508</v>
      </c>
      <c r="AB1" s="190"/>
      <c r="AC1" s="190"/>
    </row>
    <row r="2" spans="1:29">
      <c r="A2" s="190">
        <v>7914</v>
      </c>
      <c r="B2" s="190">
        <v>161370</v>
      </c>
      <c r="C2" s="190">
        <v>0.94662299999999999</v>
      </c>
      <c r="D2" s="190">
        <v>3.5370000000000002E-3</v>
      </c>
      <c r="E2" s="190">
        <v>4.9840000000000002E-2</v>
      </c>
      <c r="F2" s="190">
        <v>0</v>
      </c>
      <c r="G2" s="190">
        <v>41.533624292765602</v>
      </c>
      <c r="H2" s="190">
        <v>41.533624292765602</v>
      </c>
      <c r="I2" s="190">
        <v>7428.66001398346</v>
      </c>
      <c r="J2" s="190">
        <v>3982633.5753405802</v>
      </c>
      <c r="K2" s="190">
        <v>498</v>
      </c>
      <c r="L2" s="190">
        <v>471</v>
      </c>
      <c r="M2" s="190">
        <v>2</v>
      </c>
      <c r="N2" s="190">
        <v>25</v>
      </c>
      <c r="O2" s="190">
        <v>17</v>
      </c>
      <c r="P2" s="190">
        <v>25</v>
      </c>
      <c r="Q2" s="190">
        <v>20</v>
      </c>
      <c r="R2" s="190">
        <v>7</v>
      </c>
      <c r="S2" s="190">
        <v>6</v>
      </c>
      <c r="T2" s="190">
        <v>7</v>
      </c>
      <c r="U2" s="190">
        <v>11</v>
      </c>
      <c r="V2" s="190">
        <v>0</v>
      </c>
      <c r="W2" s="190">
        <v>9</v>
      </c>
      <c r="X2" s="190">
        <v>14</v>
      </c>
      <c r="Y2" s="190">
        <v>22</v>
      </c>
      <c r="Z2" s="190">
        <v>0</v>
      </c>
      <c r="AA2" s="190">
        <v>18</v>
      </c>
      <c r="AB2" s="190"/>
      <c r="AC2" s="190"/>
    </row>
    <row r="3" spans="1:29">
      <c r="A3" s="190">
        <v>7994</v>
      </c>
      <c r="B3" s="190">
        <v>161810</v>
      </c>
      <c r="C3" s="190">
        <v>0.95592756851184801</v>
      </c>
      <c r="D3" s="190">
        <v>4.4072E-2</v>
      </c>
      <c r="E3" s="190">
        <v>0</v>
      </c>
      <c r="F3" s="190">
        <v>14.6480502696282</v>
      </c>
      <c r="G3" s="190">
        <v>0</v>
      </c>
      <c r="H3" s="190">
        <v>14.6480502696282</v>
      </c>
      <c r="I3" s="190">
        <v>7428.6600833069997</v>
      </c>
      <c r="J3" s="190">
        <v>3982633.6496716901</v>
      </c>
      <c r="K3" s="190">
        <v>469</v>
      </c>
      <c r="L3" s="190">
        <v>449</v>
      </c>
      <c r="M3" s="190">
        <v>21</v>
      </c>
      <c r="N3" s="190">
        <v>0</v>
      </c>
      <c r="O3" s="190">
        <v>34</v>
      </c>
      <c r="P3" s="190">
        <v>18</v>
      </c>
      <c r="Q3" s="190">
        <v>33</v>
      </c>
      <c r="R3" s="190">
        <v>9</v>
      </c>
      <c r="S3" s="190">
        <v>7</v>
      </c>
      <c r="T3" s="190">
        <v>8</v>
      </c>
      <c r="U3" s="190">
        <v>15</v>
      </c>
      <c r="V3" s="190">
        <v>8</v>
      </c>
      <c r="W3" s="190">
        <v>0</v>
      </c>
      <c r="X3" s="190">
        <v>16</v>
      </c>
      <c r="Y3" s="190">
        <v>30</v>
      </c>
      <c r="Z3" s="190">
        <v>16</v>
      </c>
      <c r="AA3" s="190">
        <v>0</v>
      </c>
      <c r="AB3" s="190"/>
      <c r="AC3" s="190"/>
    </row>
    <row r="4" spans="1:29">
      <c r="A4" s="190">
        <v>36878</v>
      </c>
      <c r="B4" s="190">
        <v>56210</v>
      </c>
      <c r="C4" s="190">
        <v>0.89045387661059405</v>
      </c>
      <c r="D4" s="190">
        <v>9.8821000000000006E-2</v>
      </c>
      <c r="E4" s="190">
        <v>1.0725425240883E-2</v>
      </c>
      <c r="F4" s="190">
        <v>3.21294438526016</v>
      </c>
      <c r="G4" s="190">
        <v>0</v>
      </c>
      <c r="H4" s="190">
        <v>3.21294438526016</v>
      </c>
      <c r="I4" s="190">
        <v>7428.6597304325996</v>
      </c>
      <c r="J4" s="190">
        <v>3982633.2713075099</v>
      </c>
      <c r="K4" s="190">
        <v>410</v>
      </c>
      <c r="L4" s="190">
        <v>365</v>
      </c>
      <c r="M4" s="190">
        <v>41</v>
      </c>
      <c r="N4" s="190">
        <v>5</v>
      </c>
      <c r="O4" s="190">
        <v>28</v>
      </c>
      <c r="P4" s="190">
        <v>14</v>
      </c>
      <c r="Q4" s="190">
        <v>11</v>
      </c>
      <c r="R4" s="190">
        <v>8</v>
      </c>
      <c r="S4" s="190">
        <v>6</v>
      </c>
      <c r="T4" s="190">
        <v>7</v>
      </c>
      <c r="U4" s="190">
        <v>10</v>
      </c>
      <c r="V4" s="190">
        <v>2</v>
      </c>
      <c r="W4" s="190">
        <v>0</v>
      </c>
      <c r="X4" s="190">
        <v>14</v>
      </c>
      <c r="Y4" s="190">
        <v>20</v>
      </c>
      <c r="Z4" s="190">
        <v>4</v>
      </c>
      <c r="AA4" s="190">
        <v>0</v>
      </c>
      <c r="AB4" s="190"/>
      <c r="AC4" s="190"/>
    </row>
    <row r="5" spans="1:29">
      <c r="A5" s="190">
        <v>36882</v>
      </c>
      <c r="B5" s="190">
        <v>161590</v>
      </c>
      <c r="C5" s="190">
        <v>0.93976551059559199</v>
      </c>
      <c r="D5" s="190">
        <v>3.2197000000000003E-2</v>
      </c>
      <c r="E5" s="190">
        <v>2.8037235123537799E-2</v>
      </c>
      <c r="F5" s="190">
        <v>0</v>
      </c>
      <c r="G5" s="190">
        <v>0</v>
      </c>
      <c r="H5" s="190">
        <v>0</v>
      </c>
      <c r="I5" s="190">
        <v>7428.66</v>
      </c>
      <c r="J5" s="190">
        <v>3982633.4941186202</v>
      </c>
      <c r="K5" s="190">
        <v>188</v>
      </c>
      <c r="L5" s="190">
        <v>177</v>
      </c>
      <c r="M5" s="190">
        <v>7</v>
      </c>
      <c r="N5" s="190">
        <v>6</v>
      </c>
      <c r="O5" s="190">
        <v>14</v>
      </c>
      <c r="P5" s="190">
        <v>6</v>
      </c>
      <c r="Q5" s="190">
        <v>11</v>
      </c>
      <c r="R5" s="190">
        <v>4</v>
      </c>
      <c r="S5" s="190">
        <v>2</v>
      </c>
      <c r="T5" s="190">
        <v>3</v>
      </c>
      <c r="U5" s="190">
        <v>6</v>
      </c>
      <c r="V5" s="190">
        <v>0</v>
      </c>
      <c r="W5" s="190">
        <v>0</v>
      </c>
      <c r="X5" s="190">
        <v>6</v>
      </c>
      <c r="Y5" s="190">
        <v>12</v>
      </c>
      <c r="Z5" s="190">
        <v>0</v>
      </c>
      <c r="AA5" s="190">
        <v>0</v>
      </c>
      <c r="AB5" s="190"/>
      <c r="AC5" s="190"/>
    </row>
    <row r="6" spans="1:29">
      <c r="A6" s="190">
        <v>36883</v>
      </c>
      <c r="B6" s="190">
        <v>161150</v>
      </c>
      <c r="C6" s="190">
        <v>0.98837970575955403</v>
      </c>
      <c r="D6" s="190">
        <v>8.2380000000000005E-3</v>
      </c>
      <c r="E6" s="190">
        <v>3.382E-3</v>
      </c>
      <c r="F6" s="190">
        <v>9.4701687096634792</v>
      </c>
      <c r="G6" s="190">
        <v>37.016137264638502</v>
      </c>
      <c r="H6" s="190">
        <v>46.486305974301999</v>
      </c>
      <c r="I6" s="190">
        <v>7428.6600834890996</v>
      </c>
      <c r="J6" s="190">
        <v>3982633.64986694</v>
      </c>
      <c r="K6" s="190">
        <v>428</v>
      </c>
      <c r="L6" s="190">
        <v>423</v>
      </c>
      <c r="M6" s="190">
        <v>4</v>
      </c>
      <c r="N6" s="190">
        <v>2</v>
      </c>
      <c r="O6" s="190">
        <v>18</v>
      </c>
      <c r="P6" s="190">
        <v>34</v>
      </c>
      <c r="Q6" s="190">
        <v>12</v>
      </c>
      <c r="R6" s="190">
        <v>6</v>
      </c>
      <c r="S6" s="190">
        <v>11</v>
      </c>
      <c r="T6" s="190">
        <v>8</v>
      </c>
      <c r="U6" s="190">
        <v>11</v>
      </c>
      <c r="V6" s="190">
        <v>7</v>
      </c>
      <c r="W6" s="190">
        <v>8</v>
      </c>
      <c r="X6" s="190">
        <v>16</v>
      </c>
      <c r="Y6" s="190">
        <v>22</v>
      </c>
      <c r="Z6" s="190">
        <v>14</v>
      </c>
      <c r="AA6" s="190">
        <v>16</v>
      </c>
      <c r="AB6" s="190"/>
      <c r="AC6" s="190"/>
    </row>
    <row r="7" spans="1:29">
      <c r="A7" s="190">
        <v>36884</v>
      </c>
      <c r="B7" s="190">
        <v>56211</v>
      </c>
      <c r="C7" s="190">
        <v>0.96673596673596596</v>
      </c>
      <c r="D7" s="190">
        <v>3.3264033264033203E-2</v>
      </c>
      <c r="E7" s="190">
        <v>0</v>
      </c>
      <c r="F7" s="190">
        <v>6.1297839997317896</v>
      </c>
      <c r="G7" s="190">
        <v>0</v>
      </c>
      <c r="H7" s="190">
        <v>6.1297839997317896</v>
      </c>
      <c r="I7" s="190">
        <v>7428.6601558011498</v>
      </c>
      <c r="J7" s="190">
        <v>3982633.72740243</v>
      </c>
      <c r="K7" s="190">
        <v>187</v>
      </c>
      <c r="L7" s="190">
        <v>181</v>
      </c>
      <c r="M7" s="190">
        <v>7</v>
      </c>
      <c r="N7" s="190">
        <v>0</v>
      </c>
      <c r="O7" s="190">
        <v>13</v>
      </c>
      <c r="P7" s="190">
        <v>10</v>
      </c>
      <c r="Q7" s="190">
        <v>10</v>
      </c>
      <c r="R7" s="190">
        <v>3</v>
      </c>
      <c r="S7" s="190">
        <v>7</v>
      </c>
      <c r="T7" s="190">
        <v>5</v>
      </c>
      <c r="U7" s="190">
        <v>6</v>
      </c>
      <c r="V7" s="190">
        <v>5</v>
      </c>
      <c r="W7" s="190">
        <v>0</v>
      </c>
      <c r="X7" s="190">
        <v>10</v>
      </c>
      <c r="Y7" s="190">
        <v>12</v>
      </c>
      <c r="Z7" s="190">
        <v>10</v>
      </c>
      <c r="AA7" s="190">
        <v>0</v>
      </c>
      <c r="AB7" s="190"/>
      <c r="AC7" s="190"/>
    </row>
    <row r="8" spans="1:29">
      <c r="A8" s="190">
        <v>36885</v>
      </c>
      <c r="B8" s="190">
        <v>55991</v>
      </c>
      <c r="C8" s="190">
        <v>0.935374263622334</v>
      </c>
      <c r="D8" s="190">
        <v>6.4626000000000003E-2</v>
      </c>
      <c r="E8" s="190">
        <v>0</v>
      </c>
      <c r="F8" s="190">
        <v>4.9331883240197003</v>
      </c>
      <c r="G8" s="190">
        <v>0</v>
      </c>
      <c r="H8" s="190">
        <v>4.9331883240197003</v>
      </c>
      <c r="I8" s="190">
        <v>7428.6601895449503</v>
      </c>
      <c r="J8" s="190">
        <v>3982633.76358371</v>
      </c>
      <c r="K8" s="190">
        <v>171</v>
      </c>
      <c r="L8" s="190">
        <v>160</v>
      </c>
      <c r="M8" s="190">
        <v>12</v>
      </c>
      <c r="N8" s="190">
        <v>0</v>
      </c>
      <c r="O8" s="190">
        <v>11</v>
      </c>
      <c r="P8" s="190">
        <v>18</v>
      </c>
      <c r="Q8" s="190">
        <v>7</v>
      </c>
      <c r="R8" s="190">
        <v>2</v>
      </c>
      <c r="S8" s="190">
        <v>4</v>
      </c>
      <c r="T8" s="190">
        <v>3</v>
      </c>
      <c r="U8" s="190">
        <v>6</v>
      </c>
      <c r="V8" s="190">
        <v>3</v>
      </c>
      <c r="W8" s="190">
        <v>0</v>
      </c>
      <c r="X8" s="190">
        <v>6</v>
      </c>
      <c r="Y8" s="190">
        <v>12</v>
      </c>
      <c r="Z8" s="190">
        <v>6</v>
      </c>
      <c r="AA8" s="190">
        <v>0</v>
      </c>
      <c r="AB8" s="190"/>
      <c r="AC8" s="190"/>
    </row>
    <row r="9" spans="1:29">
      <c r="A9" s="190">
        <v>37575</v>
      </c>
      <c r="B9" s="190">
        <v>162030</v>
      </c>
      <c r="C9" s="190">
        <v>0.99121302078906903</v>
      </c>
      <c r="D9" s="190">
        <v>8.7869999999999997E-3</v>
      </c>
      <c r="E9" s="190">
        <v>0</v>
      </c>
      <c r="F9" s="190">
        <v>5.2553169221605103</v>
      </c>
      <c r="G9" s="190">
        <v>18.585826510434799</v>
      </c>
      <c r="H9" s="190">
        <v>23.841143432595299</v>
      </c>
      <c r="I9" s="190">
        <v>7428.66001398346</v>
      </c>
      <c r="J9" s="190">
        <v>3982633.5753405802</v>
      </c>
      <c r="K9" s="190">
        <v>222</v>
      </c>
      <c r="L9" s="190">
        <v>220</v>
      </c>
      <c r="M9" s="190">
        <v>2</v>
      </c>
      <c r="N9" s="190">
        <v>0</v>
      </c>
      <c r="O9" s="190">
        <v>15</v>
      </c>
      <c r="P9" s="190">
        <v>9</v>
      </c>
      <c r="Q9" s="190">
        <v>10</v>
      </c>
      <c r="R9" s="190">
        <v>3</v>
      </c>
      <c r="S9" s="190">
        <v>3</v>
      </c>
      <c r="T9" s="190">
        <v>3</v>
      </c>
      <c r="U9" s="190">
        <v>6</v>
      </c>
      <c r="V9" s="190">
        <v>3</v>
      </c>
      <c r="W9" s="190">
        <v>4</v>
      </c>
      <c r="X9" s="190">
        <v>6</v>
      </c>
      <c r="Y9" s="190">
        <v>12</v>
      </c>
      <c r="Z9" s="190">
        <v>6</v>
      </c>
      <c r="AA9" s="190">
        <v>8</v>
      </c>
      <c r="AB9" s="190"/>
      <c r="AC9" s="190"/>
    </row>
    <row r="10" spans="1:29">
      <c r="A10" s="190">
        <v>37576</v>
      </c>
      <c r="B10" s="190">
        <v>56651</v>
      </c>
      <c r="C10" s="190">
        <v>0.96848374735367904</v>
      </c>
      <c r="D10" s="190">
        <v>1.46169174776874E-2</v>
      </c>
      <c r="E10" s="190">
        <v>1.68993351686328E-2</v>
      </c>
      <c r="F10" s="190">
        <v>0</v>
      </c>
      <c r="G10" s="190">
        <v>34.648060224600997</v>
      </c>
      <c r="H10" s="190">
        <v>34.648060224600997</v>
      </c>
      <c r="I10" s="190">
        <v>7428.6602947315396</v>
      </c>
      <c r="J10" s="190">
        <v>3982633.8763684202</v>
      </c>
      <c r="K10" s="190">
        <v>638</v>
      </c>
      <c r="L10" s="190">
        <v>618</v>
      </c>
      <c r="M10" s="190">
        <v>10</v>
      </c>
      <c r="N10" s="190">
        <v>11</v>
      </c>
      <c r="O10" s="190">
        <v>37</v>
      </c>
      <c r="P10" s="190">
        <v>28</v>
      </c>
      <c r="Q10" s="190">
        <v>30</v>
      </c>
      <c r="R10" s="190">
        <v>9</v>
      </c>
      <c r="S10" s="190">
        <v>11</v>
      </c>
      <c r="T10" s="190">
        <v>10</v>
      </c>
      <c r="U10" s="190">
        <v>17</v>
      </c>
      <c r="V10" s="190">
        <v>0</v>
      </c>
      <c r="W10" s="190">
        <v>7</v>
      </c>
      <c r="X10" s="190">
        <v>20</v>
      </c>
      <c r="Y10" s="190">
        <v>34</v>
      </c>
      <c r="Z10" s="190">
        <v>0</v>
      </c>
      <c r="AA10" s="190">
        <v>14</v>
      </c>
      <c r="AB10" s="190"/>
      <c r="AC10" s="190"/>
    </row>
    <row r="11" spans="1:29">
      <c r="A11" s="190">
        <v>37577</v>
      </c>
      <c r="B11" s="190">
        <v>56431</v>
      </c>
      <c r="C11" s="190">
        <v>0.98204800000000003</v>
      </c>
      <c r="D11" s="190">
        <v>1.7951759918485799E-2</v>
      </c>
      <c r="E11" s="190">
        <v>0</v>
      </c>
      <c r="F11" s="190">
        <v>6.8181060000000002</v>
      </c>
      <c r="G11" s="190">
        <v>13.645339173064</v>
      </c>
      <c r="H11" s="190">
        <v>20.463445075478599</v>
      </c>
      <c r="I11" s="190">
        <v>7428.6602303927302</v>
      </c>
      <c r="J11" s="190">
        <v>3982633.8073821198</v>
      </c>
      <c r="K11" s="190">
        <v>177</v>
      </c>
      <c r="L11" s="190">
        <v>174</v>
      </c>
      <c r="M11" s="190">
        <v>4</v>
      </c>
      <c r="N11" s="190">
        <v>0</v>
      </c>
      <c r="O11" s="190">
        <v>11</v>
      </c>
      <c r="P11" s="190">
        <v>11</v>
      </c>
      <c r="Q11" s="190">
        <v>15</v>
      </c>
      <c r="R11" s="190">
        <v>6</v>
      </c>
      <c r="S11" s="190">
        <v>2</v>
      </c>
      <c r="T11" s="190">
        <v>4</v>
      </c>
      <c r="U11" s="190">
        <v>7</v>
      </c>
      <c r="V11" s="190">
        <v>4</v>
      </c>
      <c r="W11" s="190">
        <v>3</v>
      </c>
      <c r="X11" s="190">
        <v>8</v>
      </c>
      <c r="Y11" s="190">
        <v>14</v>
      </c>
      <c r="Z11" s="190">
        <v>8</v>
      </c>
      <c r="AA11" s="190">
        <v>6</v>
      </c>
      <c r="AB11" s="190"/>
      <c r="AC11" s="190"/>
    </row>
    <row r="12" spans="1:29">
      <c r="A12" s="190">
        <v>37579</v>
      </c>
      <c r="B12" s="190">
        <v>56650</v>
      </c>
      <c r="C12" s="190">
        <v>0.92590075918062997</v>
      </c>
      <c r="D12" s="190">
        <v>3.6472999999999998E-2</v>
      </c>
      <c r="E12" s="190">
        <v>3.7626E-2</v>
      </c>
      <c r="F12" s="190">
        <v>0</v>
      </c>
      <c r="G12" s="190">
        <v>0</v>
      </c>
      <c r="H12" s="190">
        <v>0</v>
      </c>
      <c r="I12" s="190">
        <v>7428.6598712479799</v>
      </c>
      <c r="J12" s="190">
        <v>3982633.42229464</v>
      </c>
      <c r="K12" s="190">
        <v>596</v>
      </c>
      <c r="L12" s="190">
        <v>552</v>
      </c>
      <c r="M12" s="190">
        <v>22</v>
      </c>
      <c r="N12" s="190">
        <v>23</v>
      </c>
      <c r="O12" s="190">
        <v>40</v>
      </c>
      <c r="P12" s="190">
        <v>11</v>
      </c>
      <c r="Q12" s="190">
        <v>26</v>
      </c>
      <c r="R12" s="190">
        <v>8</v>
      </c>
      <c r="S12" s="190">
        <v>8</v>
      </c>
      <c r="T12" s="190">
        <v>8</v>
      </c>
      <c r="U12" s="190">
        <v>14</v>
      </c>
      <c r="V12" s="190">
        <v>0</v>
      </c>
      <c r="W12" s="190">
        <v>0</v>
      </c>
      <c r="X12" s="190">
        <v>16</v>
      </c>
      <c r="Y12" s="190">
        <v>28</v>
      </c>
      <c r="Z12" s="190">
        <v>0</v>
      </c>
      <c r="AA12" s="190">
        <v>0</v>
      </c>
      <c r="AB12" s="190"/>
      <c r="AC12" s="190"/>
    </row>
    <row r="13" spans="1:29">
      <c r="A13" s="190">
        <v>37581</v>
      </c>
      <c r="B13" s="190">
        <v>56430</v>
      </c>
      <c r="C13" s="190">
        <v>0.97000656623688797</v>
      </c>
      <c r="D13" s="190">
        <v>2.9992999999999999E-2</v>
      </c>
      <c r="E13" s="190">
        <v>0</v>
      </c>
      <c r="F13" s="190">
        <v>7.59595760487713</v>
      </c>
      <c r="G13" s="190">
        <v>0</v>
      </c>
      <c r="H13" s="190">
        <v>7.59595760487713</v>
      </c>
      <c r="I13" s="190">
        <v>7428.6598011722299</v>
      </c>
      <c r="J13" s="190">
        <v>3982633.3471569899</v>
      </c>
      <c r="K13" s="190">
        <v>302</v>
      </c>
      <c r="L13" s="190">
        <v>293</v>
      </c>
      <c r="M13" s="190">
        <v>10</v>
      </c>
      <c r="N13" s="190">
        <v>0</v>
      </c>
      <c r="O13" s="190">
        <v>19</v>
      </c>
      <c r="P13" s="190">
        <v>6</v>
      </c>
      <c r="Q13" s="190">
        <v>17</v>
      </c>
      <c r="R13" s="190">
        <v>6</v>
      </c>
      <c r="S13" s="190">
        <v>3</v>
      </c>
      <c r="T13" s="190">
        <v>4</v>
      </c>
      <c r="U13" s="190">
        <v>7</v>
      </c>
      <c r="V13" s="190">
        <v>4</v>
      </c>
      <c r="W13" s="190">
        <v>0</v>
      </c>
      <c r="X13" s="190">
        <v>8</v>
      </c>
      <c r="Y13" s="190">
        <v>14</v>
      </c>
      <c r="Z13" s="190">
        <v>8</v>
      </c>
      <c r="AA13" s="190">
        <v>0</v>
      </c>
      <c r="AB13" s="190"/>
      <c r="AC13" s="190"/>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972EB-3BFE-4F08-BD90-1F48BDC8A715}">
  <dimension ref="B2:M16"/>
  <sheetViews>
    <sheetView workbookViewId="0">
      <selection activeCell="C2" sqref="C2"/>
    </sheetView>
  </sheetViews>
  <sheetFormatPr defaultRowHeight="15"/>
  <cols>
    <col min="1" max="1" width="3.140625" customWidth="1"/>
    <col min="2" max="2" width="13.7109375" customWidth="1"/>
    <col min="3" max="3" width="12" bestFit="1" customWidth="1"/>
    <col min="4" max="4" width="11.28515625" bestFit="1" customWidth="1"/>
  </cols>
  <sheetData>
    <row r="2" spans="2:13">
      <c r="C2" s="61" t="s">
        <v>509</v>
      </c>
      <c r="D2" s="61" t="s">
        <v>509</v>
      </c>
    </row>
    <row r="3" spans="2:13">
      <c r="B3" s="60" t="s">
        <v>188</v>
      </c>
      <c r="C3" s="61" t="s">
        <v>510</v>
      </c>
      <c r="D3" s="62" t="s">
        <v>511</v>
      </c>
      <c r="E3" s="59"/>
      <c r="M3" s="59"/>
    </row>
    <row r="4" spans="2:13">
      <c r="B4" s="40" t="s">
        <v>191</v>
      </c>
      <c r="C4" s="61">
        <v>1.6465250156540216E-2</v>
      </c>
      <c r="D4" s="62">
        <v>3.5990313013993261E-2</v>
      </c>
      <c r="E4" s="59"/>
    </row>
    <row r="5" spans="2:13">
      <c r="B5" s="40" t="s">
        <v>194</v>
      </c>
      <c r="C5" s="61">
        <v>1.5615221198574572E-2</v>
      </c>
      <c r="D5" s="62">
        <v>2.4287640268739003E-2</v>
      </c>
      <c r="E5" s="59"/>
    </row>
    <row r="6" spans="2:13">
      <c r="B6" s="40" t="s">
        <v>195</v>
      </c>
      <c r="C6" s="61">
        <v>3.195266160252231E-2</v>
      </c>
      <c r="D6" s="62">
        <v>2.6990658283985388E-2</v>
      </c>
      <c r="E6" s="59"/>
    </row>
    <row r="7" spans="2:13">
      <c r="B7" s="40" t="s">
        <v>196</v>
      </c>
      <c r="C7" s="61">
        <v>1.9699867662153519E-2</v>
      </c>
      <c r="D7" s="62">
        <v>1.3066379160471426E-2</v>
      </c>
      <c r="E7" s="59"/>
    </row>
    <row r="8" spans="2:13">
      <c r="B8" s="40" t="s">
        <v>52</v>
      </c>
      <c r="C8" s="61">
        <v>1.9512302850000194E-2</v>
      </c>
      <c r="D8" s="62">
        <v>1.2024674308902259E-2</v>
      </c>
      <c r="E8" s="59"/>
    </row>
    <row r="9" spans="2:13">
      <c r="B9" s="40" t="s">
        <v>198</v>
      </c>
      <c r="C9" s="61">
        <v>1.782356260884985E-2</v>
      </c>
      <c r="D9" s="62">
        <v>2.9745043736646361E-2</v>
      </c>
      <c r="E9" s="59"/>
    </row>
    <row r="10" spans="2:13">
      <c r="B10" s="40" t="s">
        <v>200</v>
      </c>
      <c r="C10" s="61">
        <v>2.508906394952868E-2</v>
      </c>
      <c r="D10" s="62">
        <v>2.4222517026481549E-2</v>
      </c>
      <c r="E10" s="59"/>
    </row>
    <row r="11" spans="2:13">
      <c r="B11" s="40" t="s">
        <v>202</v>
      </c>
      <c r="C11" s="61">
        <v>2.4045854892342022E-2</v>
      </c>
      <c r="D11" s="62">
        <v>4.1038431317052267E-2</v>
      </c>
      <c r="E11" s="59"/>
    </row>
    <row r="12" spans="2:13">
      <c r="C12" s="110"/>
      <c r="D12" s="50"/>
      <c r="E12" s="59"/>
    </row>
    <row r="13" spans="2:13">
      <c r="B13" s="231" t="s">
        <v>509</v>
      </c>
      <c r="C13" s="231"/>
    </row>
    <row r="14" spans="2:13">
      <c r="B14" s="40" t="s">
        <v>512</v>
      </c>
      <c r="C14" s="185">
        <f>'Inputs &amp; Outputs'!$C$40</f>
        <v>30244</v>
      </c>
    </row>
    <row r="15" spans="2:13" ht="45">
      <c r="B15" s="53" t="s">
        <v>513</v>
      </c>
      <c r="C15" s="185">
        <f>'Inputs &amp; Outputs'!$C$41</f>
        <v>33345</v>
      </c>
    </row>
    <row r="16" spans="2:13">
      <c r="B16" s="40" t="s">
        <v>509</v>
      </c>
      <c r="C16" s="186">
        <f>(($C$15/$C$14)^(1/(Year_Open_to_Traffic?-2021))-1)</f>
        <v>1.4041963404880731E-2</v>
      </c>
    </row>
  </sheetData>
  <sheetProtection algorithmName="SHA-512" hashValue="wlFcUr8ruXMBofbTe9TJidHrioQLa11IcRq/27ZKrFCQ5hW/JicCUlJCIb4H9p3QSiUiRJzRBMg+XGc9DFxL/g==" saltValue="xHfYryPlJOc+1rDgk+mzBQ==" spinCount="100000" sheet="1" objects="1" scenarios="1"/>
  <mergeCells count="1">
    <mergeCell ref="B13:C1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pageSetUpPr fitToPage="1"/>
  </sheetPr>
  <dimension ref="A3:J53"/>
  <sheetViews>
    <sheetView zoomScale="85" zoomScaleNormal="85" workbookViewId="0">
      <selection activeCell="H1" sqref="H1:H1048576"/>
    </sheetView>
  </sheetViews>
  <sheetFormatPr defaultRowHeight="15"/>
  <cols>
    <col min="1" max="1" width="38.85546875" customWidth="1"/>
    <col min="2" max="2" width="12.5703125" customWidth="1"/>
    <col min="3" max="3" width="5.28515625" customWidth="1"/>
    <col min="4" max="4" width="33.5703125" bestFit="1" customWidth="1"/>
    <col min="5" max="5" width="13.28515625" customWidth="1"/>
    <col min="6" max="6" width="4.5703125" customWidth="1"/>
    <col min="8" max="8" width="2.140625" hidden="1" customWidth="1"/>
    <col min="9" max="9" width="18.7109375" bestFit="1" customWidth="1"/>
    <col min="10" max="10" width="38.28515625" bestFit="1" customWidth="1"/>
  </cols>
  <sheetData>
    <row r="3" spans="1:10">
      <c r="A3" s="5" t="s">
        <v>0</v>
      </c>
      <c r="D3" s="5" t="s">
        <v>1</v>
      </c>
      <c r="E3" s="6" t="s">
        <v>2</v>
      </c>
      <c r="G3" s="12" t="s">
        <v>3</v>
      </c>
      <c r="H3" s="12"/>
      <c r="I3" s="12" t="s">
        <v>4</v>
      </c>
      <c r="J3" s="12" t="s">
        <v>5</v>
      </c>
    </row>
    <row r="4" spans="1:10">
      <c r="A4" s="3" t="s">
        <v>6</v>
      </c>
      <c r="B4" s="4"/>
      <c r="D4" s="3" t="s">
        <v>7</v>
      </c>
      <c r="E4" s="4">
        <v>2015</v>
      </c>
      <c r="G4" s="10">
        <f>E4</f>
        <v>2015</v>
      </c>
      <c r="H4" s="10">
        <f>IF(G4&lt;2041,1,0)</f>
        <v>1</v>
      </c>
      <c r="I4" s="19">
        <f>IF($G4&lt;($G$4+$E$5),$E$17,0)*H4</f>
        <v>0</v>
      </c>
      <c r="J4" s="28" t="e">
        <f>I4*$B$18*$B$19/10^3</f>
        <v>#REF!</v>
      </c>
    </row>
    <row r="5" spans="1:10">
      <c r="A5" s="3" t="s">
        <v>8</v>
      </c>
      <c r="B5" s="4"/>
      <c r="D5" s="3" t="s">
        <v>9</v>
      </c>
      <c r="E5" s="7">
        <v>10</v>
      </c>
      <c r="G5" s="11">
        <f t="shared" ref="G5:G29" si="0">G4+1</f>
        <v>2016</v>
      </c>
      <c r="H5" s="11">
        <f t="shared" ref="H5:H29" si="1">IF(G5&lt;2041,1,0)</f>
        <v>1</v>
      </c>
      <c r="I5" s="19">
        <f t="shared" ref="I5:I29" si="2">IF($G5&lt;($G$4+$E$5),$E$17,0)*H5</f>
        <v>0</v>
      </c>
      <c r="J5" s="35" t="e">
        <f t="shared" ref="J5:J24" si="3">I5*$B$18*$B$19/10^3</f>
        <v>#REF!</v>
      </c>
    </row>
    <row r="6" spans="1:10">
      <c r="A6" s="3" t="s">
        <v>10</v>
      </c>
      <c r="B6" s="4">
        <v>1</v>
      </c>
      <c r="D6" s="196" t="s">
        <v>11</v>
      </c>
      <c r="E6" s="197"/>
      <c r="G6" s="10">
        <f t="shared" si="0"/>
        <v>2017</v>
      </c>
      <c r="H6" s="10">
        <f t="shared" si="1"/>
        <v>1</v>
      </c>
      <c r="I6" s="19">
        <f t="shared" si="2"/>
        <v>0</v>
      </c>
      <c r="J6" s="28" t="e">
        <f t="shared" si="3"/>
        <v>#REF!</v>
      </c>
    </row>
    <row r="7" spans="1:10">
      <c r="A7" s="3" t="s">
        <v>12</v>
      </c>
      <c r="B7" s="20"/>
      <c r="D7" s="3" t="s">
        <v>13</v>
      </c>
      <c r="E7" s="7"/>
      <c r="G7" s="11">
        <f t="shared" si="0"/>
        <v>2018</v>
      </c>
      <c r="H7" s="11">
        <f t="shared" si="1"/>
        <v>1</v>
      </c>
      <c r="I7" s="19">
        <f t="shared" si="2"/>
        <v>0</v>
      </c>
      <c r="J7" s="35" t="e">
        <f t="shared" si="3"/>
        <v>#REF!</v>
      </c>
    </row>
    <row r="8" spans="1:10">
      <c r="A8" s="3" t="s">
        <v>14</v>
      </c>
      <c r="B8" s="20"/>
      <c r="D8" s="3" t="s">
        <v>15</v>
      </c>
      <c r="E8" s="38">
        <v>1.1499999999999999</v>
      </c>
      <c r="G8" s="10">
        <f t="shared" si="0"/>
        <v>2019</v>
      </c>
      <c r="H8" s="10">
        <f t="shared" si="1"/>
        <v>1</v>
      </c>
      <c r="I8" s="19">
        <f t="shared" si="2"/>
        <v>0</v>
      </c>
      <c r="J8" s="28" t="e">
        <f t="shared" si="3"/>
        <v>#REF!</v>
      </c>
    </row>
    <row r="9" spans="1:10">
      <c r="G9" s="11">
        <f t="shared" si="0"/>
        <v>2020</v>
      </c>
      <c r="H9" s="11">
        <f t="shared" si="1"/>
        <v>1</v>
      </c>
      <c r="I9" s="19">
        <f t="shared" si="2"/>
        <v>0</v>
      </c>
      <c r="J9" s="35" t="e">
        <f t="shared" si="3"/>
        <v>#REF!</v>
      </c>
    </row>
    <row r="10" spans="1:10">
      <c r="A10" s="9" t="s">
        <v>16</v>
      </c>
      <c r="G10" s="10">
        <f t="shared" si="0"/>
        <v>2021</v>
      </c>
      <c r="H10" s="10">
        <f t="shared" si="1"/>
        <v>1</v>
      </c>
      <c r="I10" s="19">
        <f t="shared" si="2"/>
        <v>0</v>
      </c>
      <c r="J10" s="28" t="e">
        <f t="shared" si="3"/>
        <v>#REF!</v>
      </c>
    </row>
    <row r="11" spans="1:10">
      <c r="A11" s="8" t="s">
        <v>17</v>
      </c>
      <c r="B11" s="36" t="e">
        <f>NPV($B$17,J4:J29)/(1+$B$17)^(E4-B16+1)</f>
        <v>#REF!</v>
      </c>
      <c r="G11" s="11">
        <f t="shared" si="0"/>
        <v>2022</v>
      </c>
      <c r="H11" s="11">
        <f t="shared" si="1"/>
        <v>1</v>
      </c>
      <c r="I11" s="19">
        <f t="shared" si="2"/>
        <v>0</v>
      </c>
      <c r="J11" s="35" t="e">
        <f t="shared" si="3"/>
        <v>#REF!</v>
      </c>
    </row>
    <row r="12" spans="1:10">
      <c r="A12" s="8" t="s">
        <v>18</v>
      </c>
      <c r="B12" s="34" t="e">
        <f>B11/B7</f>
        <v>#REF!</v>
      </c>
      <c r="G12" s="10">
        <f t="shared" si="0"/>
        <v>2023</v>
      </c>
      <c r="H12" s="10">
        <f t="shared" si="1"/>
        <v>1</v>
      </c>
      <c r="I12" s="19">
        <f t="shared" si="2"/>
        <v>0</v>
      </c>
      <c r="J12" s="28" t="e">
        <f t="shared" si="3"/>
        <v>#REF!</v>
      </c>
    </row>
    <row r="13" spans="1:10">
      <c r="G13" s="11">
        <f t="shared" si="0"/>
        <v>2024</v>
      </c>
      <c r="H13" s="11">
        <f t="shared" si="1"/>
        <v>1</v>
      </c>
      <c r="I13" s="19">
        <f t="shared" si="2"/>
        <v>0</v>
      </c>
      <c r="J13" s="35" t="e">
        <f t="shared" si="3"/>
        <v>#REF!</v>
      </c>
    </row>
    <row r="14" spans="1:10">
      <c r="G14" s="10">
        <f>G13+1</f>
        <v>2025</v>
      </c>
      <c r="H14" s="10">
        <f t="shared" si="1"/>
        <v>1</v>
      </c>
      <c r="I14" s="19">
        <f t="shared" si="2"/>
        <v>0</v>
      </c>
      <c r="J14" s="28" t="e">
        <f t="shared" si="3"/>
        <v>#REF!</v>
      </c>
    </row>
    <row r="15" spans="1:10">
      <c r="A15" s="13" t="s">
        <v>19</v>
      </c>
      <c r="G15" s="11">
        <f t="shared" si="0"/>
        <v>2026</v>
      </c>
      <c r="H15" s="11">
        <f t="shared" si="1"/>
        <v>1</v>
      </c>
      <c r="I15" s="19">
        <f t="shared" si="2"/>
        <v>0</v>
      </c>
      <c r="J15" s="35" t="e">
        <f t="shared" si="3"/>
        <v>#REF!</v>
      </c>
    </row>
    <row r="16" spans="1:10">
      <c r="A16" s="14" t="s">
        <v>20</v>
      </c>
      <c r="B16" s="14">
        <f>'Assumed Values'!C5</f>
        <v>2022</v>
      </c>
      <c r="D16" s="13" t="s">
        <v>21</v>
      </c>
      <c r="E16" s="21" t="s">
        <v>2</v>
      </c>
      <c r="G16" s="10">
        <f t="shared" si="0"/>
        <v>2027</v>
      </c>
      <c r="H16" s="10">
        <f t="shared" si="1"/>
        <v>1</v>
      </c>
      <c r="I16" s="19">
        <f t="shared" si="2"/>
        <v>0</v>
      </c>
      <c r="J16" s="28" t="e">
        <f t="shared" si="3"/>
        <v>#REF!</v>
      </c>
    </row>
    <row r="17" spans="1:10">
      <c r="A17" s="14" t="s">
        <v>22</v>
      </c>
      <c r="B17" s="15">
        <f>'Assumed Values'!C6</f>
        <v>3.1E-2</v>
      </c>
      <c r="D17" s="17" t="s">
        <v>23</v>
      </c>
      <c r="E17" s="18">
        <f>E7/E8</f>
        <v>0</v>
      </c>
      <c r="G17" s="11">
        <f t="shared" si="0"/>
        <v>2028</v>
      </c>
      <c r="H17" s="11">
        <f t="shared" si="1"/>
        <v>1</v>
      </c>
      <c r="I17" s="19">
        <f t="shared" si="2"/>
        <v>0</v>
      </c>
      <c r="J17" s="35" t="e">
        <f t="shared" si="3"/>
        <v>#REF!</v>
      </c>
    </row>
    <row r="18" spans="1:10">
      <c r="A18" s="14" t="s">
        <v>24</v>
      </c>
      <c r="B18" s="14">
        <f>IF(B6=2,2.1, 1.1)</f>
        <v>1.1000000000000001</v>
      </c>
      <c r="G18" s="10">
        <f t="shared" si="0"/>
        <v>2029</v>
      </c>
      <c r="H18" s="10">
        <f t="shared" si="1"/>
        <v>1</v>
      </c>
      <c r="I18" s="19">
        <f t="shared" si="2"/>
        <v>0</v>
      </c>
      <c r="J18" s="28" t="e">
        <f t="shared" si="3"/>
        <v>#REF!</v>
      </c>
    </row>
    <row r="19" spans="1:10">
      <c r="A19" s="14" t="s">
        <v>25</v>
      </c>
      <c r="B19" s="16" t="e">
        <f>'Assumed Values'!C15</f>
        <v>#REF!</v>
      </c>
      <c r="G19" s="11">
        <f t="shared" si="0"/>
        <v>2030</v>
      </c>
      <c r="H19" s="11">
        <f t="shared" si="1"/>
        <v>1</v>
      </c>
      <c r="I19" s="19">
        <f t="shared" si="2"/>
        <v>0</v>
      </c>
      <c r="J19" s="35" t="e">
        <f t="shared" si="3"/>
        <v>#REF!</v>
      </c>
    </row>
    <row r="20" spans="1:10">
      <c r="A20" s="14" t="s">
        <v>26</v>
      </c>
      <c r="B20" s="14">
        <v>260</v>
      </c>
      <c r="G20" s="10">
        <f t="shared" si="0"/>
        <v>2031</v>
      </c>
      <c r="H20" s="10">
        <f t="shared" si="1"/>
        <v>1</v>
      </c>
      <c r="I20" s="19">
        <f t="shared" si="2"/>
        <v>0</v>
      </c>
      <c r="J20" s="28" t="e">
        <f t="shared" si="3"/>
        <v>#REF!</v>
      </c>
    </row>
    <row r="21" spans="1:10">
      <c r="G21" s="11">
        <f t="shared" si="0"/>
        <v>2032</v>
      </c>
      <c r="H21" s="11">
        <f t="shared" si="1"/>
        <v>1</v>
      </c>
      <c r="I21" s="19">
        <f t="shared" si="2"/>
        <v>0</v>
      </c>
      <c r="J21" s="35" t="e">
        <f t="shared" si="3"/>
        <v>#REF!</v>
      </c>
    </row>
    <row r="22" spans="1:10">
      <c r="G22" s="10">
        <f t="shared" si="0"/>
        <v>2033</v>
      </c>
      <c r="H22" s="10">
        <f t="shared" si="1"/>
        <v>1</v>
      </c>
      <c r="I22" s="19">
        <f t="shared" si="2"/>
        <v>0</v>
      </c>
      <c r="J22" s="28" t="e">
        <f t="shared" si="3"/>
        <v>#REF!</v>
      </c>
    </row>
    <row r="23" spans="1:10">
      <c r="G23" s="11">
        <f t="shared" si="0"/>
        <v>2034</v>
      </c>
      <c r="H23" s="11">
        <f t="shared" si="1"/>
        <v>1</v>
      </c>
      <c r="I23" s="19">
        <f t="shared" si="2"/>
        <v>0</v>
      </c>
      <c r="J23" s="35" t="e">
        <f t="shared" si="3"/>
        <v>#REF!</v>
      </c>
    </row>
    <row r="24" spans="1:10">
      <c r="G24" s="10">
        <f t="shared" si="0"/>
        <v>2035</v>
      </c>
      <c r="H24" s="10">
        <f t="shared" si="1"/>
        <v>1</v>
      </c>
      <c r="I24" s="19">
        <f t="shared" si="2"/>
        <v>0</v>
      </c>
      <c r="J24" s="28" t="e">
        <f t="shared" si="3"/>
        <v>#REF!</v>
      </c>
    </row>
    <row r="25" spans="1:10">
      <c r="G25" s="11">
        <f t="shared" si="0"/>
        <v>2036</v>
      </c>
      <c r="H25" s="11">
        <f t="shared" si="1"/>
        <v>1</v>
      </c>
      <c r="I25" s="19">
        <f t="shared" si="2"/>
        <v>0</v>
      </c>
      <c r="J25" s="35" t="e">
        <f t="shared" ref="J25:J29" si="4">I25*$B$18*$B$19/10^3</f>
        <v>#REF!</v>
      </c>
    </row>
    <row r="26" spans="1:10">
      <c r="G26" s="10">
        <f t="shared" si="0"/>
        <v>2037</v>
      </c>
      <c r="H26" s="10">
        <f t="shared" si="1"/>
        <v>1</v>
      </c>
      <c r="I26" s="19">
        <f t="shared" si="2"/>
        <v>0</v>
      </c>
      <c r="J26" s="28" t="e">
        <f t="shared" si="4"/>
        <v>#REF!</v>
      </c>
    </row>
    <row r="27" spans="1:10">
      <c r="G27" s="11">
        <f t="shared" si="0"/>
        <v>2038</v>
      </c>
      <c r="H27" s="11">
        <f t="shared" si="1"/>
        <v>1</v>
      </c>
      <c r="I27" s="19">
        <f t="shared" si="2"/>
        <v>0</v>
      </c>
      <c r="J27" s="35" t="e">
        <f t="shared" si="4"/>
        <v>#REF!</v>
      </c>
    </row>
    <row r="28" spans="1:10">
      <c r="G28" s="10">
        <f t="shared" si="0"/>
        <v>2039</v>
      </c>
      <c r="H28" s="10">
        <f t="shared" si="1"/>
        <v>1</v>
      </c>
      <c r="I28" s="19">
        <f t="shared" si="2"/>
        <v>0</v>
      </c>
      <c r="J28" s="28" t="e">
        <f t="shared" si="4"/>
        <v>#REF!</v>
      </c>
    </row>
    <row r="29" spans="1:10">
      <c r="A29" s="22"/>
      <c r="G29" s="11">
        <f t="shared" si="0"/>
        <v>2040</v>
      </c>
      <c r="H29" s="11">
        <f t="shared" si="1"/>
        <v>1</v>
      </c>
      <c r="I29" s="19">
        <f t="shared" si="2"/>
        <v>0</v>
      </c>
      <c r="J29" s="35" t="e">
        <f t="shared" si="4"/>
        <v>#REF!</v>
      </c>
    </row>
    <row r="51" spans="1:1">
      <c r="A51" t="s">
        <v>27</v>
      </c>
    </row>
    <row r="52" spans="1:1">
      <c r="A52" t="s">
        <v>28</v>
      </c>
    </row>
    <row r="53" spans="1:1">
      <c r="A53" t="s">
        <v>29</v>
      </c>
    </row>
  </sheetData>
  <mergeCells count="1">
    <mergeCell ref="D6:E6"/>
  </mergeCells>
  <pageMargins left="0.25" right="0.25" top="0.75" bottom="0.75" header="0.3" footer="0.3"/>
  <pageSetup paperSize="17"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1</xdr:col>
                    <xdr:colOff>0</xdr:colOff>
                    <xdr:row>5</xdr:row>
                    <xdr:rowOff>0</xdr:rowOff>
                  </from>
                  <to>
                    <xdr:col>2</xdr:col>
                    <xdr:colOff>0</xdr:colOff>
                    <xdr:row>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8"/>
    <pageSetUpPr fitToPage="1"/>
  </sheetPr>
  <dimension ref="A3:K55"/>
  <sheetViews>
    <sheetView zoomScale="85" zoomScaleNormal="85" workbookViewId="0">
      <selection activeCell="H1" sqref="H1:H1048576"/>
    </sheetView>
  </sheetViews>
  <sheetFormatPr defaultRowHeight="15"/>
  <cols>
    <col min="1" max="1" width="54.28515625" customWidth="1"/>
    <col min="2" max="2" width="12.5703125" customWidth="1"/>
    <col min="3" max="3" width="5.28515625" customWidth="1"/>
    <col min="4" max="4" width="37.42578125" bestFit="1" customWidth="1"/>
    <col min="5" max="5" width="13.28515625" customWidth="1"/>
    <col min="6" max="6" width="4.5703125" customWidth="1"/>
    <col min="8" max="8" width="26.42578125" bestFit="1" customWidth="1"/>
    <col min="9" max="9" width="34.5703125" bestFit="1" customWidth="1"/>
    <col min="10" max="10" width="24.140625" bestFit="1" customWidth="1"/>
    <col min="11" max="11" width="33.42578125" bestFit="1" customWidth="1"/>
  </cols>
  <sheetData>
    <row r="3" spans="1:11">
      <c r="A3" s="5" t="s">
        <v>0</v>
      </c>
      <c r="D3" s="5" t="s">
        <v>30</v>
      </c>
      <c r="E3" s="6" t="s">
        <v>2</v>
      </c>
      <c r="G3" s="12" t="s">
        <v>3</v>
      </c>
      <c r="H3" s="12" t="s">
        <v>31</v>
      </c>
      <c r="I3" s="12" t="s">
        <v>32</v>
      </c>
      <c r="J3" s="12" t="s">
        <v>33</v>
      </c>
      <c r="K3" s="12" t="s">
        <v>34</v>
      </c>
    </row>
    <row r="4" spans="1:11">
      <c r="A4" s="3" t="s">
        <v>6</v>
      </c>
      <c r="B4" s="4"/>
      <c r="D4" s="3" t="s">
        <v>7</v>
      </c>
      <c r="E4" s="4">
        <v>2015</v>
      </c>
      <c r="G4" s="10">
        <f>E4</f>
        <v>2015</v>
      </c>
      <c r="H4" s="31">
        <f t="shared" ref="H4:H24" si="0">IF($G4&lt;($G$4+$E$5),$E$17,0)</f>
        <v>0</v>
      </c>
      <c r="I4" s="30" t="e">
        <f>H4*$B$20/10^3</f>
        <v>#REF!</v>
      </c>
      <c r="J4" s="31">
        <f t="shared" ref="J4:J24" si="1">IF($G4&lt;($G$4+$E$5),$E$18,0)</f>
        <v>0</v>
      </c>
      <c r="K4" s="30" t="e">
        <f>J4*$B$21/10^3</f>
        <v>#REF!</v>
      </c>
    </row>
    <row r="5" spans="1:11">
      <c r="A5" s="3" t="s">
        <v>8</v>
      </c>
      <c r="B5" s="4"/>
      <c r="D5" s="3" t="s">
        <v>9</v>
      </c>
      <c r="E5" s="7">
        <v>10</v>
      </c>
      <c r="G5" s="11">
        <f t="shared" ref="G5:G29" si="2">G4+1</f>
        <v>2016</v>
      </c>
      <c r="H5" s="31">
        <f t="shared" si="0"/>
        <v>0</v>
      </c>
      <c r="I5" s="32" t="e">
        <f t="shared" ref="I5:I24" si="3">H5*$B$20/10^3</f>
        <v>#REF!</v>
      </c>
      <c r="J5" s="31">
        <f t="shared" si="1"/>
        <v>0</v>
      </c>
      <c r="K5" s="32" t="e">
        <f t="shared" ref="K5:K24" si="4">J5*$B$21/10^3</f>
        <v>#REF!</v>
      </c>
    </row>
    <row r="6" spans="1:11">
      <c r="A6" s="3" t="s">
        <v>35</v>
      </c>
      <c r="B6" s="4">
        <v>2</v>
      </c>
      <c r="D6" s="196" t="s">
        <v>11</v>
      </c>
      <c r="E6" s="197"/>
      <c r="G6" s="10">
        <f t="shared" si="2"/>
        <v>2017</v>
      </c>
      <c r="H6" s="31">
        <f t="shared" si="0"/>
        <v>0</v>
      </c>
      <c r="I6" s="30" t="e">
        <f t="shared" si="3"/>
        <v>#REF!</v>
      </c>
      <c r="J6" s="31">
        <f t="shared" si="1"/>
        <v>0</v>
      </c>
      <c r="K6" s="30" t="e">
        <f t="shared" si="4"/>
        <v>#REF!</v>
      </c>
    </row>
    <row r="7" spans="1:11">
      <c r="A7" s="3" t="s">
        <v>12</v>
      </c>
      <c r="B7" s="20"/>
      <c r="D7" s="3" t="s">
        <v>36</v>
      </c>
      <c r="E7" s="7"/>
      <c r="G7" s="11">
        <f t="shared" si="2"/>
        <v>2018</v>
      </c>
      <c r="H7" s="31">
        <f t="shared" si="0"/>
        <v>0</v>
      </c>
      <c r="I7" s="32" t="e">
        <f t="shared" si="3"/>
        <v>#REF!</v>
      </c>
      <c r="J7" s="31">
        <f t="shared" si="1"/>
        <v>0</v>
      </c>
      <c r="K7" s="32" t="e">
        <f t="shared" si="4"/>
        <v>#REF!</v>
      </c>
    </row>
    <row r="8" spans="1:11">
      <c r="A8" s="3" t="s">
        <v>14</v>
      </c>
      <c r="B8" s="20"/>
      <c r="D8" s="196" t="s">
        <v>37</v>
      </c>
      <c r="E8" s="197"/>
      <c r="G8" s="10">
        <f t="shared" si="2"/>
        <v>2019</v>
      </c>
      <c r="H8" s="31">
        <f t="shared" si="0"/>
        <v>0</v>
      </c>
      <c r="I8" s="30" t="e">
        <f t="shared" si="3"/>
        <v>#REF!</v>
      </c>
      <c r="J8" s="31">
        <f t="shared" si="1"/>
        <v>0</v>
      </c>
      <c r="K8" s="30" t="e">
        <f t="shared" si="4"/>
        <v>#REF!</v>
      </c>
    </row>
    <row r="9" spans="1:11">
      <c r="D9" s="3" t="s">
        <v>38</v>
      </c>
      <c r="E9" s="7"/>
      <c r="G9" s="11">
        <f t="shared" si="2"/>
        <v>2020</v>
      </c>
      <c r="H9" s="31">
        <f t="shared" si="0"/>
        <v>0</v>
      </c>
      <c r="I9" s="32" t="e">
        <f t="shared" si="3"/>
        <v>#REF!</v>
      </c>
      <c r="J9" s="31">
        <f t="shared" si="1"/>
        <v>0</v>
      </c>
      <c r="K9" s="32" t="e">
        <f t="shared" si="4"/>
        <v>#REF!</v>
      </c>
    </row>
    <row r="10" spans="1:11">
      <c r="A10" s="9" t="s">
        <v>16</v>
      </c>
      <c r="D10" s="3" t="s">
        <v>39</v>
      </c>
      <c r="E10" s="7"/>
      <c r="G10" s="10">
        <f t="shared" si="2"/>
        <v>2021</v>
      </c>
      <c r="H10" s="31">
        <f t="shared" si="0"/>
        <v>0</v>
      </c>
      <c r="I10" s="30" t="e">
        <f t="shared" si="3"/>
        <v>#REF!</v>
      </c>
      <c r="J10" s="31">
        <f t="shared" si="1"/>
        <v>0</v>
      </c>
      <c r="K10" s="30" t="e">
        <f t="shared" si="4"/>
        <v>#REF!</v>
      </c>
    </row>
    <row r="11" spans="1:11">
      <c r="A11" s="8" t="s">
        <v>40</v>
      </c>
      <c r="B11" s="33" t="e">
        <f>(NPV($B$17,K4:K24)+NPV($B$17,I4:I24))/(1+$B$17)^2</f>
        <v>#REF!</v>
      </c>
      <c r="G11" s="11">
        <f t="shared" si="2"/>
        <v>2022</v>
      </c>
      <c r="H11" s="31">
        <f t="shared" si="0"/>
        <v>0</v>
      </c>
      <c r="I11" s="32" t="e">
        <f t="shared" si="3"/>
        <v>#REF!</v>
      </c>
      <c r="J11" s="31">
        <f t="shared" si="1"/>
        <v>0</v>
      </c>
      <c r="K11" s="32" t="e">
        <f t="shared" si="4"/>
        <v>#REF!</v>
      </c>
    </row>
    <row r="12" spans="1:11">
      <c r="A12" s="8" t="s">
        <v>18</v>
      </c>
      <c r="B12" s="34" t="e">
        <f>B11/B7</f>
        <v>#REF!</v>
      </c>
      <c r="G12" s="10">
        <f t="shared" si="2"/>
        <v>2023</v>
      </c>
      <c r="H12" s="31">
        <f t="shared" si="0"/>
        <v>0</v>
      </c>
      <c r="I12" s="30" t="e">
        <f t="shared" si="3"/>
        <v>#REF!</v>
      </c>
      <c r="J12" s="31">
        <f t="shared" si="1"/>
        <v>0</v>
      </c>
      <c r="K12" s="30" t="e">
        <f t="shared" si="4"/>
        <v>#REF!</v>
      </c>
    </row>
    <row r="13" spans="1:11">
      <c r="A13" s="8" t="s">
        <v>41</v>
      </c>
      <c r="B13" s="33" t="e">
        <f>B7*(B17/(1-(1+B17)^(-E5))/(SUM(H4:H29)+SUM(J4:J29)))</f>
        <v>#DIV/0!</v>
      </c>
      <c r="G13" s="11">
        <f t="shared" si="2"/>
        <v>2024</v>
      </c>
      <c r="H13" s="31">
        <f t="shared" si="0"/>
        <v>0</v>
      </c>
      <c r="I13" s="32" t="e">
        <f t="shared" si="3"/>
        <v>#REF!</v>
      </c>
      <c r="J13" s="31">
        <f t="shared" si="1"/>
        <v>0</v>
      </c>
      <c r="K13" s="32" t="e">
        <f t="shared" si="4"/>
        <v>#REF!</v>
      </c>
    </row>
    <row r="14" spans="1:11">
      <c r="G14" s="10">
        <f>G13+1</f>
        <v>2025</v>
      </c>
      <c r="H14" s="31">
        <f t="shared" si="0"/>
        <v>0</v>
      </c>
      <c r="I14" s="30" t="e">
        <f t="shared" si="3"/>
        <v>#REF!</v>
      </c>
      <c r="J14" s="31">
        <f t="shared" si="1"/>
        <v>0</v>
      </c>
      <c r="K14" s="30" t="e">
        <f t="shared" si="4"/>
        <v>#REF!</v>
      </c>
    </row>
    <row r="15" spans="1:11">
      <c r="A15" s="13" t="s">
        <v>19</v>
      </c>
      <c r="G15" s="11">
        <f t="shared" si="2"/>
        <v>2026</v>
      </c>
      <c r="H15" s="31">
        <f t="shared" si="0"/>
        <v>0</v>
      </c>
      <c r="I15" s="32" t="e">
        <f t="shared" si="3"/>
        <v>#REF!</v>
      </c>
      <c r="J15" s="31">
        <f t="shared" si="1"/>
        <v>0</v>
      </c>
      <c r="K15" s="32" t="e">
        <f t="shared" si="4"/>
        <v>#REF!</v>
      </c>
    </row>
    <row r="16" spans="1:11">
      <c r="A16" s="14" t="s">
        <v>20</v>
      </c>
      <c r="B16" s="14">
        <v>2015</v>
      </c>
      <c r="D16" s="13" t="s">
        <v>21</v>
      </c>
      <c r="E16" s="21" t="s">
        <v>2</v>
      </c>
      <c r="G16" s="10">
        <f t="shared" si="2"/>
        <v>2027</v>
      </c>
      <c r="H16" s="31">
        <f t="shared" si="0"/>
        <v>0</v>
      </c>
      <c r="I16" s="30" t="e">
        <f t="shared" si="3"/>
        <v>#REF!</v>
      </c>
      <c r="J16" s="31">
        <f t="shared" si="1"/>
        <v>0</v>
      </c>
      <c r="K16" s="30" t="e">
        <f t="shared" si="4"/>
        <v>#REF!</v>
      </c>
    </row>
    <row r="17" spans="1:11">
      <c r="A17" s="14" t="s">
        <v>22</v>
      </c>
      <c r="B17" s="15">
        <v>7.0000000000000007E-2</v>
      </c>
      <c r="D17" s="17" t="s">
        <v>38</v>
      </c>
      <c r="E17" s="27">
        <f>IF(E9,E9,$E$7*B18*$B$22/10^6)</f>
        <v>0</v>
      </c>
      <c r="G17" s="11">
        <f t="shared" si="2"/>
        <v>2028</v>
      </c>
      <c r="H17" s="31">
        <f t="shared" si="0"/>
        <v>0</v>
      </c>
      <c r="I17" s="32" t="e">
        <f t="shared" si="3"/>
        <v>#REF!</v>
      </c>
      <c r="J17" s="31">
        <f t="shared" si="1"/>
        <v>0</v>
      </c>
      <c r="K17" s="32" t="e">
        <f t="shared" si="4"/>
        <v>#REF!</v>
      </c>
    </row>
    <row r="18" spans="1:11">
      <c r="A18" s="14" t="s">
        <v>42</v>
      </c>
      <c r="B18" s="37">
        <f>IF($B$6=2,'Assumed Values'!C21,0)</f>
        <v>0.32340150000000001</v>
      </c>
      <c r="D18" s="17" t="s">
        <v>39</v>
      </c>
      <c r="E18" s="27">
        <f>IF(E10,E10,$E$7*B19*$B$22/10^6)</f>
        <v>0</v>
      </c>
      <c r="G18" s="10">
        <f t="shared" si="2"/>
        <v>2029</v>
      </c>
      <c r="H18" s="31">
        <f t="shared" si="0"/>
        <v>0</v>
      </c>
      <c r="I18" s="30" t="e">
        <f t="shared" si="3"/>
        <v>#REF!</v>
      </c>
      <c r="J18" s="31">
        <f t="shared" si="1"/>
        <v>0</v>
      </c>
      <c r="K18" s="30" t="e">
        <f t="shared" si="4"/>
        <v>#REF!</v>
      </c>
    </row>
    <row r="19" spans="1:11">
      <c r="A19" s="14" t="s">
        <v>43</v>
      </c>
      <c r="B19" s="37">
        <f>IF($B$6=2,'Assumed Values'!C22,0)</f>
        <v>0.19106300000000001</v>
      </c>
      <c r="G19" s="11">
        <f t="shared" si="2"/>
        <v>2030</v>
      </c>
      <c r="H19" s="31">
        <f t="shared" si="0"/>
        <v>0</v>
      </c>
      <c r="I19" s="32" t="e">
        <f t="shared" si="3"/>
        <v>#REF!</v>
      </c>
      <c r="J19" s="31">
        <f t="shared" si="1"/>
        <v>0</v>
      </c>
      <c r="K19" s="32" t="e">
        <f t="shared" si="4"/>
        <v>#REF!</v>
      </c>
    </row>
    <row r="20" spans="1:11">
      <c r="A20" s="14" t="s">
        <v>44</v>
      </c>
      <c r="B20" s="29" t="e">
        <f>'Assumed Values'!C19</f>
        <v>#REF!</v>
      </c>
      <c r="G20" s="10">
        <f t="shared" si="2"/>
        <v>2031</v>
      </c>
      <c r="H20" s="31">
        <f t="shared" si="0"/>
        <v>0</v>
      </c>
      <c r="I20" s="30" t="e">
        <f t="shared" si="3"/>
        <v>#REF!</v>
      </c>
      <c r="J20" s="31">
        <f t="shared" si="1"/>
        <v>0</v>
      </c>
      <c r="K20" s="30" t="e">
        <f t="shared" si="4"/>
        <v>#REF!</v>
      </c>
    </row>
    <row r="21" spans="1:11">
      <c r="A21" s="14" t="s">
        <v>45</v>
      </c>
      <c r="B21" s="29" t="e">
        <f>'Assumed Values'!C20</f>
        <v>#REF!</v>
      </c>
      <c r="G21" s="11">
        <f t="shared" si="2"/>
        <v>2032</v>
      </c>
      <c r="H21" s="31">
        <f t="shared" si="0"/>
        <v>0</v>
      </c>
      <c r="I21" s="32" t="e">
        <f t="shared" si="3"/>
        <v>#REF!</v>
      </c>
      <c r="J21" s="31">
        <f t="shared" si="1"/>
        <v>0</v>
      </c>
      <c r="K21" s="32" t="e">
        <f t="shared" si="4"/>
        <v>#REF!</v>
      </c>
    </row>
    <row r="22" spans="1:11">
      <c r="A22" s="14" t="s">
        <v>26</v>
      </c>
      <c r="B22" s="14">
        <v>260</v>
      </c>
      <c r="G22" s="10">
        <f t="shared" si="2"/>
        <v>2033</v>
      </c>
      <c r="H22" s="31">
        <f t="shared" si="0"/>
        <v>0</v>
      </c>
      <c r="I22" s="30" t="e">
        <f t="shared" si="3"/>
        <v>#REF!</v>
      </c>
      <c r="J22" s="31">
        <f t="shared" si="1"/>
        <v>0</v>
      </c>
      <c r="K22" s="30" t="e">
        <f t="shared" si="4"/>
        <v>#REF!</v>
      </c>
    </row>
    <row r="23" spans="1:11">
      <c r="G23" s="11">
        <f t="shared" si="2"/>
        <v>2034</v>
      </c>
      <c r="H23" s="31">
        <f t="shared" si="0"/>
        <v>0</v>
      </c>
      <c r="I23" s="32" t="e">
        <f t="shared" si="3"/>
        <v>#REF!</v>
      </c>
      <c r="J23" s="31">
        <f t="shared" si="1"/>
        <v>0</v>
      </c>
      <c r="K23" s="32" t="e">
        <f t="shared" si="4"/>
        <v>#REF!</v>
      </c>
    </row>
    <row r="24" spans="1:11">
      <c r="G24" s="10">
        <f t="shared" si="2"/>
        <v>2035</v>
      </c>
      <c r="H24" s="31">
        <f t="shared" si="0"/>
        <v>0</v>
      </c>
      <c r="I24" s="30" t="e">
        <f t="shared" si="3"/>
        <v>#REF!</v>
      </c>
      <c r="J24" s="31">
        <f t="shared" si="1"/>
        <v>0</v>
      </c>
      <c r="K24" s="30" t="e">
        <f t="shared" si="4"/>
        <v>#REF!</v>
      </c>
    </row>
    <row r="25" spans="1:11">
      <c r="G25" s="11">
        <f t="shared" si="2"/>
        <v>2036</v>
      </c>
      <c r="H25" s="31">
        <f t="shared" ref="H25:H28" si="5">IF($G25&lt;($G$4+$E$5),$E$17,0)</f>
        <v>0</v>
      </c>
      <c r="I25" s="32" t="e">
        <f t="shared" ref="I25:I29" si="6">H25*$B$20/10^3</f>
        <v>#REF!</v>
      </c>
      <c r="J25" s="31">
        <f t="shared" ref="J25:J28" si="7">IF($G25&lt;($G$4+$E$5),$E$18,0)</f>
        <v>0</v>
      </c>
      <c r="K25" s="32" t="e">
        <f t="shared" ref="K25:K29" si="8">J25*$B$21/10^3</f>
        <v>#REF!</v>
      </c>
    </row>
    <row r="26" spans="1:11">
      <c r="G26" s="10">
        <f t="shared" si="2"/>
        <v>2037</v>
      </c>
      <c r="H26" s="31">
        <f t="shared" si="5"/>
        <v>0</v>
      </c>
      <c r="I26" s="30" t="e">
        <f t="shared" si="6"/>
        <v>#REF!</v>
      </c>
      <c r="J26" s="31">
        <f t="shared" si="7"/>
        <v>0</v>
      </c>
      <c r="K26" s="30" t="e">
        <f t="shared" si="8"/>
        <v>#REF!</v>
      </c>
    </row>
    <row r="27" spans="1:11">
      <c r="G27" s="11">
        <f t="shared" si="2"/>
        <v>2038</v>
      </c>
      <c r="H27" s="31">
        <f t="shared" si="5"/>
        <v>0</v>
      </c>
      <c r="I27" s="32" t="e">
        <f t="shared" si="6"/>
        <v>#REF!</v>
      </c>
      <c r="J27" s="31">
        <f t="shared" si="7"/>
        <v>0</v>
      </c>
      <c r="K27" s="32" t="e">
        <f t="shared" si="8"/>
        <v>#REF!</v>
      </c>
    </row>
    <row r="28" spans="1:11">
      <c r="G28" s="10">
        <f t="shared" si="2"/>
        <v>2039</v>
      </c>
      <c r="H28" s="31">
        <f t="shared" si="5"/>
        <v>0</v>
      </c>
      <c r="I28" s="30" t="e">
        <f t="shared" si="6"/>
        <v>#REF!</v>
      </c>
      <c r="J28" s="31">
        <f t="shared" si="7"/>
        <v>0</v>
      </c>
      <c r="K28" s="30" t="e">
        <f t="shared" si="8"/>
        <v>#REF!</v>
      </c>
    </row>
    <row r="29" spans="1:11">
      <c r="G29" s="11">
        <f t="shared" si="2"/>
        <v>2040</v>
      </c>
      <c r="H29" s="31">
        <f>IF($G29&lt;($G$4+$E$5),$E$17,0)</f>
        <v>0</v>
      </c>
      <c r="I29" s="32" t="e">
        <f t="shared" si="6"/>
        <v>#REF!</v>
      </c>
      <c r="J29" s="31">
        <f>IF($G29&lt;($G$4+$E$5),$E$18,0)</f>
        <v>0</v>
      </c>
      <c r="K29" s="32" t="e">
        <f t="shared" si="8"/>
        <v>#REF!</v>
      </c>
    </row>
    <row r="31" spans="1:11">
      <c r="A31" s="22"/>
    </row>
    <row r="53" spans="1:1">
      <c r="A53" t="s">
        <v>27</v>
      </c>
    </row>
    <row r="54" spans="1:1">
      <c r="A54" t="s">
        <v>28</v>
      </c>
    </row>
    <row r="55" spans="1:1">
      <c r="A55" t="s">
        <v>29</v>
      </c>
    </row>
  </sheetData>
  <mergeCells count="2">
    <mergeCell ref="D6:E6"/>
    <mergeCell ref="D8:E8"/>
  </mergeCells>
  <conditionalFormatting sqref="B18:B19">
    <cfRule type="cellIs" dxfId="0" priority="1" operator="equal">
      <formula>0</formula>
    </cfRule>
  </conditionalFormatting>
  <pageMargins left="0.25" right="0.25" top="0.75" bottom="0.75" header="0.3" footer="0.3"/>
  <pageSetup paperSize="17" scale="82"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1</xdr:col>
                    <xdr:colOff>0</xdr:colOff>
                    <xdr:row>5</xdr:row>
                    <xdr:rowOff>0</xdr:rowOff>
                  </from>
                  <to>
                    <xdr:col>2</xdr:col>
                    <xdr:colOff>0</xdr:colOff>
                    <xdr:row>6</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pageSetUpPr fitToPage="1"/>
  </sheetPr>
  <dimension ref="B2:S49"/>
  <sheetViews>
    <sheetView tabSelected="1" topLeftCell="A30" zoomScale="120" zoomScaleNormal="120" workbookViewId="0">
      <selection activeCell="G35" sqref="G35"/>
    </sheetView>
  </sheetViews>
  <sheetFormatPr defaultColWidth="9.140625" defaultRowHeight="15"/>
  <cols>
    <col min="1" max="1" width="9.140625" style="85"/>
    <col min="2" max="2" width="46.7109375" style="85" customWidth="1"/>
    <col min="3" max="3" width="25.5703125" style="85" customWidth="1"/>
    <col min="4" max="4" width="6" style="85" customWidth="1"/>
    <col min="5" max="5" width="5.85546875" style="85" customWidth="1"/>
    <col min="6" max="6" width="23.85546875" style="85" customWidth="1"/>
    <col min="7" max="7" width="19.140625" style="85" customWidth="1"/>
    <col min="8" max="8" width="14.140625" style="85" customWidth="1"/>
    <col min="9" max="9" width="13.7109375" style="85" customWidth="1"/>
    <col min="10" max="10" width="12" style="85" customWidth="1"/>
    <col min="11" max="12" width="9.140625" style="85"/>
    <col min="13" max="13" width="11.5703125" style="85" bestFit="1" customWidth="1"/>
    <col min="14" max="16384" width="9.140625" style="85"/>
  </cols>
  <sheetData>
    <row r="2" spans="2:19" ht="18.75">
      <c r="B2" s="111" t="s">
        <v>46</v>
      </c>
      <c r="C2" s="112"/>
      <c r="D2" s="112"/>
      <c r="E2" s="112"/>
      <c r="F2" s="112"/>
    </row>
    <row r="4" spans="2:19">
      <c r="B4" s="201" t="s">
        <v>0</v>
      </c>
      <c r="C4" s="202"/>
      <c r="E4" s="113"/>
      <c r="F4" s="85" t="s">
        <v>47</v>
      </c>
    </row>
    <row r="5" spans="2:19">
      <c r="B5" s="113" t="s">
        <v>48</v>
      </c>
      <c r="C5" s="114" t="s">
        <v>49</v>
      </c>
      <c r="D5" s="115"/>
      <c r="E5" s="116"/>
      <c r="F5" s="85" t="s">
        <v>50</v>
      </c>
    </row>
    <row r="6" spans="2:19">
      <c r="B6" s="113" t="s">
        <v>51</v>
      </c>
      <c r="C6" s="117" t="s">
        <v>52</v>
      </c>
      <c r="E6" s="118"/>
      <c r="F6" s="85" t="s">
        <v>53</v>
      </c>
    </row>
    <row r="7" spans="2:19">
      <c r="B7" s="113" t="s">
        <v>54</v>
      </c>
      <c r="C7" s="117" t="s">
        <v>55</v>
      </c>
    </row>
    <row r="8" spans="2:19">
      <c r="B8" s="113" t="s">
        <v>56</v>
      </c>
      <c r="C8" s="117" t="s">
        <v>49</v>
      </c>
    </row>
    <row r="9" spans="2:19">
      <c r="B9" s="113" t="s">
        <v>57</v>
      </c>
      <c r="C9" s="117" t="s">
        <v>58</v>
      </c>
      <c r="E9" s="119" t="s">
        <v>59</v>
      </c>
    </row>
    <row r="10" spans="2:19">
      <c r="B10" s="113" t="s">
        <v>60</v>
      </c>
      <c r="C10" s="117" t="s">
        <v>61</v>
      </c>
    </row>
    <row r="11" spans="2:19">
      <c r="B11" s="113" t="s">
        <v>62</v>
      </c>
      <c r="C11" s="117">
        <v>1.1000000000000001</v>
      </c>
      <c r="D11" s="120"/>
      <c r="N11" s="200"/>
      <c r="O11" s="200"/>
      <c r="P11" s="200"/>
      <c r="Q11" s="200"/>
      <c r="R11" s="200"/>
      <c r="S11" s="200"/>
    </row>
    <row r="12" spans="2:19" ht="30">
      <c r="B12" s="121" t="s">
        <v>63</v>
      </c>
      <c r="C12" s="117"/>
    </row>
    <row r="13" spans="2:19">
      <c r="B13" s="113" t="s">
        <v>64</v>
      </c>
      <c r="C13" s="117"/>
    </row>
    <row r="15" spans="2:19">
      <c r="B15" s="201" t="s">
        <v>65</v>
      </c>
      <c r="C15" s="202"/>
    </row>
    <row r="16" spans="2:19">
      <c r="B16" s="113" t="s">
        <v>66</v>
      </c>
      <c r="C16" s="135">
        <v>2028</v>
      </c>
      <c r="D16" s="115"/>
      <c r="F16" s="122"/>
      <c r="M16" s="120"/>
    </row>
    <row r="17" spans="2:14">
      <c r="B17" s="123" t="s">
        <v>67</v>
      </c>
      <c r="C17" s="124" t="s">
        <v>68</v>
      </c>
    </row>
    <row r="18" spans="2:14">
      <c r="B18" s="116" t="s">
        <v>69</v>
      </c>
      <c r="C18" s="132">
        <f>VLOOKUP($C$17,'CRF Lookup Table'!$B$3:$F$74,2,FALSE)</f>
        <v>303</v>
      </c>
    </row>
    <row r="19" spans="2:14" s="86" customFormat="1">
      <c r="B19" s="125" t="s">
        <v>70</v>
      </c>
      <c r="C19" s="133" t="str">
        <f>VLOOKUP($C$17,'CRF Lookup Table'!$B$3:$F$74,5,FALSE)</f>
        <v>Non-Intersection related (Roadway Related)</v>
      </c>
      <c r="D19" s="126"/>
      <c r="M19" s="85"/>
      <c r="N19" s="85"/>
    </row>
    <row r="20" spans="2:14">
      <c r="B20" s="116" t="s">
        <v>71</v>
      </c>
      <c r="C20" s="136">
        <f>VLOOKUP($C$17,'CRF Lookup Table'!$B$3:$F$74,3,FALSE)</f>
        <v>0.3</v>
      </c>
    </row>
    <row r="21" spans="2:14">
      <c r="B21" s="116" t="s">
        <v>72</v>
      </c>
      <c r="C21" s="132">
        <f>VLOOKUP($C$17,'CRF Lookup Table'!$B$3:$F$74,4,FALSE)</f>
        <v>10</v>
      </c>
    </row>
    <row r="22" spans="2:14">
      <c r="B22" s="123" t="s">
        <v>73</v>
      </c>
      <c r="C22" s="124" t="s">
        <v>74</v>
      </c>
    </row>
    <row r="23" spans="2:14">
      <c r="B23" s="116" t="s">
        <v>69</v>
      </c>
      <c r="C23" s="132">
        <f>VLOOKUP(C22,'CRF Lookup Table'!$B$3:$F$74,2,FALSE)</f>
        <v>203</v>
      </c>
    </row>
    <row r="24" spans="2:14" s="86" customFormat="1" ht="30">
      <c r="B24" s="125" t="s">
        <v>70</v>
      </c>
      <c r="C24" s="133" t="str">
        <f>VLOOKUP($C$22,'CRF Lookup Table'!$B$3:$F$74,5,FALSE)</f>
        <v>Non-Intersection related (Roadway Related)</v>
      </c>
      <c r="D24" s="126"/>
      <c r="M24" s="85"/>
      <c r="N24" s="85"/>
    </row>
    <row r="25" spans="2:14">
      <c r="B25" s="116" t="s">
        <v>71</v>
      </c>
      <c r="C25" s="136">
        <f>VLOOKUP($C$22,'CRF Lookup Table'!$B$3:$F$74,3,FALSE)</f>
        <v>0.25</v>
      </c>
    </row>
    <row r="26" spans="2:14">
      <c r="B26" s="116" t="s">
        <v>72</v>
      </c>
      <c r="C26" s="132">
        <f>VLOOKUP($C$22,'CRF Lookup Table'!$B$3:$F$74,4,FALSE)</f>
        <v>20</v>
      </c>
    </row>
    <row r="27" spans="2:14">
      <c r="B27" s="123" t="s">
        <v>75</v>
      </c>
      <c r="C27" s="124" t="s">
        <v>76</v>
      </c>
    </row>
    <row r="28" spans="2:14">
      <c r="B28" s="116" t="s">
        <v>69</v>
      </c>
      <c r="C28" s="132">
        <f>VLOOKUP($C$27,'CRF Lookup Table'!$B$3:$F$74,2,FALSE)</f>
        <v>402</v>
      </c>
    </row>
    <row r="29" spans="2:14" s="86" customFormat="1" ht="30">
      <c r="B29" s="125" t="s">
        <v>70</v>
      </c>
      <c r="C29" s="133" t="str">
        <f>VLOOKUP($C$27,'CRF Lookup Table'!$B$3:$F$74,5,FALSE)</f>
        <v>Non-Intersection related (Roadway Related)</v>
      </c>
      <c r="D29" s="126"/>
      <c r="F29" s="127"/>
      <c r="M29" s="85"/>
      <c r="N29" s="85"/>
    </row>
    <row r="30" spans="2:14">
      <c r="B30" s="116" t="s">
        <v>71</v>
      </c>
      <c r="C30" s="136">
        <f>VLOOKUP($C$27,'CRF Lookup Table'!$B$3:$F$74,3,FALSE)</f>
        <v>0.25</v>
      </c>
    </row>
    <row r="31" spans="2:14">
      <c r="B31" s="116" t="s">
        <v>72</v>
      </c>
      <c r="C31" s="132">
        <f>VLOOKUP($C$27,'CRF Lookup Table'!$B$3:$F$74,4,FALSE)</f>
        <v>2</v>
      </c>
    </row>
    <row r="32" spans="2:14" ht="30">
      <c r="B32" s="123" t="s">
        <v>77</v>
      </c>
      <c r="C32" s="124" t="s">
        <v>78</v>
      </c>
    </row>
    <row r="33" spans="2:14">
      <c r="B33" s="116" t="s">
        <v>69</v>
      </c>
      <c r="C33" s="132">
        <f>VLOOKUP($C$32,'CRF Lookup Table'!B4:G75,2,FALSE)</f>
        <v>403</v>
      </c>
    </row>
    <row r="34" spans="2:14" s="86" customFormat="1" ht="26.25">
      <c r="B34" s="125" t="s">
        <v>70</v>
      </c>
      <c r="C34" s="133" t="str">
        <f>VLOOKUP($C$32,'CRF Lookup Table'!B4:G75,5,FALSE)</f>
        <v>Pedestrian, Cyclist</v>
      </c>
      <c r="D34" s="126"/>
      <c r="F34" s="127"/>
      <c r="M34" s="85"/>
      <c r="N34" s="85"/>
    </row>
    <row r="35" spans="2:14">
      <c r="B35" s="116" t="s">
        <v>71</v>
      </c>
      <c r="C35" s="136">
        <f>VLOOKUP($C$32,'CRF Lookup Table'!$B$3:$F$74,3,FALSE)</f>
        <v>0.1</v>
      </c>
    </row>
    <row r="36" spans="2:14">
      <c r="B36" s="116" t="s">
        <v>72</v>
      </c>
      <c r="C36" s="132">
        <f>VLOOKUP($C$32,'CRF Lookup Table'!B4:G74,4,FALSE)</f>
        <v>2</v>
      </c>
    </row>
    <row r="39" spans="2:14">
      <c r="B39" s="201" t="s">
        <v>79</v>
      </c>
      <c r="C39" s="202"/>
      <c r="D39" s="128"/>
    </row>
    <row r="40" spans="2:14">
      <c r="B40" s="113" t="s">
        <v>80</v>
      </c>
      <c r="C40" s="131">
        <v>30244</v>
      </c>
      <c r="H40" s="120"/>
    </row>
    <row r="41" spans="2:14">
      <c r="B41" s="113" t="s">
        <v>81</v>
      </c>
      <c r="C41" s="131">
        <v>33345</v>
      </c>
    </row>
    <row r="42" spans="2:14">
      <c r="B42" s="116" t="s">
        <v>82</v>
      </c>
      <c r="C42" s="134">
        <f>SUM('Ped bike commuter analysis data'!$X:$X,'Ped bike commuter analysis data'!$Y:$Y)</f>
        <v>372</v>
      </c>
    </row>
    <row r="43" spans="2:14" ht="30">
      <c r="B43" s="129" t="s">
        <v>83</v>
      </c>
      <c r="C43" s="134">
        <f>VLOOKUP(Year_Open_to_Traffic?,Calculations!I2:X36,3)</f>
        <v>404.46272616132416</v>
      </c>
    </row>
    <row r="44" spans="2:14">
      <c r="H44" s="120"/>
    </row>
    <row r="46" spans="2:14" ht="18.75">
      <c r="B46" s="111" t="s">
        <v>84</v>
      </c>
      <c r="C46" s="112"/>
      <c r="D46" s="112"/>
      <c r="E46" s="112"/>
      <c r="F46" s="112"/>
    </row>
    <row r="48" spans="2:14">
      <c r="B48" s="198" t="s">
        <v>85</v>
      </c>
      <c r="C48" s="199"/>
    </row>
    <row r="49" spans="2:4">
      <c r="B49" s="118" t="s">
        <v>86</v>
      </c>
      <c r="C49" s="66">
        <f>Calculations!X38</f>
        <v>10687.714576336004</v>
      </c>
      <c r="D49" s="130"/>
    </row>
  </sheetData>
  <sheetProtection algorithmName="SHA-512" hashValue="b+oJH7XeV+MVTWQBwwLZo7GB23sQOQgTkjpvcBYe5c4nC5ln9SS+/0GFuTQSkRsivXuDRaKKa0qbAp5juFNX4A==" saltValue="M9HowdJPFIlkk9L0orIQRQ==" spinCount="100000" sheet="1" objects="1" scenarios="1"/>
  <mergeCells count="6">
    <mergeCell ref="B48:C48"/>
    <mergeCell ref="N11:P11"/>
    <mergeCell ref="Q11:S11"/>
    <mergeCell ref="B4:C4"/>
    <mergeCell ref="B15:C15"/>
    <mergeCell ref="B39:C39"/>
  </mergeCells>
  <dataValidations count="1">
    <dataValidation type="list" allowBlank="1" showInputMessage="1" showErrorMessage="1" sqref="D6:D7" xr:uid="{00000000-0002-0000-0300-000000000000}">
      <formula1>#REF!</formula1>
    </dataValidation>
  </dataValidations>
  <pageMargins left="0.25" right="0.25" top="0.75" bottom="0.75" header="0.3" footer="0.3"/>
  <pageSetup scale="62"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3000000}">
          <x14:formula1>
            <xm:f>Calculations!$I$7:$I$36</xm:f>
          </x14:formula1>
          <xm:sqref>D20 D30 D25 D35</xm:sqref>
        </x14:dataValidation>
        <x14:dataValidation type="list" allowBlank="1" showInputMessage="1" showErrorMessage="1" xr:uid="{817E3541-ACE6-4163-B8E1-052C2E890092}">
          <x14:formula1>
            <xm:f>'Assumed Values'!$F$5:$F$12</xm:f>
          </x14:formula1>
          <xm:sqref>C6</xm:sqref>
        </x14:dataValidation>
        <x14:dataValidation type="list" allowBlank="1" showInputMessage="1" showErrorMessage="1" xr:uid="{AA3E3532-5492-4348-AB32-360AEEEF2A02}">
          <x14:formula1>
            <xm:f>'CRF Lookup Table'!$B$79:$B$83</xm:f>
          </x14:formula1>
          <xm:sqref>C32</xm:sqref>
        </x14:dataValidation>
        <x14:dataValidation type="list" allowBlank="1" showInputMessage="1" showErrorMessage="1" xr:uid="{55DC462E-18DE-4173-BBED-AF9843571521}">
          <x14:formula1>
            <xm:f>'Assumed Values'!$G$5:$G$6</xm:f>
          </x14:formula1>
          <xm:sqref>C7</xm:sqref>
        </x14:dataValidation>
        <x14:dataValidation type="list" allowBlank="1" showInputMessage="1" showErrorMessage="1" xr:uid="{00000000-0002-0000-0300-000002000000}">
          <x14:formula1>
            <xm:f>'CRF Lookup Table'!$B$4:$B$74</xm:f>
          </x14:formula1>
          <xm:sqref>C27 C17 C22</xm:sqref>
        </x14:dataValidation>
        <x14:dataValidation type="list" allowBlank="1" showInputMessage="1" showErrorMessage="1" xr:uid="{E82BF87A-3ACB-499E-B14A-B2D01385F60A}">
          <x14:formula1>
            <xm:f>Calculations!$I$7:$I$139</xm:f>
          </x14:formula1>
          <xm:sqref>C16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7C7D1-951F-4AA1-AD61-E81EAFF03E0B}">
  <sheetPr>
    <tabColor theme="8"/>
  </sheetPr>
  <dimension ref="A1:V44"/>
  <sheetViews>
    <sheetView zoomScale="55" zoomScaleNormal="55" workbookViewId="0">
      <selection activeCell="K15" sqref="K15"/>
    </sheetView>
  </sheetViews>
  <sheetFormatPr defaultColWidth="8.85546875" defaultRowHeight="15"/>
  <cols>
    <col min="1" max="1" width="8.85546875" style="74"/>
    <col min="2" max="2" width="27.7109375" style="74" bestFit="1" customWidth="1"/>
    <col min="3" max="3" width="15" style="74" customWidth="1"/>
    <col min="4" max="4" width="17.140625" style="74" customWidth="1"/>
    <col min="5" max="5" width="16.42578125" style="74" bestFit="1" customWidth="1"/>
    <col min="6" max="6" width="21.5703125" style="74" customWidth="1"/>
    <col min="7" max="7" width="2.85546875" style="74" customWidth="1"/>
    <col min="8" max="8" width="27.5703125" style="74" customWidth="1"/>
    <col min="9" max="9" width="14.140625" style="74" customWidth="1"/>
    <col min="10" max="10" width="15.140625" style="74" bestFit="1" customWidth="1"/>
    <col min="11" max="11" width="16.42578125" style="74" bestFit="1" customWidth="1"/>
    <col min="12" max="12" width="23.140625" style="74" customWidth="1"/>
    <col min="13" max="13" width="9.7109375" style="74" customWidth="1"/>
    <col min="14" max="14" width="30.140625" style="74" customWidth="1"/>
    <col min="15" max="15" width="12" style="74" customWidth="1"/>
    <col min="16" max="17" width="15.28515625" style="74" customWidth="1"/>
    <col min="18" max="18" width="26.85546875" style="74" customWidth="1"/>
    <col min="19" max="19" width="5.140625" style="74" customWidth="1"/>
    <col min="20" max="20" width="4.85546875" style="74" customWidth="1"/>
    <col min="21" max="21" width="23.5703125" style="74" bestFit="1" customWidth="1"/>
    <col min="22" max="22" width="19.42578125" style="74" bestFit="1" customWidth="1"/>
    <col min="23" max="16384" width="8.85546875" style="74"/>
  </cols>
  <sheetData>
    <row r="1" spans="1:22" ht="33.75" customHeight="1">
      <c r="A1"/>
      <c r="B1" s="89"/>
      <c r="C1" s="207" t="s">
        <v>87</v>
      </c>
      <c r="D1" s="207"/>
      <c r="E1" s="84"/>
      <c r="F1" s="208" t="s">
        <v>50</v>
      </c>
      <c r="G1" s="208"/>
      <c r="H1" s="208"/>
      <c r="I1"/>
      <c r="J1"/>
      <c r="K1"/>
      <c r="L1"/>
      <c r="M1"/>
      <c r="N1"/>
      <c r="O1"/>
      <c r="P1"/>
      <c r="Q1"/>
      <c r="R1"/>
      <c r="S1"/>
      <c r="T1"/>
      <c r="U1"/>
      <c r="V1"/>
    </row>
    <row r="2" spans="1:22">
      <c r="A2"/>
      <c r="B2"/>
      <c r="C2"/>
      <c r="D2"/>
      <c r="E2"/>
      <c r="F2"/>
      <c r="G2"/>
      <c r="H2"/>
      <c r="I2"/>
      <c r="J2"/>
      <c r="K2"/>
      <c r="L2"/>
      <c r="M2"/>
      <c r="N2"/>
      <c r="O2"/>
      <c r="P2"/>
      <c r="Q2"/>
      <c r="R2"/>
      <c r="S2"/>
      <c r="T2"/>
      <c r="U2"/>
      <c r="V2"/>
    </row>
    <row r="3" spans="1:22">
      <c r="A3"/>
      <c r="B3" s="203" t="s">
        <v>88</v>
      </c>
      <c r="C3" s="204"/>
      <c r="D3" s="204"/>
      <c r="E3" s="204"/>
      <c r="F3" s="205"/>
      <c r="G3"/>
      <c r="H3" s="203" t="s">
        <v>89</v>
      </c>
      <c r="I3" s="204"/>
      <c r="J3" s="204"/>
      <c r="K3" s="204"/>
      <c r="L3" s="205"/>
      <c r="M3"/>
      <c r="N3" s="203" t="s">
        <v>90</v>
      </c>
      <c r="O3" s="204"/>
      <c r="P3" s="204"/>
      <c r="Q3" s="204"/>
      <c r="R3" s="205"/>
      <c r="S3"/>
      <c r="T3"/>
      <c r="U3"/>
      <c r="V3"/>
    </row>
    <row r="4" spans="1:22" s="87" customFormat="1" ht="75">
      <c r="A4" s="90"/>
      <c r="B4" s="91" t="s">
        <v>91</v>
      </c>
      <c r="C4" s="92" t="s">
        <v>92</v>
      </c>
      <c r="D4" s="91" t="s">
        <v>93</v>
      </c>
      <c r="E4" s="91" t="s">
        <v>94</v>
      </c>
      <c r="F4" s="91" t="s">
        <v>95</v>
      </c>
      <c r="G4" s="90"/>
      <c r="H4" s="91" t="s">
        <v>91</v>
      </c>
      <c r="I4" s="92" t="s">
        <v>96</v>
      </c>
      <c r="J4" s="91" t="s">
        <v>93</v>
      </c>
      <c r="K4" s="91" t="s">
        <v>94</v>
      </c>
      <c r="L4" s="91" t="s">
        <v>95</v>
      </c>
      <c r="M4" s="90"/>
      <c r="N4" s="91" t="s">
        <v>91</v>
      </c>
      <c r="O4" s="92" t="s">
        <v>97</v>
      </c>
      <c r="P4" s="91" t="s">
        <v>93</v>
      </c>
      <c r="Q4" s="91" t="s">
        <v>94</v>
      </c>
      <c r="R4" s="91" t="s">
        <v>98</v>
      </c>
      <c r="S4" s="90"/>
      <c r="T4" s="90"/>
      <c r="U4" s="91" t="s">
        <v>99</v>
      </c>
      <c r="V4" s="91" t="s">
        <v>100</v>
      </c>
    </row>
    <row r="5" spans="1:22">
      <c r="A5"/>
      <c r="B5" s="89" t="s">
        <v>101</v>
      </c>
      <c r="C5" s="65">
        <f>(SUMIFS('Raw Crash data'!Z:Z,'Raw Crash data'!Q:Q,$U$5)+SUMIFS('Raw Crash data'!Z:Z,'Raw Crash data'!Q:Q,$U$6))</f>
        <v>0</v>
      </c>
      <c r="D5" s="67">
        <f>C5/5</f>
        <v>0</v>
      </c>
      <c r="E5" s="68">
        <f>(100000000*$C5)/(365*5*'Inputs &amp; Outputs'!$C$40*'Inputs &amp; Outputs'!$C$11)</f>
        <v>0</v>
      </c>
      <c r="F5" s="68">
        <f>(E5*('Inputs &amp; Outputs'!$C$41*'Inputs &amp; Outputs'!$C$11*365))/100000000</f>
        <v>0</v>
      </c>
      <c r="G5"/>
      <c r="H5" s="89" t="s">
        <v>101</v>
      </c>
      <c r="I5" s="65">
        <f>SUMIFS('Raw Crash data'!Z:Z,'Raw Crash data'!Q:Q,$V$5)+SUMIFS('Raw Crash data'!Z:Z,'Raw Crash data'!Q:Q,$V$6)</f>
        <v>0</v>
      </c>
      <c r="J5" s="67">
        <f>I5/5</f>
        <v>0</v>
      </c>
      <c r="K5" s="68">
        <f>(100000000*$I5)/(365*5*'Inputs &amp; Outputs'!$C$40*'Inputs &amp; Outputs'!$C$11)</f>
        <v>0</v>
      </c>
      <c r="L5" s="68">
        <f>($K5*(('Inputs &amp; Outputs'!$C$41*'Inputs &amp; Outputs'!$C$11*365)/100000000))</f>
        <v>0</v>
      </c>
      <c r="M5"/>
      <c r="N5" s="89" t="s">
        <v>101</v>
      </c>
      <c r="O5" s="65">
        <f>C5+I5</f>
        <v>0</v>
      </c>
      <c r="P5" s="67">
        <f>O5/5</f>
        <v>0</v>
      </c>
      <c r="Q5" s="68">
        <f>(100000000*$O5)/(365*5*'Inputs &amp; Outputs'!$C$40*'Inputs &amp; Outputs'!$C$11)</f>
        <v>0</v>
      </c>
      <c r="R5" s="68">
        <f>($Q5*(('Inputs &amp; Outputs'!$C$41*'Inputs &amp; Outputs'!$C$11*365)/100000000))</f>
        <v>0</v>
      </c>
      <c r="S5"/>
      <c r="T5"/>
      <c r="U5" s="40" t="s">
        <v>102</v>
      </c>
      <c r="V5" s="40" t="s">
        <v>103</v>
      </c>
    </row>
    <row r="6" spans="1:22">
      <c r="A6"/>
      <c r="B6" s="89" t="s">
        <v>104</v>
      </c>
      <c r="C6" s="65">
        <f>(SUMIFS('Raw Crash data'!AA:AA,'Raw Crash data'!Q:Q,$U$5)+SUMIFS('Raw Crash data'!AA:AA,'Raw Crash data'!Q:Q,$U$6))</f>
        <v>3</v>
      </c>
      <c r="D6" s="67">
        <f>C6/5</f>
        <v>0.6</v>
      </c>
      <c r="E6" s="68">
        <f>(100000000*$C6)/(365*5*'Inputs &amp; Outputs'!$C$40*'Inputs &amp; Outputs'!$C$11)</f>
        <v>4.9411321747915622</v>
      </c>
      <c r="F6" s="68">
        <f>(E6*('Inputs &amp; Outputs'!$C$41*'Inputs &amp; Outputs'!$C$11*365))/100000000</f>
        <v>0.66151964025922494</v>
      </c>
      <c r="G6"/>
      <c r="H6" s="89" t="s">
        <v>104</v>
      </c>
      <c r="I6" s="65">
        <f>(SUMIFS('Raw Crash data'!AA:AA,'Raw Crash data'!Q:Q,$V$5)+SUMIFS('Raw Crash data'!AA:AA,'Raw Crash data'!Q:Q,$V$8))</f>
        <v>3</v>
      </c>
      <c r="J6" s="67">
        <f>I6/5</f>
        <v>0.6</v>
      </c>
      <c r="K6" s="68">
        <f>(100000000*$I6)/(365*5*'Inputs &amp; Outputs'!$C$40*'Inputs &amp; Outputs'!$C$11)</f>
        <v>4.9411321747915622</v>
      </c>
      <c r="L6" s="68">
        <f>($K6*(('Inputs &amp; Outputs'!$C$41*'Inputs &amp; Outputs'!$C$11*365)/100000000))</f>
        <v>0.66151964025922494</v>
      </c>
      <c r="M6"/>
      <c r="N6" s="89" t="s">
        <v>104</v>
      </c>
      <c r="O6" s="65">
        <f t="shared" ref="O6:O30" si="0">C6+I6</f>
        <v>6</v>
      </c>
      <c r="P6" s="67">
        <f>O6/5</f>
        <v>1.2</v>
      </c>
      <c r="Q6" s="68">
        <f>(100000000*$O6)/(365*5*'Inputs &amp; Outputs'!$C$40*'Inputs &amp; Outputs'!$C$11)</f>
        <v>9.8822643495831244</v>
      </c>
      <c r="R6" s="68">
        <f>($Q6*(('Inputs &amp; Outputs'!$C$41*'Inputs &amp; Outputs'!$C$11*365)/100000000))</f>
        <v>1.3230392805184499</v>
      </c>
      <c r="S6"/>
      <c r="T6"/>
      <c r="U6" s="40" t="s">
        <v>105</v>
      </c>
      <c r="V6" s="40" t="s">
        <v>106</v>
      </c>
    </row>
    <row r="7" spans="1:22">
      <c r="A7"/>
      <c r="B7" s="89" t="s">
        <v>107</v>
      </c>
      <c r="C7" s="65">
        <f>(SUMIFS('Raw Crash data'!AB:AB,'Raw Crash data'!Q:Q,$U$5)+SUMIFS('Raw Crash data'!AB:AB,'Raw Crash data'!Q:Q,$U$6))</f>
        <v>13</v>
      </c>
      <c r="D7" s="67">
        <f t="shared" ref="D7:D8" si="1">C7/5</f>
        <v>2.6</v>
      </c>
      <c r="E7" s="68">
        <f>(100000000*$C7)/(365*5*'Inputs &amp; Outputs'!$C$40*'Inputs &amp; Outputs'!$C$11)</f>
        <v>21.4115727574301</v>
      </c>
      <c r="F7" s="68">
        <f>(E7*('Inputs &amp; Outputs'!$C$41*'Inputs &amp; Outputs'!$C$11*365))/100000000</f>
        <v>2.866585107789974</v>
      </c>
      <c r="G7"/>
      <c r="H7" s="89" t="s">
        <v>107</v>
      </c>
      <c r="I7" s="65">
        <f>(SUMIFS('Raw Crash data'!AB:AB,'Raw Crash data'!Q:Q,$V$5)+SUMIFS('Raw Crash data'!AB:AB,'Raw Crash data'!Q:Q,$V$6))</f>
        <v>11</v>
      </c>
      <c r="J7" s="67">
        <f t="shared" ref="J7:J8" si="2">I7/5</f>
        <v>2.2000000000000002</v>
      </c>
      <c r="K7" s="68">
        <f>(100000000*$I7)/(365*5*'Inputs &amp; Outputs'!$C$40*'Inputs &amp; Outputs'!$C$11)</f>
        <v>18.117484640902394</v>
      </c>
      <c r="L7" s="68">
        <f>($K7*(('Inputs &amp; Outputs'!$C$41*'Inputs &amp; Outputs'!$C$11*365)/100000000))</f>
        <v>2.4255720142838246</v>
      </c>
      <c r="M7"/>
      <c r="N7" s="89" t="s">
        <v>107</v>
      </c>
      <c r="O7" s="65">
        <f t="shared" si="0"/>
        <v>24</v>
      </c>
      <c r="P7" s="67">
        <f t="shared" ref="P7:P8" si="3">O7/5</f>
        <v>4.8</v>
      </c>
      <c r="Q7" s="68">
        <f>(100000000*$O7)/(365*5*'Inputs &amp; Outputs'!$C$40*'Inputs &amp; Outputs'!$C$11)</f>
        <v>39.529057398332498</v>
      </c>
      <c r="R7" s="68">
        <f>($Q7*(('Inputs &amp; Outputs'!$C$41*'Inputs &amp; Outputs'!$C$11*365)/100000000))</f>
        <v>5.2921571220737995</v>
      </c>
      <c r="S7"/>
      <c r="T7"/>
      <c r="U7"/>
      <c r="V7"/>
    </row>
    <row r="8" spans="1:22">
      <c r="A8"/>
      <c r="B8" s="89" t="s">
        <v>108</v>
      </c>
      <c r="C8" s="65">
        <f>(SUMIFS('Raw Crash data'!AC:AC,'Raw Crash data'!Q:Q,$U$5)+SUMIFS('Raw Crash data'!AC:AC,'Raw Crash data'!Q:Q,$U$6))</f>
        <v>27</v>
      </c>
      <c r="D8" s="67">
        <f t="shared" si="1"/>
        <v>5.4</v>
      </c>
      <c r="E8" s="68">
        <f>(100000000*$C8)/(365*5*'Inputs &amp; Outputs'!$C$40*'Inputs &amp; Outputs'!$C$11)</f>
        <v>44.47018957312406</v>
      </c>
      <c r="F8" s="68">
        <f>(E8*('Inputs &amp; Outputs'!$C$41*'Inputs &amp; Outputs'!$C$11*365))/100000000</f>
        <v>5.9536767623330249</v>
      </c>
      <c r="G8"/>
      <c r="H8" s="89" t="s">
        <v>108</v>
      </c>
      <c r="I8" s="65">
        <f>(SUMIFS('Raw Crash data'!AC:AC,'Raw Crash data'!Q:Q,$V$5)+SUMIFS('Raw Crash data'!AC:AC,'Raw Crash data'!Q:Q,$V$6))</f>
        <v>39</v>
      </c>
      <c r="J8" s="67">
        <f t="shared" si="2"/>
        <v>7.8</v>
      </c>
      <c r="K8" s="68">
        <f>(100000000*$I8)/(365*5*'Inputs &amp; Outputs'!$C$40*'Inputs &amp; Outputs'!$C$11)</f>
        <v>64.234718272290309</v>
      </c>
      <c r="L8" s="68">
        <f>($K8*(('Inputs &amp; Outputs'!$C$41*'Inputs &amp; Outputs'!$C$11*365)/100000000))</f>
        <v>8.5997553233699229</v>
      </c>
      <c r="M8"/>
      <c r="N8" s="89" t="s">
        <v>108</v>
      </c>
      <c r="O8" s="65">
        <f>C8+I8</f>
        <v>66</v>
      </c>
      <c r="P8" s="67">
        <f t="shared" si="3"/>
        <v>13.2</v>
      </c>
      <c r="Q8" s="68">
        <f>(100000000*$O8)/(365*5*'Inputs &amp; Outputs'!$C$40*'Inputs &amp; Outputs'!$C$11)</f>
        <v>108.70490784541435</v>
      </c>
      <c r="R8" s="68">
        <f>($Q8*(('Inputs &amp; Outputs'!$C$41*'Inputs &amp; Outputs'!$C$11*365)/100000000))</f>
        <v>14.553432085702946</v>
      </c>
      <c r="S8"/>
      <c r="T8"/>
      <c r="U8"/>
      <c r="V8"/>
    </row>
    <row r="9" spans="1:22">
      <c r="A9"/>
      <c r="B9" s="89"/>
      <c r="C9" s="65"/>
      <c r="D9" s="67"/>
      <c r="E9" s="68"/>
      <c r="F9" s="68"/>
      <c r="G9"/>
      <c r="H9" s="89"/>
      <c r="I9" s="65"/>
      <c r="J9" s="67"/>
      <c r="K9" s="68"/>
      <c r="L9" s="68"/>
      <c r="M9"/>
      <c r="N9" s="89"/>
      <c r="O9" s="65"/>
      <c r="P9" s="67"/>
      <c r="Q9" s="68"/>
      <c r="R9" s="68"/>
      <c r="S9"/>
      <c r="T9"/>
      <c r="U9"/>
      <c r="V9"/>
    </row>
    <row r="10" spans="1:22">
      <c r="A10"/>
      <c r="B10"/>
      <c r="C10"/>
      <c r="D10"/>
      <c r="E10" s="71"/>
      <c r="F10" s="71"/>
      <c r="G10"/>
      <c r="H10"/>
      <c r="I10"/>
      <c r="J10"/>
      <c r="K10" s="71"/>
      <c r="L10" s="71"/>
      <c r="M10"/>
      <c r="N10"/>
      <c r="O10"/>
      <c r="P10"/>
      <c r="Q10"/>
      <c r="R10"/>
      <c r="S10"/>
      <c r="T10"/>
      <c r="U10"/>
      <c r="V10"/>
    </row>
    <row r="11" spans="1:22" s="87" customFormat="1" ht="15" customHeight="1">
      <c r="A11" s="90"/>
      <c r="B11" s="206" t="s">
        <v>109</v>
      </c>
      <c r="C11" s="206"/>
      <c r="D11" s="206"/>
      <c r="E11" s="206"/>
      <c r="F11" s="206"/>
      <c r="G11" s="90"/>
      <c r="H11" s="93"/>
      <c r="I11" s="73"/>
      <c r="J11" s="73"/>
      <c r="K11" s="94"/>
      <c r="L11" s="94"/>
      <c r="M11" s="90"/>
      <c r="N11" s="90"/>
      <c r="O11" s="90"/>
      <c r="P11" s="90"/>
      <c r="Q11" s="90"/>
      <c r="R11" s="90"/>
      <c r="S11" s="90"/>
      <c r="T11" s="90"/>
      <c r="U11" s="90"/>
      <c r="V11" s="90"/>
    </row>
    <row r="12" spans="1:22" ht="30">
      <c r="A12"/>
      <c r="B12" s="91"/>
      <c r="C12" s="91" t="s">
        <v>110</v>
      </c>
      <c r="D12" s="91" t="s">
        <v>111</v>
      </c>
      <c r="E12" s="91" t="s">
        <v>112</v>
      </c>
      <c r="F12" s="91" t="s">
        <v>113</v>
      </c>
      <c r="G12"/>
      <c r="H12" s="95"/>
      <c r="I12" s="96"/>
      <c r="J12" s="97"/>
      <c r="K12" s="98"/>
      <c r="L12" s="94"/>
      <c r="M12"/>
      <c r="N12"/>
      <c r="O12"/>
      <c r="P12"/>
      <c r="Q12"/>
      <c r="R12"/>
      <c r="S12"/>
      <c r="T12"/>
      <c r="U12"/>
      <c r="V12"/>
    </row>
    <row r="13" spans="1:22" ht="30">
      <c r="A13"/>
      <c r="B13" s="91" t="s">
        <v>114</v>
      </c>
      <c r="C13" s="69">
        <f>$F$5</f>
        <v>0</v>
      </c>
      <c r="D13" s="69">
        <f>$F$6</f>
        <v>0.66151964025922494</v>
      </c>
      <c r="E13" s="69">
        <f>$F$7</f>
        <v>2.866585107789974</v>
      </c>
      <c r="F13" s="69">
        <f>$F$8</f>
        <v>5.9536767623330249</v>
      </c>
      <c r="G13"/>
      <c r="H13" s="99"/>
      <c r="I13" s="73"/>
      <c r="J13" s="73"/>
      <c r="K13" s="73"/>
      <c r="L13" s="73"/>
      <c r="M13"/>
      <c r="N13"/>
      <c r="O13"/>
      <c r="P13"/>
      <c r="Q13"/>
      <c r="R13"/>
      <c r="S13"/>
      <c r="T13"/>
      <c r="U13"/>
      <c r="V13"/>
    </row>
    <row r="14" spans="1:22">
      <c r="A14"/>
      <c r="B14" s="91" t="s">
        <v>115</v>
      </c>
      <c r="C14" s="69">
        <f>$L$5</f>
        <v>0</v>
      </c>
      <c r="D14" s="69">
        <f>$L$6</f>
        <v>0.66151964025922494</v>
      </c>
      <c r="E14" s="69">
        <f>$L$7</f>
        <v>2.4255720142838246</v>
      </c>
      <c r="F14" s="69">
        <f>$L$8</f>
        <v>8.5997553233699229</v>
      </c>
      <c r="G14"/>
      <c r="H14" s="73"/>
      <c r="I14" s="73"/>
      <c r="J14" s="73"/>
      <c r="K14" s="73"/>
      <c r="L14" s="73"/>
      <c r="M14"/>
      <c r="N14"/>
      <c r="O14"/>
      <c r="P14"/>
      <c r="Q14"/>
      <c r="R14"/>
      <c r="S14"/>
      <c r="T14"/>
      <c r="U14"/>
      <c r="V14"/>
    </row>
    <row r="15" spans="1:22">
      <c r="A15"/>
      <c r="B15" s="91" t="s">
        <v>116</v>
      </c>
      <c r="C15" s="69">
        <v>0</v>
      </c>
      <c r="D15" s="69">
        <v>0</v>
      </c>
      <c r="E15" s="69">
        <v>0</v>
      </c>
      <c r="F15" s="69">
        <v>0</v>
      </c>
      <c r="G15"/>
      <c r="H15" s="73"/>
      <c r="I15" s="73"/>
      <c r="J15" s="73"/>
      <c r="K15" s="73"/>
      <c r="L15" s="73"/>
      <c r="M15"/>
      <c r="N15"/>
      <c r="O15"/>
      <c r="P15"/>
      <c r="Q15"/>
      <c r="R15"/>
      <c r="S15"/>
      <c r="T15"/>
      <c r="U15"/>
      <c r="V15"/>
    </row>
    <row r="16" spans="1:22">
      <c r="A16"/>
      <c r="B16" s="91" t="s">
        <v>117</v>
      </c>
      <c r="C16" s="69">
        <f>C13+C14</f>
        <v>0</v>
      </c>
      <c r="D16" s="69">
        <f t="shared" ref="D16:F16" si="4">D13+D14</f>
        <v>1.3230392805184499</v>
      </c>
      <c r="E16" s="69">
        <f t="shared" si="4"/>
        <v>5.2921571220737986</v>
      </c>
      <c r="F16" s="69">
        <f t="shared" si="4"/>
        <v>14.553432085702948</v>
      </c>
      <c r="G16"/>
      <c r="H16" s="73"/>
      <c r="I16" s="73"/>
      <c r="J16" s="73"/>
      <c r="K16" s="73"/>
      <c r="L16" s="73"/>
      <c r="M16"/>
      <c r="N16"/>
      <c r="O16"/>
      <c r="P16"/>
      <c r="Q16"/>
      <c r="R16"/>
      <c r="S16"/>
      <c r="T16"/>
      <c r="U16"/>
      <c r="V16"/>
    </row>
    <row r="17" spans="1:22">
      <c r="A17"/>
      <c r="B17" s="100"/>
      <c r="C17" s="70"/>
      <c r="D17" s="70"/>
      <c r="E17" s="70"/>
      <c r="F17" s="70"/>
      <c r="G17"/>
      <c r="H17" s="73"/>
      <c r="I17" s="73"/>
      <c r="J17" s="73"/>
      <c r="K17" s="73"/>
      <c r="L17" s="73"/>
      <c r="M17"/>
      <c r="N17"/>
      <c r="O17"/>
      <c r="P17"/>
      <c r="Q17"/>
      <c r="R17"/>
      <c r="S17"/>
      <c r="T17"/>
      <c r="U17"/>
      <c r="V17"/>
    </row>
    <row r="18" spans="1:22" s="87" customFormat="1" ht="105">
      <c r="A18" s="90"/>
      <c r="B18" s="91" t="s">
        <v>91</v>
      </c>
      <c r="C18" s="92" t="s">
        <v>92</v>
      </c>
      <c r="D18" s="91" t="s">
        <v>93</v>
      </c>
      <c r="E18" s="91" t="s">
        <v>118</v>
      </c>
      <c r="F18" s="91" t="s">
        <v>95</v>
      </c>
      <c r="G18" s="90"/>
      <c r="H18" s="91" t="s">
        <v>91</v>
      </c>
      <c r="I18" s="92" t="s">
        <v>96</v>
      </c>
      <c r="J18" s="91" t="s">
        <v>93</v>
      </c>
      <c r="K18" s="91" t="s">
        <v>119</v>
      </c>
      <c r="L18" s="91" t="s">
        <v>98</v>
      </c>
      <c r="M18" s="90"/>
      <c r="N18" s="91" t="s">
        <v>91</v>
      </c>
      <c r="O18" s="92" t="s">
        <v>97</v>
      </c>
      <c r="P18" s="91" t="s">
        <v>93</v>
      </c>
      <c r="Q18" s="91" t="s">
        <v>119</v>
      </c>
      <c r="R18" s="91" t="s">
        <v>98</v>
      </c>
      <c r="S18" s="90"/>
      <c r="T18" s="90"/>
      <c r="U18" s="91" t="s">
        <v>99</v>
      </c>
      <c r="V18" s="91" t="s">
        <v>100</v>
      </c>
    </row>
    <row r="19" spans="1:22">
      <c r="A19"/>
      <c r="B19" s="89" t="s">
        <v>120</v>
      </c>
      <c r="C19" s="65">
        <f>(SUMIFS('Raw Crash data'!AG:AG,'Raw Crash data'!Q:Q,$U$5)+SUMIFS('Raw Crash data'!AG:AG,'Raw Crash data'!Q:Q,$U$6))</f>
        <v>0</v>
      </c>
      <c r="D19" s="67" t="s">
        <v>121</v>
      </c>
      <c r="E19" s="67" t="s">
        <v>121</v>
      </c>
      <c r="F19" s="67" t="s">
        <v>121</v>
      </c>
      <c r="G19"/>
      <c r="H19" s="89" t="s">
        <v>120</v>
      </c>
      <c r="I19" s="65">
        <f>(SUMIFS('Raw Crash data'!AG:AG,'Raw Crash data'!Q:Q,$V$5)+SUMIFS('Raw Crash data'!AG:AG,'Raw Crash data'!Q:Q,$V$6))</f>
        <v>0</v>
      </c>
      <c r="J19" s="67" t="s">
        <v>121</v>
      </c>
      <c r="K19" s="67" t="s">
        <v>121</v>
      </c>
      <c r="L19" s="67" t="s">
        <v>121</v>
      </c>
      <c r="M19"/>
      <c r="N19" s="89" t="s">
        <v>120</v>
      </c>
      <c r="O19" s="65">
        <f t="shared" si="0"/>
        <v>0</v>
      </c>
      <c r="P19" s="67" t="s">
        <v>121</v>
      </c>
      <c r="Q19" s="67" t="s">
        <v>121</v>
      </c>
      <c r="R19" s="67" t="s">
        <v>121</v>
      </c>
      <c r="S19"/>
      <c r="T19"/>
      <c r="U19"/>
      <c r="V19"/>
    </row>
    <row r="20" spans="1:22">
      <c r="A20"/>
      <c r="B20" s="89" t="s">
        <v>122</v>
      </c>
      <c r="C20" s="65">
        <f>(SUMIFS('Raw Crash data'!AH:AH,'Raw Crash data'!Q:Q,$U$5)+SUMIFS('Raw Crash data'!AH:AH,'Raw Crash data'!Q:Q,$U$6))</f>
        <v>0</v>
      </c>
      <c r="D20" s="67" t="s">
        <v>121</v>
      </c>
      <c r="E20" s="67" t="s">
        <v>121</v>
      </c>
      <c r="F20" s="67" t="s">
        <v>121</v>
      </c>
      <c r="G20"/>
      <c r="H20" s="89" t="s">
        <v>122</v>
      </c>
      <c r="I20" s="65">
        <f>(SUMIFS('Raw Crash data'!AH:AH,'Raw Crash data'!Q:Q,$V$5)+SUMIFS('Raw Crash data'!AH:AH,'Raw Crash data'!Q:Q,$V$6))</f>
        <v>0</v>
      </c>
      <c r="J20" s="67" t="s">
        <v>121</v>
      </c>
      <c r="K20" s="67" t="s">
        <v>121</v>
      </c>
      <c r="L20" s="67" t="s">
        <v>121</v>
      </c>
      <c r="M20"/>
      <c r="N20" s="89" t="s">
        <v>122</v>
      </c>
      <c r="O20" s="65">
        <f t="shared" si="0"/>
        <v>0</v>
      </c>
      <c r="P20" s="67" t="s">
        <v>121</v>
      </c>
      <c r="Q20" s="67" t="s">
        <v>121</v>
      </c>
      <c r="R20" s="67" t="s">
        <v>121</v>
      </c>
      <c r="S20"/>
      <c r="T20"/>
      <c r="U20"/>
      <c r="V20"/>
    </row>
    <row r="21" spans="1:22">
      <c r="A21"/>
      <c r="B21" s="89" t="s">
        <v>123</v>
      </c>
      <c r="C21" s="65">
        <f>(SUMIFS('Raw Crash data'!AI:AI,'Raw Crash data'!Q:Q,$U$5)+SUMIFS('Raw Crash data'!AI:AI,'Raw Crash data'!Q:Q,$U$6))</f>
        <v>0</v>
      </c>
      <c r="D21" s="67" t="s">
        <v>121</v>
      </c>
      <c r="E21" s="67" t="s">
        <v>121</v>
      </c>
      <c r="F21" s="67" t="s">
        <v>121</v>
      </c>
      <c r="G21"/>
      <c r="H21" s="89" t="s">
        <v>123</v>
      </c>
      <c r="I21" s="65">
        <f>(SUMIFS('Raw Crash data'!AI:AI,'Raw Crash data'!Q:Q,$V$5)+SUMIFS('Raw Crash data'!AI:AI,'Raw Crash data'!Q:Q,$V$6))</f>
        <v>2</v>
      </c>
      <c r="J21" s="67" t="s">
        <v>121</v>
      </c>
      <c r="K21" s="67" t="s">
        <v>121</v>
      </c>
      <c r="L21" s="67" t="s">
        <v>121</v>
      </c>
      <c r="M21"/>
      <c r="N21" s="89" t="s">
        <v>123</v>
      </c>
      <c r="O21" s="65">
        <f t="shared" si="0"/>
        <v>2</v>
      </c>
      <c r="P21" s="67" t="s">
        <v>121</v>
      </c>
      <c r="Q21" s="67" t="s">
        <v>121</v>
      </c>
      <c r="R21" s="67" t="s">
        <v>121</v>
      </c>
      <c r="S21"/>
      <c r="T21"/>
      <c r="U21"/>
      <c r="V21"/>
    </row>
    <row r="22" spans="1:22">
      <c r="A22"/>
      <c r="B22" s="89" t="s">
        <v>124</v>
      </c>
      <c r="C22" s="65">
        <f>(SUMIFS('Raw Crash data'!AJ:AJ,'Raw Crash data'!Q:Q,$U$5)+SUMIFS('Raw Crash data'!AJ:AJ,'Raw Crash data'!Q:Q,$U$6))</f>
        <v>0</v>
      </c>
      <c r="D22" s="67" t="s">
        <v>121</v>
      </c>
      <c r="E22" s="67" t="s">
        <v>121</v>
      </c>
      <c r="F22" s="67" t="s">
        <v>121</v>
      </c>
      <c r="G22"/>
      <c r="H22" s="89" t="s">
        <v>124</v>
      </c>
      <c r="I22" s="65">
        <f>(SUMIFS('Raw Crash data'!AJ:AJ,'Raw Crash data'!Q:Q,$V$5)+SUMIFS('Raw Crash data'!AJ:AJ,'Raw Crash data'!Q:Q,$V$6))</f>
        <v>0</v>
      </c>
      <c r="J22" s="67" t="s">
        <v>121</v>
      </c>
      <c r="K22" s="67" t="s">
        <v>121</v>
      </c>
      <c r="L22" s="67" t="s">
        <v>121</v>
      </c>
      <c r="M22"/>
      <c r="N22" s="89" t="s">
        <v>124</v>
      </c>
      <c r="O22" s="65">
        <f t="shared" si="0"/>
        <v>0</v>
      </c>
      <c r="P22" s="67" t="s">
        <v>121</v>
      </c>
      <c r="Q22" s="67" t="s">
        <v>121</v>
      </c>
      <c r="R22" s="67" t="s">
        <v>121</v>
      </c>
      <c r="S22"/>
      <c r="T22"/>
      <c r="U22"/>
      <c r="V22"/>
    </row>
    <row r="23" spans="1:22">
      <c r="A23"/>
      <c r="B23" s="89" t="s">
        <v>125</v>
      </c>
      <c r="C23" s="65">
        <f>(SUMIFS('Raw Crash data'!AN:AN,'Raw Crash data'!Q:Q,$U$5)+SUMIFS('Raw Crash data'!AN:AN,'Raw Crash data'!Q:Q,$U$6))</f>
        <v>0</v>
      </c>
      <c r="D23" s="67" t="s">
        <v>121</v>
      </c>
      <c r="E23" s="67" t="s">
        <v>121</v>
      </c>
      <c r="F23" s="67" t="s">
        <v>121</v>
      </c>
      <c r="G23"/>
      <c r="H23" s="89" t="s">
        <v>125</v>
      </c>
      <c r="I23" s="65">
        <f>(SUMIFS('Raw Crash data'!AN:AN,'Raw Crash data'!Q:Q,$V$5)+SUMIFS('Raw Crash data'!AN:AN,'Raw Crash data'!Q:Q,$V$6))</f>
        <v>0</v>
      </c>
      <c r="J23" s="67" t="s">
        <v>121</v>
      </c>
      <c r="K23" s="67" t="s">
        <v>121</v>
      </c>
      <c r="L23" s="67" t="s">
        <v>121</v>
      </c>
      <c r="M23"/>
      <c r="N23" s="89" t="s">
        <v>125</v>
      </c>
      <c r="O23" s="65">
        <f t="shared" si="0"/>
        <v>0</v>
      </c>
      <c r="P23" s="67" t="s">
        <v>121</v>
      </c>
      <c r="Q23" s="67" t="s">
        <v>121</v>
      </c>
      <c r="R23" s="67" t="s">
        <v>121</v>
      </c>
      <c r="S23"/>
      <c r="T23"/>
      <c r="U23"/>
      <c r="V23"/>
    </row>
    <row r="24" spans="1:22">
      <c r="A24"/>
      <c r="B24" s="89" t="s">
        <v>126</v>
      </c>
      <c r="C24" s="65">
        <f>(SUMIFS('Raw Crash data'!AO:AO,'Raw Crash data'!Q:Q,$U$5)+SUMIFS('Raw Crash data'!AO:AO,'Raw Crash data'!Q:Q,$U$6))</f>
        <v>0</v>
      </c>
      <c r="D24" s="67" t="s">
        <v>121</v>
      </c>
      <c r="E24" s="67" t="s">
        <v>121</v>
      </c>
      <c r="F24" s="67" t="s">
        <v>121</v>
      </c>
      <c r="G24"/>
      <c r="H24" s="89" t="s">
        <v>126</v>
      </c>
      <c r="I24" s="65">
        <f>(SUMIFS('Raw Crash data'!AO:AO,'Raw Crash data'!Q:Q,$V$5)+SUMIFS('Raw Crash data'!AO:AO,'Raw Crash data'!Q:Q,$V$6))</f>
        <v>0</v>
      </c>
      <c r="J24" s="67" t="s">
        <v>121</v>
      </c>
      <c r="K24" s="67" t="s">
        <v>121</v>
      </c>
      <c r="L24" s="67" t="s">
        <v>121</v>
      </c>
      <c r="M24"/>
      <c r="N24" s="89" t="s">
        <v>126</v>
      </c>
      <c r="O24" s="65">
        <f t="shared" si="0"/>
        <v>0</v>
      </c>
      <c r="P24" s="67" t="s">
        <v>121</v>
      </c>
      <c r="Q24" s="67" t="s">
        <v>121</v>
      </c>
      <c r="R24" s="67" t="s">
        <v>121</v>
      </c>
      <c r="S24"/>
      <c r="T24"/>
      <c r="U24"/>
      <c r="V24"/>
    </row>
    <row r="25" spans="1:22">
      <c r="A25"/>
      <c r="B25" s="89" t="s">
        <v>127</v>
      </c>
      <c r="C25" s="65">
        <f>(SUMIFS('Raw Crash data'!AP:AP,'Raw Crash data'!Q:Q,$U$5)+SUMIFS('Raw Crash data'!AP:AP,'Raw Crash data'!Q:Q,$U$6))</f>
        <v>0</v>
      </c>
      <c r="D25" s="67" t="s">
        <v>121</v>
      </c>
      <c r="E25" s="67" t="s">
        <v>121</v>
      </c>
      <c r="F25" s="67" t="s">
        <v>121</v>
      </c>
      <c r="G25"/>
      <c r="H25" s="89" t="s">
        <v>127</v>
      </c>
      <c r="I25" s="65">
        <f>(SUMIFS('Raw Crash data'!AP:AP,'Raw Crash data'!Q:Q,$V$5)+SUMIFS('Raw Crash data'!AP:AP,'Raw Crash data'!Q:Q,$V$6))</f>
        <v>1</v>
      </c>
      <c r="J25" s="67" t="s">
        <v>121</v>
      </c>
      <c r="K25" s="67" t="s">
        <v>121</v>
      </c>
      <c r="L25" s="67" t="s">
        <v>121</v>
      </c>
      <c r="M25"/>
      <c r="N25" s="89" t="s">
        <v>127</v>
      </c>
      <c r="O25" s="65">
        <f t="shared" si="0"/>
        <v>1</v>
      </c>
      <c r="P25" s="67" t="s">
        <v>121</v>
      </c>
      <c r="Q25" s="67" t="s">
        <v>121</v>
      </c>
      <c r="R25" s="67" t="s">
        <v>121</v>
      </c>
      <c r="S25"/>
      <c r="T25"/>
      <c r="U25"/>
      <c r="V25"/>
    </row>
    <row r="26" spans="1:22">
      <c r="A26"/>
      <c r="B26" s="89" t="s">
        <v>128</v>
      </c>
      <c r="C26" s="65">
        <f>(SUMIFS('Raw Crash data'!AQ:AQ,'Raw Crash data'!Q:Q,$U$5)+SUMIFS('Raw Crash data'!AQ:AQ,'Raw Crash data'!Q:Q,$U$6))</f>
        <v>0</v>
      </c>
      <c r="D26" s="67" t="s">
        <v>121</v>
      </c>
      <c r="E26" s="67" t="s">
        <v>121</v>
      </c>
      <c r="F26" s="67" t="s">
        <v>121</v>
      </c>
      <c r="G26"/>
      <c r="H26" s="89" t="s">
        <v>128</v>
      </c>
      <c r="I26" s="65">
        <f>(SUMIFS('Raw Crash data'!AQ:AQ,'Raw Crash data'!Q:Q,$V$5)+SUMIFS('Raw Crash data'!AQ:AQ,'Raw Crash data'!Q:Q,$V$6))</f>
        <v>0</v>
      </c>
      <c r="J26" s="67" t="s">
        <v>121</v>
      </c>
      <c r="K26" s="67" t="s">
        <v>121</v>
      </c>
      <c r="L26" s="67" t="s">
        <v>121</v>
      </c>
      <c r="M26"/>
      <c r="N26" s="89" t="s">
        <v>128</v>
      </c>
      <c r="O26" s="65">
        <f t="shared" si="0"/>
        <v>0</v>
      </c>
      <c r="P26" s="67" t="s">
        <v>121</v>
      </c>
      <c r="Q26" s="67" t="s">
        <v>121</v>
      </c>
      <c r="R26" s="67" t="s">
        <v>121</v>
      </c>
      <c r="S26"/>
      <c r="T26"/>
      <c r="U26"/>
      <c r="V26"/>
    </row>
    <row r="27" spans="1:22">
      <c r="A27"/>
      <c r="B27" s="89" t="s">
        <v>129</v>
      </c>
      <c r="C27" s="65">
        <f>C19+C23</f>
        <v>0</v>
      </c>
      <c r="D27" s="67">
        <f>C27/5</f>
        <v>0</v>
      </c>
      <c r="E27" s="68">
        <f>($D27*1000000)/(365*5*'Inputs &amp; Outputs'!$C$42)</f>
        <v>0</v>
      </c>
      <c r="F27" s="68">
        <f>$E27*(('Inputs &amp; Outputs'!$C$43*365)/1000000)</f>
        <v>0</v>
      </c>
      <c r="G27"/>
      <c r="H27" s="89" t="s">
        <v>110</v>
      </c>
      <c r="I27" s="65">
        <f>I19+I23</f>
        <v>0</v>
      </c>
      <c r="J27" s="67">
        <f>I27/5</f>
        <v>0</v>
      </c>
      <c r="K27" s="68">
        <f>(($I27*1000000)/(365*5*'Inputs &amp; Outputs'!$C$42))</f>
        <v>0</v>
      </c>
      <c r="L27" s="68">
        <f>$K27*(('Inputs &amp; Outputs'!C42*365)/1000000)</f>
        <v>0</v>
      </c>
      <c r="M27"/>
      <c r="N27" s="89" t="s">
        <v>110</v>
      </c>
      <c r="O27" s="65">
        <f t="shared" si="0"/>
        <v>0</v>
      </c>
      <c r="P27" s="67">
        <f>O27/5</f>
        <v>0</v>
      </c>
      <c r="Q27" s="68">
        <f>(($O27*1000000)/(365*5*'Inputs &amp; Outputs'!$C$42))</f>
        <v>0</v>
      </c>
      <c r="R27" s="68">
        <f>$Q27*((365*'Inputs &amp; Outputs'!$C$43)/1000000)</f>
        <v>0</v>
      </c>
      <c r="S27"/>
      <c r="T27"/>
      <c r="U27"/>
      <c r="V27"/>
    </row>
    <row r="28" spans="1:22">
      <c r="A28"/>
      <c r="B28" s="89" t="s">
        <v>130</v>
      </c>
      <c r="C28" s="65">
        <f t="shared" ref="C28:C30" si="5">C20+C24</f>
        <v>0</v>
      </c>
      <c r="D28" s="67">
        <f>C28/5</f>
        <v>0</v>
      </c>
      <c r="E28" s="68">
        <f>($D28*1000000)/(365*5*'Inputs &amp; Outputs'!$C$42)</f>
        <v>0</v>
      </c>
      <c r="F28" s="68">
        <f>$E28*(('Inputs &amp; Outputs'!$C$43*365)/1000000)</f>
        <v>0</v>
      </c>
      <c r="G28"/>
      <c r="H28" s="89" t="s">
        <v>131</v>
      </c>
      <c r="I28" s="65">
        <f t="shared" ref="I28:I30" si="6">I20+I24</f>
        <v>0</v>
      </c>
      <c r="J28" s="67">
        <f>I28/5</f>
        <v>0</v>
      </c>
      <c r="K28" s="68">
        <f>(($I28*1000000)/(365*5*'Inputs &amp; Outputs'!$C$42))</f>
        <v>0</v>
      </c>
      <c r="L28" s="68">
        <f>$K28*(('Inputs &amp; Outputs'!C43*365)/1000000)</f>
        <v>0</v>
      </c>
      <c r="M28"/>
      <c r="N28" s="89" t="s">
        <v>131</v>
      </c>
      <c r="O28" s="65">
        <f t="shared" si="0"/>
        <v>0</v>
      </c>
      <c r="P28" s="67">
        <f>O28/5</f>
        <v>0</v>
      </c>
      <c r="Q28" s="68">
        <f>(($O28*1000000)/(365*5*'Inputs &amp; Outputs'!$C$42))</f>
        <v>0</v>
      </c>
      <c r="R28" s="68">
        <f>$Q28*((365*'Inputs &amp; Outputs'!$C$43)/1000000)</f>
        <v>0</v>
      </c>
      <c r="S28"/>
      <c r="T28"/>
      <c r="U28"/>
      <c r="V28"/>
    </row>
    <row r="29" spans="1:22">
      <c r="A29"/>
      <c r="B29" s="89" t="s">
        <v>132</v>
      </c>
      <c r="C29" s="65">
        <f t="shared" si="5"/>
        <v>0</v>
      </c>
      <c r="D29" s="67">
        <f>C29/5</f>
        <v>0</v>
      </c>
      <c r="E29" s="68">
        <f>($D29*1000000)/(365*5*'Inputs &amp; Outputs'!$C$42)</f>
        <v>0</v>
      </c>
      <c r="F29" s="68">
        <f>$E29*(('Inputs &amp; Outputs'!$C$43*365)/1000000)</f>
        <v>0</v>
      </c>
      <c r="G29"/>
      <c r="H29" s="89" t="s">
        <v>131</v>
      </c>
      <c r="I29" s="65">
        <f t="shared" si="6"/>
        <v>3</v>
      </c>
      <c r="J29" s="67">
        <f>I29/5</f>
        <v>0.6</v>
      </c>
      <c r="K29" s="68">
        <f>(($I29*1000000)/(365*5*'Inputs &amp; Outputs'!$C$42))</f>
        <v>4.4189129474149356</v>
      </c>
      <c r="L29" s="68">
        <f>$K29*(('Inputs &amp; Outputs'!C44*365)/1000000)</f>
        <v>0</v>
      </c>
      <c r="M29"/>
      <c r="N29" s="89" t="s">
        <v>131</v>
      </c>
      <c r="O29" s="65">
        <f t="shared" si="0"/>
        <v>3</v>
      </c>
      <c r="P29" s="67">
        <f>O29/5</f>
        <v>0.6</v>
      </c>
      <c r="Q29" s="68">
        <f>(($O29*1000000)/(365*5*'Inputs &amp; Outputs'!$C$42))</f>
        <v>4.4189129474149356</v>
      </c>
      <c r="R29" s="68">
        <f>$Q29*((365*'Inputs &amp; Outputs'!$C$43)/1000000)</f>
        <v>0.65235923574407106</v>
      </c>
      <c r="S29"/>
      <c r="T29"/>
      <c r="U29"/>
      <c r="V29"/>
    </row>
    <row r="30" spans="1:22">
      <c r="A30"/>
      <c r="B30" s="89" t="s">
        <v>133</v>
      </c>
      <c r="C30" s="65">
        <f t="shared" si="5"/>
        <v>0</v>
      </c>
      <c r="D30" s="67">
        <f>C30/5</f>
        <v>0</v>
      </c>
      <c r="E30" s="68">
        <f>($D30*1000000)/(365*5*'Inputs &amp; Outputs'!$C$42)</f>
        <v>0</v>
      </c>
      <c r="F30" s="68">
        <f>$E30*(('Inputs &amp; Outputs'!$C$43*365)/1000000)</f>
        <v>0</v>
      </c>
      <c r="G30"/>
      <c r="H30" s="89" t="s">
        <v>131</v>
      </c>
      <c r="I30" s="65">
        <f t="shared" si="6"/>
        <v>0</v>
      </c>
      <c r="J30" s="67">
        <f>I30/5</f>
        <v>0</v>
      </c>
      <c r="K30" s="68">
        <f>(($I30*1000000)/(365*5*'Inputs &amp; Outputs'!$C$42))</f>
        <v>0</v>
      </c>
      <c r="L30" s="68">
        <f>$K30*(('Inputs &amp; Outputs'!C45*365)/1000000)</f>
        <v>0</v>
      </c>
      <c r="M30"/>
      <c r="N30" s="89" t="s">
        <v>131</v>
      </c>
      <c r="O30" s="65">
        <f t="shared" si="0"/>
        <v>0</v>
      </c>
      <c r="P30" s="67">
        <f>O30/5</f>
        <v>0</v>
      </c>
      <c r="Q30" s="68">
        <f>(($O30*1000000)/(365*5*'Inputs &amp; Outputs'!$C$42))</f>
        <v>0</v>
      </c>
      <c r="R30" s="68">
        <f>$Q30*((365*'Inputs &amp; Outputs'!$C$43)/1000000)</f>
        <v>0</v>
      </c>
      <c r="S30"/>
      <c r="T30"/>
      <c r="U30"/>
      <c r="V30"/>
    </row>
    <row r="31" spans="1:22">
      <c r="A31"/>
      <c r="B31"/>
      <c r="C31"/>
      <c r="D31"/>
      <c r="E31" s="71"/>
      <c r="F31" s="71"/>
      <c r="G31"/>
      <c r="H31"/>
      <c r="I31"/>
      <c r="J31"/>
      <c r="K31" s="71"/>
      <c r="L31" s="71"/>
      <c r="M31"/>
      <c r="N31"/>
      <c r="O31"/>
      <c r="P31"/>
      <c r="Q31"/>
      <c r="R31"/>
      <c r="S31"/>
      <c r="T31"/>
      <c r="U31"/>
      <c r="V31"/>
    </row>
    <row r="32" spans="1:22" s="87" customFormat="1" ht="15" customHeight="1">
      <c r="A32" s="90"/>
      <c r="B32" s="206" t="s">
        <v>109</v>
      </c>
      <c r="C32" s="206"/>
      <c r="D32" s="206"/>
      <c r="E32" s="206"/>
      <c r="F32" s="206"/>
      <c r="G32" s="90"/>
      <c r="H32" s="97"/>
      <c r="I32" s="73"/>
      <c r="J32" s="73"/>
      <c r="K32" s="94"/>
      <c r="L32" s="94"/>
      <c r="M32" s="90"/>
      <c r="N32" s="90"/>
      <c r="O32" s="90"/>
      <c r="P32" s="90"/>
      <c r="Q32" s="90"/>
      <c r="R32" s="90"/>
      <c r="S32" s="90"/>
      <c r="T32" s="90"/>
      <c r="U32" s="90"/>
      <c r="V32" s="90"/>
    </row>
    <row r="33" spans="1:22" ht="30">
      <c r="A33"/>
      <c r="B33" s="91"/>
      <c r="C33" s="91" t="s">
        <v>110</v>
      </c>
      <c r="D33" s="91" t="s">
        <v>111</v>
      </c>
      <c r="E33" s="91" t="s">
        <v>112</v>
      </c>
      <c r="F33" s="91" t="s">
        <v>113</v>
      </c>
      <c r="G33"/>
      <c r="H33" s="95"/>
      <c r="I33" s="96"/>
      <c r="J33" s="97"/>
      <c r="K33" s="98"/>
      <c r="L33" s="94"/>
      <c r="M33"/>
      <c r="N33"/>
      <c r="O33"/>
      <c r="P33"/>
      <c r="Q33"/>
      <c r="R33"/>
      <c r="S33"/>
      <c r="T33"/>
      <c r="U33"/>
      <c r="V33"/>
    </row>
    <row r="34" spans="1:22">
      <c r="A34"/>
      <c r="B34" s="91" t="s">
        <v>134</v>
      </c>
      <c r="C34" s="69">
        <f>F27+L27</f>
        <v>0</v>
      </c>
      <c r="D34" s="69">
        <f>F28+L28</f>
        <v>0</v>
      </c>
      <c r="E34" s="69">
        <f>F29*L29</f>
        <v>0</v>
      </c>
      <c r="F34" s="69">
        <f>F30*L30</f>
        <v>0</v>
      </c>
      <c r="G34"/>
      <c r="H34" s="73"/>
      <c r="I34" s="73"/>
      <c r="J34" s="73"/>
      <c r="K34" s="73"/>
      <c r="L34" s="73"/>
      <c r="M34"/>
      <c r="N34"/>
      <c r="O34"/>
      <c r="P34"/>
      <c r="Q34"/>
      <c r="R34"/>
      <c r="S34"/>
      <c r="T34"/>
      <c r="U34"/>
      <c r="V34"/>
    </row>
    <row r="35" spans="1:22">
      <c r="A35"/>
      <c r="B35" s="91" t="s">
        <v>116</v>
      </c>
      <c r="C35" s="69">
        <v>0</v>
      </c>
      <c r="D35" s="69">
        <v>0</v>
      </c>
      <c r="E35" s="69">
        <v>0</v>
      </c>
      <c r="F35" s="69">
        <v>0</v>
      </c>
      <c r="G35"/>
      <c r="H35" s="95"/>
      <c r="I35" s="96"/>
      <c r="J35" s="73"/>
      <c r="K35" s="95"/>
      <c r="L35" s="73"/>
      <c r="M35"/>
      <c r="N35"/>
      <c r="O35"/>
      <c r="P35"/>
      <c r="Q35"/>
      <c r="R35"/>
      <c r="S35"/>
      <c r="T35"/>
      <c r="U35"/>
      <c r="V35"/>
    </row>
    <row r="36" spans="1:22">
      <c r="A36"/>
      <c r="B36"/>
      <c r="C36"/>
      <c r="D36"/>
      <c r="E36"/>
      <c r="F36"/>
      <c r="G36"/>
      <c r="H36" s="99"/>
      <c r="I36" s="73"/>
      <c r="J36" s="73"/>
      <c r="K36" s="99"/>
      <c r="L36" s="73"/>
      <c r="M36"/>
      <c r="N36"/>
      <c r="O36"/>
      <c r="P36"/>
      <c r="Q36"/>
      <c r="R36"/>
      <c r="S36"/>
      <c r="T36"/>
      <c r="U36"/>
      <c r="V36"/>
    </row>
    <row r="37" spans="1:22">
      <c r="A37"/>
      <c r="B37"/>
      <c r="C37"/>
      <c r="D37" s="59"/>
      <c r="E37" s="101"/>
      <c r="F37"/>
      <c r="G37"/>
      <c r="H37" s="73"/>
      <c r="I37" s="73"/>
      <c r="J37" s="73"/>
      <c r="K37" s="73"/>
      <c r="L37" s="73"/>
      <c r="M37"/>
      <c r="N37"/>
      <c r="O37"/>
      <c r="P37"/>
      <c r="Q37"/>
      <c r="R37"/>
      <c r="S37"/>
      <c r="T37"/>
      <c r="U37"/>
      <c r="V37"/>
    </row>
    <row r="38" spans="1:22">
      <c r="A38"/>
      <c r="B38"/>
      <c r="C38" s="102"/>
      <c r="D38"/>
      <c r="E38"/>
      <c r="F38"/>
      <c r="G38"/>
      <c r="H38"/>
      <c r="I38"/>
      <c r="J38"/>
      <c r="K38"/>
      <c r="L38"/>
      <c r="M38"/>
      <c r="N38"/>
      <c r="O38"/>
      <c r="P38"/>
      <c r="Q38"/>
      <c r="R38"/>
      <c r="S38"/>
      <c r="T38"/>
      <c r="U38"/>
      <c r="V38"/>
    </row>
    <row r="39" spans="1:22">
      <c r="A39"/>
      <c r="B39"/>
      <c r="C39"/>
      <c r="D39"/>
      <c r="E39"/>
      <c r="F39"/>
      <c r="G39"/>
      <c r="H39"/>
      <c r="I39"/>
      <c r="J39"/>
      <c r="K39"/>
      <c r="L39"/>
      <c r="M39"/>
      <c r="N39"/>
      <c r="O39"/>
      <c r="P39"/>
      <c r="Q39"/>
      <c r="R39"/>
      <c r="S39"/>
      <c r="T39"/>
      <c r="U39"/>
      <c r="V39"/>
    </row>
    <row r="42" spans="1:22">
      <c r="C42" s="63"/>
      <c r="D42" s="191"/>
      <c r="E42" s="64"/>
      <c r="F42" s="64"/>
    </row>
    <row r="44" spans="1:22">
      <c r="C44" s="63"/>
      <c r="E44" s="88"/>
      <c r="F44" s="88"/>
    </row>
  </sheetData>
  <sheetProtection algorithmName="SHA-512" hashValue="5sSelmUFk8cw/vpYdy4NhEkkw3L3KpCmi1DJF2QCddfkh9zeZ9O1BryrVdD2JNUydRd5PqOSMh8Nn59+RMPN3A==" saltValue="ife0z/cuPt6UXT1tit30sQ==" spinCount="100000" sheet="1" objects="1" scenarios="1"/>
  <mergeCells count="7">
    <mergeCell ref="N3:R3"/>
    <mergeCell ref="B3:F3"/>
    <mergeCell ref="H3:L3"/>
    <mergeCell ref="B32:F32"/>
    <mergeCell ref="C1:D1"/>
    <mergeCell ref="F1:H1"/>
    <mergeCell ref="B11:F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8"/>
    <pageSetUpPr fitToPage="1"/>
  </sheetPr>
  <dimension ref="A1:Y54"/>
  <sheetViews>
    <sheetView topLeftCell="I17" zoomScale="85" zoomScaleNormal="85" workbookViewId="0">
      <selection activeCell="X10" sqref="X10"/>
    </sheetView>
  </sheetViews>
  <sheetFormatPr defaultColWidth="9.140625" defaultRowHeight="15"/>
  <cols>
    <col min="1" max="1" width="26.7109375" style="74" customWidth="1"/>
    <col min="2" max="2" width="13.85546875" style="74" customWidth="1"/>
    <col min="3" max="3" width="5.28515625" style="74" customWidth="1"/>
    <col min="4" max="4" width="29.140625" style="74" customWidth="1"/>
    <col min="5" max="5" width="28.7109375" style="74" customWidth="1"/>
    <col min="6" max="6" width="29.28515625" style="74" customWidth="1"/>
    <col min="7" max="7" width="5.5703125" style="74" customWidth="1"/>
    <col min="8" max="8" width="5.7109375" style="74" customWidth="1"/>
    <col min="9" max="9" width="7.140625" style="74" customWidth="1"/>
    <col min="10" max="10" width="9.28515625" style="74" customWidth="1"/>
    <col min="11" max="11" width="13.85546875" style="74" customWidth="1"/>
    <col min="12" max="12" width="10.140625" style="79" customWidth="1"/>
    <col min="13" max="13" width="16.85546875" style="80" hidden="1" customWidth="1"/>
    <col min="14" max="14" width="7.85546875" style="74" customWidth="1"/>
    <col min="15" max="15" width="17.28515625" style="74" customWidth="1"/>
    <col min="16" max="16" width="10.28515625" style="74" customWidth="1"/>
    <col min="17" max="17" width="19.140625" style="74" customWidth="1"/>
    <col min="18" max="18" width="10.28515625" style="74" customWidth="1"/>
    <col min="19" max="19" width="19.140625" style="74" customWidth="1"/>
    <col min="20" max="20" width="10.28515625" style="74" customWidth="1"/>
    <col min="21" max="21" width="17.5703125" style="74" customWidth="1"/>
    <col min="22" max="22" width="10.28515625" style="74" customWidth="1"/>
    <col min="23" max="23" width="14.42578125" style="74" customWidth="1"/>
    <col min="24" max="24" width="20.28515625" style="74" customWidth="1"/>
    <col min="25" max="16384" width="9.140625" style="74"/>
  </cols>
  <sheetData>
    <row r="1" spans="1:25">
      <c r="A1"/>
      <c r="B1"/>
      <c r="C1"/>
      <c r="D1"/>
      <c r="E1"/>
      <c r="F1"/>
      <c r="G1"/>
      <c r="H1"/>
      <c r="I1" s="218" t="s">
        <v>135</v>
      </c>
      <c r="J1" s="219"/>
      <c r="K1" s="219"/>
      <c r="L1" s="219"/>
      <c r="M1" s="219"/>
      <c r="N1" s="219"/>
      <c r="O1" s="219"/>
      <c r="P1" s="219"/>
      <c r="Q1" s="219"/>
      <c r="R1" s="219"/>
      <c r="S1" s="219"/>
      <c r="T1" s="219"/>
      <c r="U1" s="219"/>
      <c r="V1" s="219"/>
      <c r="W1" s="219"/>
      <c r="X1" s="220"/>
      <c r="Y1"/>
    </row>
    <row r="2" spans="1:25">
      <c r="A2"/>
      <c r="B2"/>
      <c r="C2"/>
      <c r="D2"/>
      <c r="E2"/>
      <c r="F2"/>
      <c r="G2"/>
      <c r="H2"/>
      <c r="I2" s="221" t="s">
        <v>3</v>
      </c>
      <c r="J2" s="221" t="s">
        <v>136</v>
      </c>
      <c r="K2" s="210" t="s">
        <v>137</v>
      </c>
      <c r="L2" s="223" t="s">
        <v>138</v>
      </c>
      <c r="M2" s="137"/>
      <c r="N2" s="210" t="s">
        <v>139</v>
      </c>
      <c r="O2" s="210" t="s">
        <v>140</v>
      </c>
      <c r="P2" s="210" t="s">
        <v>141</v>
      </c>
      <c r="Q2" s="210" t="s">
        <v>142</v>
      </c>
      <c r="R2" s="210" t="s">
        <v>143</v>
      </c>
      <c r="S2" s="210" t="s">
        <v>144</v>
      </c>
      <c r="T2" s="210" t="s">
        <v>145</v>
      </c>
      <c r="U2" s="210" t="s">
        <v>146</v>
      </c>
      <c r="V2" s="210" t="s">
        <v>147</v>
      </c>
      <c r="W2" s="210" t="s">
        <v>148</v>
      </c>
      <c r="X2" s="210" t="s">
        <v>149</v>
      </c>
      <c r="Y2"/>
    </row>
    <row r="3" spans="1:25">
      <c r="A3" s="138" t="s">
        <v>19</v>
      </c>
      <c r="B3" s="139"/>
      <c r="C3" s="140"/>
      <c r="D3" s="141" t="s">
        <v>150</v>
      </c>
      <c r="E3" s="194">
        <v>2022</v>
      </c>
      <c r="F3" s="141" t="s">
        <v>151</v>
      </c>
      <c r="G3" s="71"/>
      <c r="H3" s="71"/>
      <c r="I3" s="222"/>
      <c r="J3" s="222"/>
      <c r="K3" s="210"/>
      <c r="L3" s="223"/>
      <c r="M3" s="142" t="s">
        <v>152</v>
      </c>
      <c r="N3" s="210"/>
      <c r="O3" s="210"/>
      <c r="P3" s="210"/>
      <c r="Q3" s="210"/>
      <c r="R3" s="210"/>
      <c r="S3" s="210"/>
      <c r="T3" s="210"/>
      <c r="U3" s="210"/>
      <c r="V3" s="210"/>
      <c r="W3" s="210"/>
      <c r="X3" s="210"/>
      <c r="Y3"/>
    </row>
    <row r="4" spans="1:25" ht="15.75">
      <c r="A4" s="143" t="s">
        <v>20</v>
      </c>
      <c r="B4" s="47">
        <v>2022</v>
      </c>
      <c r="C4" s="140"/>
      <c r="D4" s="72" t="s">
        <v>153</v>
      </c>
      <c r="E4" s="144">
        <f>'Inputs &amp; Outputs'!$C$40</f>
        <v>30244</v>
      </c>
      <c r="F4" s="144">
        <f>VLOOKUP(Year_Open_to_Traffic?,Calculations!I4:J36,2,Calculations!J4:J36)</f>
        <v>32883.254543072821</v>
      </c>
      <c r="G4" s="71"/>
      <c r="H4" s="145"/>
      <c r="I4" s="146">
        <v>2022</v>
      </c>
      <c r="J4" s="147">
        <f>'Inputs &amp; Outputs'!$C$40</f>
        <v>30244</v>
      </c>
      <c r="K4" s="147">
        <f>'Inputs &amp; Outputs'!C42</f>
        <v>372</v>
      </c>
      <c r="L4" s="148" t="s">
        <v>154</v>
      </c>
      <c r="M4" s="149">
        <f>MIN(B15,1)</f>
        <v>1</v>
      </c>
      <c r="N4" s="146">
        <f>-(ROUNDUP(M4,0)-2)</f>
        <v>1</v>
      </c>
      <c r="O4" s="150">
        <f>IF($I4=Year_Open_to_Traffic?,Calculations!$E$50,0)</f>
        <v>0</v>
      </c>
      <c r="P4" s="147">
        <f t="shared" ref="P4:P37" si="0">IF(AND($I4&gt;=Year_Open_to_Traffic?,$I4&lt;Year_Open_to_Traffic?+Years_to_include_in_BCA_Analysis1),1,0)</f>
        <v>0</v>
      </c>
      <c r="Q4" s="150">
        <f>IF($I4=Year_Open_to_Traffic?,$E$51,0)</f>
        <v>0</v>
      </c>
      <c r="R4" s="147">
        <f t="shared" ref="R4:R37" si="1">IF(AND($I4&gt;=Year_Open_to_Traffic?,$I4&lt;Year_Open_to_Traffic?+Years_to_include_in_BCA_Analysis2),1,0)</f>
        <v>0</v>
      </c>
      <c r="S4" s="150">
        <f>IF($I4=Year_Open_to_Traffic?,$E$52,0)</f>
        <v>0</v>
      </c>
      <c r="T4" s="147">
        <f t="shared" ref="T4:T37" si="2">IF(AND($I4&gt;=Year_Open_to_Traffic?,$I4&lt;Year_Open_to_Traffic?+Years_to_include_in_BCA_Analysis3),1,0)</f>
        <v>0</v>
      </c>
      <c r="U4" s="150">
        <f>IF($I4=Year_Open_to_Traffic?,$E$53,0)</f>
        <v>0</v>
      </c>
      <c r="V4" s="147">
        <f t="shared" ref="V4:V37" si="3">IF(AND($I4&gt;=Year_Open_to_Traffic?,$I4&lt;Year_Open_to_Traffic?+$B$8),1,0)</f>
        <v>0</v>
      </c>
      <c r="W4" s="150">
        <f>((O4*P4)+(Q4*R4)+(S4*T4)+(U4*V4))/10^3</f>
        <v>0</v>
      </c>
      <c r="X4" s="151">
        <f>W4/(1+Real_Discount_Rate)^(Calculations!I4-'Assumed Values'!$C$5)</f>
        <v>0</v>
      </c>
      <c r="Y4"/>
    </row>
    <row r="5" spans="1:25" ht="30">
      <c r="A5" s="143" t="s">
        <v>155</v>
      </c>
      <c r="B5" s="143">
        <f>Service_Life1</f>
        <v>10</v>
      </c>
      <c r="C5" s="140"/>
      <c r="D5" s="72" t="s">
        <v>156</v>
      </c>
      <c r="E5" s="144">
        <f>'Inputs &amp; Outputs'!$C$40*'Inputs &amp; Outputs'!$C$11</f>
        <v>33268.400000000001</v>
      </c>
      <c r="F5" s="144">
        <f>$F$4*'Inputs &amp; Outputs'!$C$11</f>
        <v>36171.579997380104</v>
      </c>
      <c r="G5" s="71"/>
      <c r="H5" s="145"/>
      <c r="I5" s="152">
        <f t="shared" ref="I5:I37" si="4">I4+1</f>
        <v>2023</v>
      </c>
      <c r="J5" s="153">
        <f>J4+J4*L5</f>
        <v>30668.685141217215</v>
      </c>
      <c r="K5" s="153">
        <f>K4+K4*L5</f>
        <v>377.22361038661563</v>
      </c>
      <c r="L5" s="154">
        <f t="shared" ref="L5:L12" si="5">_2030_2030_Demand_Growth</f>
        <v>1.4041963404880731E-2</v>
      </c>
      <c r="M5" s="155">
        <f t="shared" ref="M5:M11" si="6">M4*(1+IFERROR(_2021_2030_V_C_Growth,_2021_2045_V_C_Growth))</f>
        <v>1</v>
      </c>
      <c r="N5" s="156">
        <f t="shared" ref="N5:N36" si="7">-(ROUNDUP(M5,0)-2)</f>
        <v>1</v>
      </c>
      <c r="O5" s="150">
        <f>IF($I5=Year_Open_to_Traffic?,Calculations!$E$50,Calculations!O4+(Calculations!O4*Calculations!$L5*N5))</f>
        <v>0</v>
      </c>
      <c r="P5" s="147">
        <f t="shared" si="0"/>
        <v>0</v>
      </c>
      <c r="Q5" s="150">
        <f>IF(I5=Year_Open_to_Traffic?,$E$51,Calculations!Q4+(Calculations!Q4*Calculations!$L5*R5))</f>
        <v>0</v>
      </c>
      <c r="R5" s="147">
        <f t="shared" si="1"/>
        <v>0</v>
      </c>
      <c r="S5" s="150">
        <f>IF($I5=Year_Open_to_Traffic?,$E$52,Calculations!S4+(Calculations!S4*Calculations!$L5*T5))</f>
        <v>0</v>
      </c>
      <c r="T5" s="147">
        <f t="shared" si="2"/>
        <v>0</v>
      </c>
      <c r="U5" s="150">
        <f>IF($I5=Year_Open_to_Traffic?,$E$53,Calculations!U4+(Calculations!U4*Calculations!$L5*V5))</f>
        <v>0</v>
      </c>
      <c r="V5" s="147">
        <f t="shared" si="3"/>
        <v>0</v>
      </c>
      <c r="W5" s="150">
        <f t="shared" ref="W5:W36" si="8">((O5*P5)+(Q5*R5)+(S5*T5)+(U5*V5))/10^3</f>
        <v>0</v>
      </c>
      <c r="X5" s="151">
        <f>W5/(1+Real_Discount_Rate)^(Calculations!I5-'Assumed Values'!$C$5)</f>
        <v>0</v>
      </c>
      <c r="Y5"/>
    </row>
    <row r="6" spans="1:25" ht="30">
      <c r="A6" s="143" t="s">
        <v>157</v>
      </c>
      <c r="B6" s="143">
        <f>Service_Life2</f>
        <v>20</v>
      </c>
      <c r="C6" s="140"/>
      <c r="D6" s="72" t="s">
        <v>158</v>
      </c>
      <c r="E6" s="144">
        <f>E5*B9</f>
        <v>12142966</v>
      </c>
      <c r="F6" s="144">
        <f>$F$5*$B$9</f>
        <v>13202626.699043738</v>
      </c>
      <c r="G6" s="71"/>
      <c r="H6" s="145"/>
      <c r="I6" s="146">
        <f t="shared" si="4"/>
        <v>2024</v>
      </c>
      <c r="J6" s="153">
        <f t="shared" ref="J6:J36" si="9">J5+J5*L6</f>
        <v>31099.333695645997</v>
      </c>
      <c r="K6" s="153">
        <f t="shared" ref="K6:K36" si="10">K5+K5*L6</f>
        <v>382.52057051912146</v>
      </c>
      <c r="L6" s="154">
        <f t="shared" si="5"/>
        <v>1.4041963404880731E-2</v>
      </c>
      <c r="M6" s="155">
        <f t="shared" si="6"/>
        <v>1</v>
      </c>
      <c r="N6" s="156">
        <f t="shared" si="7"/>
        <v>1</v>
      </c>
      <c r="O6" s="150">
        <f>IF(I6=Year_Open_to_Traffic?,Calculations!$E$50,Calculations!O5+(Calculations!O5*Calculations!$L6*N6))</f>
        <v>0</v>
      </c>
      <c r="P6" s="147">
        <f t="shared" si="0"/>
        <v>0</v>
      </c>
      <c r="Q6" s="150">
        <f>IF(I6=Year_Open_to_Traffic?,$E$51,Calculations!Q5+(Calculations!Q5*Calculations!$L6*R6))</f>
        <v>0</v>
      </c>
      <c r="R6" s="147">
        <f t="shared" si="1"/>
        <v>0</v>
      </c>
      <c r="S6" s="150">
        <f>IF($I6=Year_Open_to_Traffic?,$E$52,Calculations!S5+(Calculations!S5*Calculations!$L6*T6))</f>
        <v>0</v>
      </c>
      <c r="T6" s="147">
        <f t="shared" si="2"/>
        <v>0</v>
      </c>
      <c r="U6" s="150">
        <f>IF($I6=Year_Open_to_Traffic?,$E$53,Calculations!U5+(Calculations!U5*Calculations!$L6*V6))</f>
        <v>0</v>
      </c>
      <c r="V6" s="147">
        <f t="shared" si="3"/>
        <v>0</v>
      </c>
      <c r="W6" s="150">
        <f t="shared" si="8"/>
        <v>0</v>
      </c>
      <c r="X6" s="151">
        <f>W6/(1+Real_Discount_Rate)^(Calculations!I6-'Assumed Values'!$C$5)</f>
        <v>0</v>
      </c>
      <c r="Y6"/>
    </row>
    <row r="7" spans="1:25" ht="30">
      <c r="A7" s="143" t="s">
        <v>159</v>
      </c>
      <c r="B7" s="143">
        <f>Service_Life3</f>
        <v>2</v>
      </c>
      <c r="C7" s="140"/>
      <c r="D7" s="140"/>
      <c r="E7" s="140"/>
      <c r="F7" s="140"/>
      <c r="G7" s="71"/>
      <c r="H7" s="145"/>
      <c r="I7" s="152">
        <f t="shared" si="4"/>
        <v>2025</v>
      </c>
      <c r="J7" s="153">
        <f t="shared" si="9"/>
        <v>31536.029401316431</v>
      </c>
      <c r="K7" s="153">
        <f t="shared" si="10"/>
        <v>387.89191037196508</v>
      </c>
      <c r="L7" s="154">
        <f t="shared" si="5"/>
        <v>1.4041963404880731E-2</v>
      </c>
      <c r="M7" s="155">
        <f t="shared" si="6"/>
        <v>1</v>
      </c>
      <c r="N7" s="156">
        <f t="shared" si="7"/>
        <v>1</v>
      </c>
      <c r="O7" s="150">
        <f>IF(I7=Year_Open_to_Traffic?,Calculations!$E$50,Calculations!O6+(Calculations!O6*Calculations!$L7*N7))</f>
        <v>0</v>
      </c>
      <c r="P7" s="147">
        <f t="shared" si="0"/>
        <v>0</v>
      </c>
      <c r="Q7" s="150">
        <f>IF(I7=Year_Open_to_Traffic?,$E$51,Calculations!Q6+(Calculations!Q6*Calculations!$L7*R7))</f>
        <v>0</v>
      </c>
      <c r="R7" s="147">
        <f t="shared" si="1"/>
        <v>0</v>
      </c>
      <c r="S7" s="150">
        <f>IF($I7=Year_Open_to_Traffic?,$E$52,Calculations!S6+(Calculations!S6*Calculations!$L7*T7))</f>
        <v>0</v>
      </c>
      <c r="T7" s="147">
        <f t="shared" si="2"/>
        <v>0</v>
      </c>
      <c r="U7" s="150">
        <f>IF($I7=Year_Open_to_Traffic?,$E$53,Calculations!U6+(Calculations!U6*Calculations!$L7*V7))</f>
        <v>0</v>
      </c>
      <c r="V7" s="147">
        <f t="shared" si="3"/>
        <v>0</v>
      </c>
      <c r="W7" s="150">
        <f t="shared" si="8"/>
        <v>0</v>
      </c>
      <c r="X7" s="151">
        <f>W7/(1+Real_Discount_Rate)^(Calculations!I7-'Assumed Values'!$C$5)</f>
        <v>0</v>
      </c>
      <c r="Y7"/>
    </row>
    <row r="8" spans="1:25" ht="30" customHeight="1">
      <c r="A8" s="143" t="s">
        <v>160</v>
      </c>
      <c r="B8" s="143">
        <f>'Inputs &amp; Outputs'!$C$36</f>
        <v>2</v>
      </c>
      <c r="C8" s="140"/>
      <c r="D8" s="215"/>
      <c r="E8" s="211" t="s">
        <v>161</v>
      </c>
      <c r="F8" s="212" t="s">
        <v>162</v>
      </c>
      <c r="G8" s="71"/>
      <c r="H8" s="145"/>
      <c r="I8" s="146">
        <f t="shared" si="4"/>
        <v>2026</v>
      </c>
      <c r="J8" s="153">
        <f t="shared" si="9"/>
        <v>31978.857172104959</v>
      </c>
      <c r="K8" s="153">
        <f t="shared" si="10"/>
        <v>393.3386743824575</v>
      </c>
      <c r="L8" s="154">
        <f t="shared" si="5"/>
        <v>1.4041963404880731E-2</v>
      </c>
      <c r="M8" s="155">
        <f t="shared" si="6"/>
        <v>1</v>
      </c>
      <c r="N8" s="156">
        <f t="shared" si="7"/>
        <v>1</v>
      </c>
      <c r="O8" s="150">
        <f>IF(I8=Year_Open_to_Traffic?,Calculations!$E$50,Calculations!O7+(Calculations!O7*Calculations!$L8*N8))</f>
        <v>0</v>
      </c>
      <c r="P8" s="147">
        <f t="shared" si="0"/>
        <v>0</v>
      </c>
      <c r="Q8" s="150">
        <f>IF(I8=Year_Open_to_Traffic?,$E$51,Calculations!Q7+(Calculations!Q7*Calculations!$L8*R8))</f>
        <v>0</v>
      </c>
      <c r="R8" s="147">
        <f t="shared" si="1"/>
        <v>0</v>
      </c>
      <c r="S8" s="150">
        <f>IF($I8=Year_Open_to_Traffic?,$E$52,Calculations!S7+(Calculations!S7*Calculations!$L8*T8))</f>
        <v>0</v>
      </c>
      <c r="T8" s="147">
        <f t="shared" si="2"/>
        <v>0</v>
      </c>
      <c r="U8" s="150">
        <f>IF($I8=Year_Open_to_Traffic?,$E$53,Calculations!U7+(Calculations!U7*Calculations!$L8*V8))</f>
        <v>0</v>
      </c>
      <c r="V8" s="147">
        <f t="shared" si="3"/>
        <v>0</v>
      </c>
      <c r="W8" s="150">
        <f t="shared" si="8"/>
        <v>0</v>
      </c>
      <c r="X8" s="151">
        <f>W8/(1+Real_Discount_Rate)^(Calculations!I8-'Assumed Values'!$C$5)</f>
        <v>0</v>
      </c>
      <c r="Y8"/>
    </row>
    <row r="9" spans="1:25" ht="30">
      <c r="A9" s="157" t="s">
        <v>163</v>
      </c>
      <c r="B9" s="143">
        <v>365</v>
      </c>
      <c r="C9" s="140"/>
      <c r="D9" s="215"/>
      <c r="E9" s="211"/>
      <c r="F9" s="213"/>
      <c r="G9" s="71"/>
      <c r="H9" s="145"/>
      <c r="I9" s="152">
        <f t="shared" si="4"/>
        <v>2027</v>
      </c>
      <c r="J9" s="153">
        <f t="shared" si="9"/>
        <v>32427.903114245564</v>
      </c>
      <c r="K9" s="153">
        <f t="shared" si="10"/>
        <v>398.86192165386024</v>
      </c>
      <c r="L9" s="154">
        <f t="shared" si="5"/>
        <v>1.4041963404880731E-2</v>
      </c>
      <c r="M9" s="155">
        <f t="shared" si="6"/>
        <v>1</v>
      </c>
      <c r="N9" s="156">
        <f t="shared" si="7"/>
        <v>1</v>
      </c>
      <c r="O9" s="150">
        <f>IF(I9=Year_Open_to_Traffic?,Calculations!$E$50,Calculations!O8+(Calculations!O8*Calculations!$L9*N9))</f>
        <v>0</v>
      </c>
      <c r="P9" s="147">
        <f t="shared" si="0"/>
        <v>0</v>
      </c>
      <c r="Q9" s="150">
        <f>IF(I9=Year_Open_to_Traffic?,$E$51,Calculations!Q8+(Calculations!Q8*Calculations!$L9*R9))</f>
        <v>0</v>
      </c>
      <c r="R9" s="147">
        <f t="shared" si="1"/>
        <v>0</v>
      </c>
      <c r="S9" s="150">
        <f>IF($I9=Year_Open_to_Traffic?,$E$52,Calculations!S8+(Calculations!S8*Calculations!$L9*T9))</f>
        <v>0</v>
      </c>
      <c r="T9" s="147">
        <f t="shared" si="2"/>
        <v>0</v>
      </c>
      <c r="U9" s="150">
        <f>IF($I9=Year_Open_to_Traffic?,$E$53,Calculations!U8+(Calculations!U8*Calculations!$L9*V9))</f>
        <v>0</v>
      </c>
      <c r="V9" s="147">
        <f t="shared" si="3"/>
        <v>0</v>
      </c>
      <c r="W9" s="150">
        <f t="shared" si="8"/>
        <v>0</v>
      </c>
      <c r="X9" s="151">
        <f>W9/(1+Real_Discount_Rate)^(Calculations!I9-'Assumed Values'!$C$5)</f>
        <v>0</v>
      </c>
      <c r="Y9"/>
    </row>
    <row r="10" spans="1:25" ht="15.75">
      <c r="A10" s="140"/>
      <c r="B10" s="140"/>
      <c r="C10" s="140"/>
      <c r="D10" s="215"/>
      <c r="E10" s="211"/>
      <c r="F10" s="214"/>
      <c r="G10" s="71"/>
      <c r="H10" s="145"/>
      <c r="I10" s="146">
        <f t="shared" si="4"/>
        <v>2028</v>
      </c>
      <c r="J10" s="153">
        <f t="shared" si="9"/>
        <v>32883.254543072821</v>
      </c>
      <c r="K10" s="153">
        <f t="shared" si="10"/>
        <v>404.46272616132416</v>
      </c>
      <c r="L10" s="154">
        <f t="shared" si="5"/>
        <v>1.4041963404880731E-2</v>
      </c>
      <c r="M10" s="155">
        <f t="shared" si="6"/>
        <v>1</v>
      </c>
      <c r="N10" s="156">
        <f t="shared" si="7"/>
        <v>1</v>
      </c>
      <c r="O10" s="150">
        <f>IF(I10=Year_Open_to_Traffic?,Calculations!$E$50,Calculations!O9+(Calculations!O9*Calculations!$L10*N10))</f>
        <v>636375.27873297175</v>
      </c>
      <c r="P10" s="147">
        <f t="shared" si="0"/>
        <v>1</v>
      </c>
      <c r="Q10" s="150">
        <f>IF(I10=Year_Open_to_Traffic?,$E$51,Calculations!Q9+(Calculations!Q9*Calculations!$L10*R10))</f>
        <v>371218.91259423352</v>
      </c>
      <c r="R10" s="147">
        <f t="shared" si="1"/>
        <v>1</v>
      </c>
      <c r="S10" s="150">
        <f>IF($I10=Year_Open_to_Traffic?,$E$52,Calculations!S9+(Calculations!S9*Calculations!$L10*T10))</f>
        <v>278414.18444567517</v>
      </c>
      <c r="T10" s="147">
        <f t="shared" si="2"/>
        <v>1</v>
      </c>
      <c r="U10" s="150">
        <f>IF($I10=Year_Open_to_Traffic?,$E$53,Calculations!U9+(Calculations!U9*Calculations!$L10*V10))</f>
        <v>0</v>
      </c>
      <c r="V10" s="147">
        <f t="shared" si="3"/>
        <v>1</v>
      </c>
      <c r="W10" s="150">
        <f t="shared" si="8"/>
        <v>1286.0083757728803</v>
      </c>
      <c r="X10" s="151">
        <f>W10/(1+Real_Discount_Rate)^(Calculations!I10-'Assumed Values'!$C$5)</f>
        <v>1070.7591775603025</v>
      </c>
      <c r="Y10"/>
    </row>
    <row r="11" spans="1:25" ht="15.75">
      <c r="A11" s="216" t="s">
        <v>164</v>
      </c>
      <c r="B11" s="216"/>
      <c r="C11" s="140"/>
      <c r="D11" s="158" t="s">
        <v>110</v>
      </c>
      <c r="E11" s="159">
        <f>VLOOKUP('Inputs &amp; Outputs'!$C$19,'Preventable Crash data'!$B$11:$F$16,2,FALSE)</f>
        <v>0</v>
      </c>
      <c r="F11" s="159">
        <f>E11*Appropriate_Crash_Reduction_Factor1</f>
        <v>0</v>
      </c>
      <c r="G11" s="71"/>
      <c r="H11" s="145"/>
      <c r="I11" s="152">
        <f t="shared" si="4"/>
        <v>2029</v>
      </c>
      <c r="J11" s="153">
        <f t="shared" si="9"/>
        <v>33345.000000000029</v>
      </c>
      <c r="K11" s="153">
        <f t="shared" si="10"/>
        <v>410.14217696071978</v>
      </c>
      <c r="L11" s="154">
        <f t="shared" si="5"/>
        <v>1.4041963404880731E-2</v>
      </c>
      <c r="M11" s="155">
        <f t="shared" si="6"/>
        <v>1</v>
      </c>
      <c r="N11" s="156">
        <f t="shared" si="7"/>
        <v>1</v>
      </c>
      <c r="O11" s="150">
        <f>IF(I11=Year_Open_to_Traffic?,Calculations!$E$50,Calculations!O10+(Calculations!O10*Calculations!$L11*N11))</f>
        <v>645311.23710871092</v>
      </c>
      <c r="P11" s="147">
        <f t="shared" si="0"/>
        <v>1</v>
      </c>
      <c r="Q11" s="150">
        <f>IF(I11=Year_Open_to_Traffic?,$E$51,Calculations!Q10+(Calculations!Q10*Calculations!$L11*R11))</f>
        <v>376431.55498008139</v>
      </c>
      <c r="R11" s="147">
        <f t="shared" si="1"/>
        <v>1</v>
      </c>
      <c r="S11" s="150">
        <f>IF($I11=Year_Open_to_Traffic?,$E$52,Calculations!S10+(Calculations!S10*Calculations!$L11*T11))</f>
        <v>282323.66623506107</v>
      </c>
      <c r="T11" s="147">
        <f t="shared" si="2"/>
        <v>1</v>
      </c>
      <c r="U11" s="150">
        <f>IF($I11=Year_Open_to_Traffic?,$E$53,Calculations!U10+(Calculations!U10*Calculations!$L11*V11))</f>
        <v>0</v>
      </c>
      <c r="V11" s="147">
        <f t="shared" si="3"/>
        <v>1</v>
      </c>
      <c r="W11" s="150">
        <f t="shared" si="8"/>
        <v>1304.0664583238533</v>
      </c>
      <c r="X11" s="151">
        <f>W11/(1+Real_Discount_Rate)^(Calculations!I11-'Assumed Values'!$C$5)</f>
        <v>1053.1471762822937</v>
      </c>
      <c r="Y11"/>
    </row>
    <row r="12" spans="1:25" ht="15.75">
      <c r="A12" s="143" t="s">
        <v>165</v>
      </c>
      <c r="B12" s="160">
        <f>IF('Growth Rates'!$C$16&lt;&gt;0,'Growth Rates'!$C$16,VLOOKUP('Inputs &amp; Outputs'!$C$6,'Growth Rates'!#REF!,2,FALSE))</f>
        <v>1.4041963404880731E-2</v>
      </c>
      <c r="C12" s="140"/>
      <c r="D12" s="158" t="s">
        <v>111</v>
      </c>
      <c r="E12" s="159">
        <f>VLOOKUP('Inputs &amp; Outputs'!$C$19,'Preventable Crash data'!$B$11:$F$16,3,FALSE)</f>
        <v>0.66151964025922494</v>
      </c>
      <c r="F12" s="159">
        <f>E12*Appropriate_Crash_Reduction_Factor1</f>
        <v>0.19845589207776748</v>
      </c>
      <c r="G12" s="71"/>
      <c r="H12" s="145"/>
      <c r="I12" s="146">
        <f t="shared" si="4"/>
        <v>2030</v>
      </c>
      <c r="J12" s="153">
        <f t="shared" si="9"/>
        <v>33813.229269735777</v>
      </c>
      <c r="K12" s="153">
        <f t="shared" si="10"/>
        <v>415.90137840040035</v>
      </c>
      <c r="L12" s="154">
        <f t="shared" si="5"/>
        <v>1.4041963404880731E-2</v>
      </c>
      <c r="M12" s="155">
        <f t="shared" ref="M12:M37" si="11">M11*(1+IFERROR(_2030_2045_V_C_Growth,_2021_2045_V_C_Growth))</f>
        <v>1</v>
      </c>
      <c r="N12" s="156">
        <f t="shared" si="7"/>
        <v>1</v>
      </c>
      <c r="O12" s="150">
        <f>IF(I12=Year_Open_to_Traffic?,Calculations!$E$50,Calculations!O11+(Calculations!O11*Calculations!$L12*N12))</f>
        <v>654372.67388494976</v>
      </c>
      <c r="P12" s="147">
        <f t="shared" si="0"/>
        <v>1</v>
      </c>
      <c r="Q12" s="150">
        <f>IF(I12=Year_Open_to_Traffic?,$E$51,Calculations!Q11+(Calculations!Q11*Calculations!$L12*R12))</f>
        <v>381717.39309955406</v>
      </c>
      <c r="R12" s="147">
        <f t="shared" si="1"/>
        <v>1</v>
      </c>
      <c r="S12" s="150">
        <f>IF($I12=Year_Open_to_Traffic?,$E$52,Calculations!S11+(Calculations!S11*Calculations!$L12*T12))</f>
        <v>282323.66623506107</v>
      </c>
      <c r="T12" s="147">
        <f t="shared" si="2"/>
        <v>0</v>
      </c>
      <c r="U12" s="150">
        <f>IF($I12=Year_Open_to_Traffic?,$E$53,Calculations!U11+(Calculations!U11*Calculations!$L12*V12))</f>
        <v>0</v>
      </c>
      <c r="V12" s="147">
        <f t="shared" si="3"/>
        <v>0</v>
      </c>
      <c r="W12" s="150">
        <f t="shared" si="8"/>
        <v>1036.0900669845037</v>
      </c>
      <c r="X12" s="151">
        <f>W12/(1+Real_Discount_Rate)^(Calculations!I12-'Assumed Values'!$C$5)</f>
        <v>811.57411690943468</v>
      </c>
      <c r="Y12"/>
    </row>
    <row r="13" spans="1:25" ht="39.6" customHeight="1">
      <c r="A13" s="143" t="s">
        <v>166</v>
      </c>
      <c r="B13" s="160">
        <f>IF('Growth Rates'!$C$16&lt;&gt;0,'Growth Rates'!$C$16,VLOOKUP('Inputs &amp; Outputs'!$C$6,'Growth Rates'!B1:D8,3,FALSE))</f>
        <v>1.4041963404880731E-2</v>
      </c>
      <c r="C13" s="140"/>
      <c r="D13" s="158" t="s">
        <v>112</v>
      </c>
      <c r="E13" s="159">
        <f>VLOOKUP('Inputs &amp; Outputs'!$C$19,'Preventable Crash data'!$B$11:$F$16,4,FALSE)</f>
        <v>2.866585107789974</v>
      </c>
      <c r="F13" s="159">
        <f>E13*Appropriate_Crash_Reduction_Factor1</f>
        <v>0.8599755323369922</v>
      </c>
      <c r="G13" s="71"/>
      <c r="H13" s="145"/>
      <c r="I13" s="152">
        <f t="shared" si="4"/>
        <v>2031</v>
      </c>
      <c r="J13" s="153">
        <f t="shared" si="9"/>
        <v>34288.033397742249</v>
      </c>
      <c r="K13" s="153">
        <f t="shared" si="10"/>
        <v>421.74145033593823</v>
      </c>
      <c r="L13" s="154">
        <f t="shared" ref="L13:L33" si="12">_2030_2045_Demand_Growth</f>
        <v>1.4041963404880731E-2</v>
      </c>
      <c r="M13" s="155">
        <f t="shared" si="11"/>
        <v>1</v>
      </c>
      <c r="N13" s="156">
        <f t="shared" si="7"/>
        <v>1</v>
      </c>
      <c r="O13" s="150">
        <f>IF(I13=Year_Open_to_Traffic?,Calculations!$E$50,Calculations!O12+(Calculations!O12*Calculations!$L13*N13))</f>
        <v>663561.35102479614</v>
      </c>
      <c r="P13" s="147">
        <f t="shared" si="0"/>
        <v>1</v>
      </c>
      <c r="Q13" s="150">
        <f>IF(I13=Year_Open_to_Traffic?,$E$51,Calculations!Q12+(Calculations!Q12*Calculations!$L13*R13))</f>
        <v>387077.45476446446</v>
      </c>
      <c r="R13" s="147">
        <f t="shared" si="1"/>
        <v>1</v>
      </c>
      <c r="S13" s="150">
        <f>IF($I13=Year_Open_to_Traffic?,$E$52,Calculations!S12+(Calculations!S12*Calculations!$L13*T13))</f>
        <v>282323.66623506107</v>
      </c>
      <c r="T13" s="147">
        <f t="shared" si="2"/>
        <v>0</v>
      </c>
      <c r="U13" s="150">
        <f>IF($I13=Year_Open_to_Traffic?,$E$53,Calculations!U12+(Calculations!U12*Calculations!$L13*V13))</f>
        <v>0</v>
      </c>
      <c r="V13" s="147">
        <f t="shared" si="3"/>
        <v>0</v>
      </c>
      <c r="W13" s="150">
        <f t="shared" si="8"/>
        <v>1050.6388057892607</v>
      </c>
      <c r="X13" s="151">
        <f>W13/(1+Real_Discount_Rate)^(Calculations!I13-'Assumed Values'!$C$5)</f>
        <v>798.2252288646223</v>
      </c>
      <c r="Y13"/>
    </row>
    <row r="14" spans="1:25" ht="15.75">
      <c r="A14" s="140"/>
      <c r="B14" s="161"/>
      <c r="C14" s="140"/>
      <c r="D14" s="158" t="s">
        <v>113</v>
      </c>
      <c r="E14" s="159">
        <f>VLOOKUP('Inputs &amp; Outputs'!$C$19,'Preventable Crash data'!$B$11:$F$16,5,FALSE)</f>
        <v>5.9536767623330249</v>
      </c>
      <c r="F14" s="159">
        <f>Calculations!E14*Appropriate_Crash_Reduction_Factor1</f>
        <v>1.7861030286999073</v>
      </c>
      <c r="G14" s="71"/>
      <c r="H14" s="145"/>
      <c r="I14" s="146">
        <f>I13+1</f>
        <v>2032</v>
      </c>
      <c r="J14" s="153">
        <f t="shared" si="9"/>
        <v>34769.504707938671</v>
      </c>
      <c r="K14" s="153">
        <f t="shared" si="10"/>
        <v>427.66352834787682</v>
      </c>
      <c r="L14" s="154">
        <f t="shared" si="12"/>
        <v>1.4041963404880731E-2</v>
      </c>
      <c r="M14" s="155">
        <f>M13*(1+IFERROR(_2030_2045_V_C_Growth,_2021_2045_V_C_Growth))</f>
        <v>1</v>
      </c>
      <c r="N14" s="156">
        <f t="shared" si="7"/>
        <v>1</v>
      </c>
      <c r="O14" s="150">
        <f>IF(I14=Year_Open_to_Traffic?,Calculations!$E$50,Calculations!O13+(Calculations!O13*Calculations!$L14*N14))</f>
        <v>672879.05523277959</v>
      </c>
      <c r="P14" s="147">
        <f t="shared" si="0"/>
        <v>1</v>
      </c>
      <c r="Q14" s="150">
        <f>IF(I14=Year_Open_to_Traffic?,$E$51,Calculations!Q13+(Calculations!Q13*Calculations!$L14*R14))</f>
        <v>392512.78221912147</v>
      </c>
      <c r="R14" s="147">
        <f t="shared" si="1"/>
        <v>1</v>
      </c>
      <c r="S14" s="150">
        <f>IF($I14=Year_Open_to_Traffic?,$E$52,Calculations!S13+(Calculations!S13*Calculations!$L14*T14))</f>
        <v>282323.66623506107</v>
      </c>
      <c r="T14" s="147">
        <f t="shared" si="2"/>
        <v>0</v>
      </c>
      <c r="U14" s="150">
        <f>IF($I14=Year_Open_to_Traffic?,$E$53,Calculations!U13+(Calculations!U13*Calculations!$L14*V14))</f>
        <v>0</v>
      </c>
      <c r="V14" s="147">
        <f t="shared" si="3"/>
        <v>0</v>
      </c>
      <c r="W14" s="150">
        <f t="shared" si="8"/>
        <v>1065.391837451901</v>
      </c>
      <c r="X14" s="151">
        <f>W14/(1+Real_Discount_Rate)^(Calculations!I14-'Assumed Values'!$C$5)</f>
        <v>785.09590525430826</v>
      </c>
      <c r="Y14"/>
    </row>
    <row r="15" spans="1:25" ht="15.75">
      <c r="A15" s="140"/>
      <c r="B15" s="162"/>
      <c r="C15" s="140"/>
      <c r="D15" s="140"/>
      <c r="E15" s="140"/>
      <c r="F15" s="140"/>
      <c r="G15" s="71"/>
      <c r="H15" s="145"/>
      <c r="I15" s="152">
        <f>I14+1</f>
        <v>2033</v>
      </c>
      <c r="J15" s="153">
        <f t="shared" si="9"/>
        <v>35257.736820653372</v>
      </c>
      <c r="K15" s="153">
        <f t="shared" si="10"/>
        <v>433.66876396253986</v>
      </c>
      <c r="L15" s="154">
        <f t="shared" si="12"/>
        <v>1.4041963404880731E-2</v>
      </c>
      <c r="M15" s="155">
        <f>M14*(1+IFERROR(_2030_2045_V_C_Growth,_2021_2045_V_C_Growth))</f>
        <v>1</v>
      </c>
      <c r="N15" s="156">
        <f t="shared" si="7"/>
        <v>1</v>
      </c>
      <c r="O15" s="150">
        <f>IF(I15=Year_Open_to_Traffic?,Calculations!$E$50,Calculations!O14+(Calculations!O14*Calculations!$L15*N15))</f>
        <v>682327.59830226901</v>
      </c>
      <c r="P15" s="147">
        <f t="shared" si="0"/>
        <v>1</v>
      </c>
      <c r="Q15" s="150">
        <f>IF(I15=Year_Open_to_Traffic?,$E$51,Calculations!Q14+(Calculations!Q14*Calculations!$L15*R15))</f>
        <v>398024.4323429903</v>
      </c>
      <c r="R15" s="147">
        <f t="shared" si="1"/>
        <v>1</v>
      </c>
      <c r="S15" s="150">
        <f>IF($I15=Year_Open_to_Traffic?,$E$52,Calculations!S14+(Calculations!S14*Calculations!$L15*T15))</f>
        <v>282323.66623506107</v>
      </c>
      <c r="T15" s="147">
        <f t="shared" si="2"/>
        <v>0</v>
      </c>
      <c r="U15" s="150">
        <f>IF($I15=Year_Open_to_Traffic?,$E$53,Calculations!U14+(Calculations!U14*Calculations!$L15*V15))</f>
        <v>0</v>
      </c>
      <c r="V15" s="147">
        <f t="shared" si="3"/>
        <v>0</v>
      </c>
      <c r="W15" s="150">
        <f t="shared" si="8"/>
        <v>1080.3520306452592</v>
      </c>
      <c r="X15" s="151">
        <f>W15/(1+Real_Discount_Rate)^(Calculations!I15-'Assumed Values'!$C$5)</f>
        <v>772.18253465102919</v>
      </c>
      <c r="Y15"/>
    </row>
    <row r="16" spans="1:25" ht="15.75">
      <c r="A16" s="140"/>
      <c r="B16" s="163"/>
      <c r="C16" s="140"/>
      <c r="D16" s="164"/>
      <c r="E16" s="165"/>
      <c r="F16" s="164"/>
      <c r="G16" s="71"/>
      <c r="H16" s="145"/>
      <c r="I16" s="146">
        <f t="shared" si="4"/>
        <v>2034</v>
      </c>
      <c r="J16" s="153">
        <f t="shared" si="9"/>
        <v>35752.824670827904</v>
      </c>
      <c r="K16" s="153">
        <f t="shared" si="10"/>
        <v>439.7583248759417</v>
      </c>
      <c r="L16" s="154">
        <f t="shared" si="12"/>
        <v>1.4041963404880731E-2</v>
      </c>
      <c r="M16" s="155">
        <f t="shared" si="11"/>
        <v>1</v>
      </c>
      <c r="N16" s="156">
        <f t="shared" si="7"/>
        <v>1</v>
      </c>
      <c r="O16" s="150">
        <f>IF(I16=Year_Open_to_Traffic?,Calculations!$E$50,Calculations!O15+(Calculations!O15*Calculations!$L16*N16))</f>
        <v>691908.81746776961</v>
      </c>
      <c r="P16" s="147">
        <f t="shared" si="0"/>
        <v>1</v>
      </c>
      <c r="Q16" s="150">
        <f>IF(I16=Year_Open_to_Traffic?,$E$51,Calculations!Q15+(Calculations!Q15*Calculations!$L16*R16))</f>
        <v>403613.47685619898</v>
      </c>
      <c r="R16" s="147">
        <f t="shared" si="1"/>
        <v>1</v>
      </c>
      <c r="S16" s="150">
        <f>IF($I16=Year_Open_to_Traffic?,$E$52,Calculations!S15+(Calculations!S15*Calculations!$L16*T16))</f>
        <v>282323.66623506107</v>
      </c>
      <c r="T16" s="147">
        <f t="shared" si="2"/>
        <v>0</v>
      </c>
      <c r="U16" s="150">
        <f>IF($I16=Year_Open_to_Traffic?,$E$53,Calculations!U15+(Calculations!U15*Calculations!$L16*V16))</f>
        <v>0</v>
      </c>
      <c r="V16" s="147">
        <f t="shared" si="3"/>
        <v>0</v>
      </c>
      <c r="W16" s="150">
        <f t="shared" si="8"/>
        <v>1095.5222943239687</v>
      </c>
      <c r="X16" s="151">
        <f>W16/(1+Real_Discount_Rate)^(Calculations!I16-'Assumed Values'!$C$5)</f>
        <v>759.48156502860036</v>
      </c>
      <c r="Y16"/>
    </row>
    <row r="17" spans="1:25" ht="15.75">
      <c r="A17" s="140"/>
      <c r="B17" s="162"/>
      <c r="C17" s="140"/>
      <c r="D17" s="140"/>
      <c r="E17" s="166"/>
      <c r="F17" s="166"/>
      <c r="G17" s="71"/>
      <c r="H17" s="145"/>
      <c r="I17" s="152">
        <f t="shared" si="4"/>
        <v>2035</v>
      </c>
      <c r="J17" s="153">
        <f t="shared" si="9"/>
        <v>36254.864526476784</v>
      </c>
      <c r="K17" s="153">
        <f t="shared" si="10"/>
        <v>445.93339518084133</v>
      </c>
      <c r="L17" s="154">
        <f t="shared" si="12"/>
        <v>1.4041963404880731E-2</v>
      </c>
      <c r="M17" s="155">
        <f t="shared" si="11"/>
        <v>1</v>
      </c>
      <c r="N17" s="156">
        <f t="shared" si="7"/>
        <v>1</v>
      </c>
      <c r="O17" s="150">
        <f>IF(I17=Year_Open_to_Traffic?,Calculations!$E$50,Calculations!O16+(Calculations!O16*Calculations!$L17*N17))</f>
        <v>701624.57576216629</v>
      </c>
      <c r="P17" s="147">
        <f t="shared" si="0"/>
        <v>1</v>
      </c>
      <c r="Q17" s="150">
        <f>IF(I17=Year_Open_to_Traffic?,$E$51,Calculations!Q16+(Calculations!Q16*Calculations!$L17*R17))</f>
        <v>409281.00252793042</v>
      </c>
      <c r="R17" s="147">
        <f t="shared" si="1"/>
        <v>1</v>
      </c>
      <c r="S17" s="150">
        <f>IF($I17=Year_Open_to_Traffic?,$E$52,Calculations!S16+(Calculations!S16*Calculations!$L17*T17))</f>
        <v>282323.66623506107</v>
      </c>
      <c r="T17" s="147">
        <f t="shared" si="2"/>
        <v>0</v>
      </c>
      <c r="U17" s="150">
        <f>IF($I17=Year_Open_to_Traffic?,$E$53,Calculations!U16+(Calculations!U16*Calculations!$L17*V17))</f>
        <v>0</v>
      </c>
      <c r="V17" s="147">
        <f t="shared" si="3"/>
        <v>0</v>
      </c>
      <c r="W17" s="150">
        <f t="shared" si="8"/>
        <v>1110.9055782900966</v>
      </c>
      <c r="X17" s="151">
        <f>W17/(1+Real_Discount_Rate)^(Calculations!I17-'Assumed Values'!$C$5)</f>
        <v>746.98950278507607</v>
      </c>
      <c r="Y17"/>
    </row>
    <row r="18" spans="1:25" ht="15.75">
      <c r="A18" s="140"/>
      <c r="B18" s="161"/>
      <c r="C18" s="140"/>
      <c r="D18" s="215"/>
      <c r="E18" s="211" t="s">
        <v>167</v>
      </c>
      <c r="F18" s="211" t="s">
        <v>168</v>
      </c>
      <c r="G18" s="71"/>
      <c r="H18" s="145"/>
      <c r="I18" s="146">
        <f t="shared" si="4"/>
        <v>2036</v>
      </c>
      <c r="J18" s="153">
        <f t="shared" si="9"/>
        <v>36763.954007406479</v>
      </c>
      <c r="K18" s="153">
        <f t="shared" si="10"/>
        <v>452.19517559698494</v>
      </c>
      <c r="L18" s="154">
        <f t="shared" si="12"/>
        <v>1.4041963404880731E-2</v>
      </c>
      <c r="M18" s="155">
        <f t="shared" si="11"/>
        <v>1</v>
      </c>
      <c r="N18" s="156">
        <f t="shared" si="7"/>
        <v>1</v>
      </c>
      <c r="O18" s="150">
        <f>IF(I18=Year_Open_to_Traffic?,Calculations!$E$50,Calculations!O17+(Calculations!O17*Calculations!$L18*N18))</f>
        <v>711476.76237898355</v>
      </c>
      <c r="P18" s="147">
        <f t="shared" si="0"/>
        <v>1</v>
      </c>
      <c r="Q18" s="150">
        <f>IF(I18=Year_Open_to_Traffic?,$E$51,Calculations!Q17+(Calculations!Q17*Calculations!$L18*R18))</f>
        <v>415028.11138774053</v>
      </c>
      <c r="R18" s="147">
        <f t="shared" si="1"/>
        <v>1</v>
      </c>
      <c r="S18" s="150">
        <f>IF($I18=Year_Open_to_Traffic?,$E$52,Calculations!S17+(Calculations!S17*Calculations!$L18*T18))</f>
        <v>282323.66623506107</v>
      </c>
      <c r="T18" s="147">
        <f t="shared" si="2"/>
        <v>0</v>
      </c>
      <c r="U18" s="150">
        <f>IF($I18=Year_Open_to_Traffic?,$E$53,Calculations!U17+(Calculations!U17*Calculations!$L18*V18))</f>
        <v>0</v>
      </c>
      <c r="V18" s="147">
        <f t="shared" si="3"/>
        <v>0</v>
      </c>
      <c r="W18" s="150">
        <f t="shared" si="8"/>
        <v>1126.5048737667241</v>
      </c>
      <c r="X18" s="151">
        <f>W18/(1+Real_Discount_Rate)^(Calculations!I18-'Assumed Values'!$C$5)</f>
        <v>734.70291178177922</v>
      </c>
      <c r="Y18"/>
    </row>
    <row r="19" spans="1:25" ht="15.75">
      <c r="A19" s="140"/>
      <c r="B19" s="161"/>
      <c r="C19" s="140"/>
      <c r="D19" s="215"/>
      <c r="E19" s="211"/>
      <c r="F19" s="211"/>
      <c r="G19" s="71"/>
      <c r="H19" s="145"/>
      <c r="I19" s="152">
        <f t="shared" si="4"/>
        <v>2037</v>
      </c>
      <c r="J19" s="153">
        <f t="shared" si="9"/>
        <v>37280.192104197202</v>
      </c>
      <c r="K19" s="153">
        <f t="shared" si="10"/>
        <v>458.54488370458142</v>
      </c>
      <c r="L19" s="154">
        <f t="shared" si="12"/>
        <v>1.4041963404880731E-2</v>
      </c>
      <c r="M19" s="155">
        <f t="shared" si="11"/>
        <v>1</v>
      </c>
      <c r="N19" s="156">
        <f t="shared" si="7"/>
        <v>1</v>
      </c>
      <c r="O19" s="150">
        <f>IF(I19=Year_Open_to_Traffic?,Calculations!$E$50,Calculations!O18+(Calculations!O18*Calculations!$L19*N19))</f>
        <v>721467.29303973226</v>
      </c>
      <c r="P19" s="147">
        <f t="shared" si="0"/>
        <v>1</v>
      </c>
      <c r="Q19" s="150">
        <f>IF(I19=Year_Open_to_Traffic?,$E$51,Calculations!Q18+(Calculations!Q18*Calculations!$L19*R19))</f>
        <v>420855.92093984393</v>
      </c>
      <c r="R19" s="147">
        <f t="shared" si="1"/>
        <v>1</v>
      </c>
      <c r="S19" s="150">
        <f>IF($I19=Year_Open_to_Traffic?,$E$52,Calculations!S18+(Calculations!S18*Calculations!$L19*T19))</f>
        <v>282323.66623506107</v>
      </c>
      <c r="T19" s="147">
        <f t="shared" si="2"/>
        <v>0</v>
      </c>
      <c r="U19" s="150">
        <f>IF($I19=Year_Open_to_Traffic?,$E$53,Calculations!U18+(Calculations!U18*Calculations!$L19*V19))</f>
        <v>0</v>
      </c>
      <c r="V19" s="147">
        <f t="shared" si="3"/>
        <v>0</v>
      </c>
      <c r="W19" s="150">
        <f t="shared" si="8"/>
        <v>1142.3232139795762</v>
      </c>
      <c r="X19" s="151">
        <f>W19/(1+Real_Discount_Rate)^(Calculations!I19-'Assumed Values'!$C$5)</f>
        <v>722.618412398136</v>
      </c>
      <c r="Y19"/>
    </row>
    <row r="20" spans="1:25" ht="15.75">
      <c r="A20" s="140"/>
      <c r="B20" s="161"/>
      <c r="C20" s="140"/>
      <c r="D20" s="215"/>
      <c r="E20" s="211"/>
      <c r="F20" s="211"/>
      <c r="G20" s="71"/>
      <c r="H20" s="145"/>
      <c r="I20" s="146">
        <f t="shared" si="4"/>
        <v>2038</v>
      </c>
      <c r="J20" s="153">
        <f t="shared" si="9"/>
        <v>37803.67919745126</v>
      </c>
      <c r="K20" s="153">
        <f t="shared" si="10"/>
        <v>464.98375418105644</v>
      </c>
      <c r="L20" s="154">
        <f t="shared" si="12"/>
        <v>1.4041963404880731E-2</v>
      </c>
      <c r="M20" s="155">
        <f t="shared" si="11"/>
        <v>1</v>
      </c>
      <c r="N20" s="156">
        <f t="shared" si="7"/>
        <v>1</v>
      </c>
      <c r="O20" s="150">
        <f>IF(I20=Year_Open_to_Traffic?,Calculations!$E$50,Calculations!O19+(Calculations!O19*Calculations!$L20*N20))</f>
        <v>731598.11036641453</v>
      </c>
      <c r="P20" s="147">
        <f t="shared" si="0"/>
        <v>0</v>
      </c>
      <c r="Q20" s="150">
        <f>IF(I20=Year_Open_to_Traffic?,$E$51,Calculations!Q19+(Calculations!Q19*Calculations!$L20*R20))</f>
        <v>426765.56438040861</v>
      </c>
      <c r="R20" s="147">
        <f t="shared" si="1"/>
        <v>1</v>
      </c>
      <c r="S20" s="150">
        <f>IF($I20=Year_Open_to_Traffic?,$E$52,Calculations!S19+(Calculations!S19*Calculations!$L20*T20))</f>
        <v>282323.66623506107</v>
      </c>
      <c r="T20" s="147">
        <f t="shared" si="2"/>
        <v>0</v>
      </c>
      <c r="U20" s="150">
        <f>IF($I20=Year_Open_to_Traffic?,$E$53,Calculations!U19+(Calculations!U19*Calculations!$L20*V20))</f>
        <v>0</v>
      </c>
      <c r="V20" s="147">
        <f t="shared" si="3"/>
        <v>0</v>
      </c>
      <c r="W20" s="150">
        <f t="shared" si="8"/>
        <v>426.76556438040859</v>
      </c>
      <c r="X20" s="151">
        <f>W20/(1+Real_Discount_Rate)^(Calculations!I20-'Assumed Values'!$C$5)</f>
        <v>261.8488823270747</v>
      </c>
      <c r="Y20"/>
    </row>
    <row r="21" spans="1:25" ht="30">
      <c r="A21" s="141" t="s">
        <v>169</v>
      </c>
      <c r="B21" s="141" t="s">
        <v>170</v>
      </c>
      <c r="C21" s="140"/>
      <c r="D21" s="158" t="s">
        <v>110</v>
      </c>
      <c r="E21" s="159">
        <f>IF('Inputs &amp; Outputs'!$C$24='Inputs &amp; Outputs'!$C$19,$E$11-$F$11,VLOOKUP('Inputs &amp; Outputs'!$C$24,'Preventable Crash data'!$B$11:$F$16,2,FALSE))</f>
        <v>0</v>
      </c>
      <c r="F21" s="159">
        <f>E21*Appropriate_Crash_Reduction_Factor2</f>
        <v>0</v>
      </c>
      <c r="G21" s="71"/>
      <c r="H21" s="145"/>
      <c r="I21" s="152">
        <f>I20+1</f>
        <v>2039</v>
      </c>
      <c r="J21" s="153">
        <f t="shared" si="9"/>
        <v>38334.517077311721</v>
      </c>
      <c r="K21" s="153">
        <f t="shared" si="10"/>
        <v>471.51303904113087</v>
      </c>
      <c r="L21" s="154">
        <f t="shared" si="12"/>
        <v>1.4041963404880731E-2</v>
      </c>
      <c r="M21" s="155">
        <f>M20*(1+IFERROR(_2030_2045_V_C_Growth,_2021_2045_V_C_Growth))</f>
        <v>1</v>
      </c>
      <c r="N21" s="156">
        <f t="shared" si="7"/>
        <v>1</v>
      </c>
      <c r="O21" s="150">
        <f>IF(I21=Year_Open_to_Traffic?,Calculations!$E$50,Calculations!O20+(Calculations!O20*Calculations!$L21*N21))</f>
        <v>741871.18425925961</v>
      </c>
      <c r="P21" s="147">
        <f t="shared" si="0"/>
        <v>0</v>
      </c>
      <c r="Q21" s="150">
        <f>IF(I21=Year_Open_to_Traffic?,$E$51,Calculations!Q20+(Calculations!Q20*Calculations!$L21*R21))</f>
        <v>432758.19081790157</v>
      </c>
      <c r="R21" s="147">
        <f t="shared" si="1"/>
        <v>1</v>
      </c>
      <c r="S21" s="150">
        <f>IF($I21=Year_Open_to_Traffic?,$E$52,Calculations!S20+(Calculations!S20*Calculations!$L21*T21))</f>
        <v>282323.66623506107</v>
      </c>
      <c r="T21" s="147">
        <f t="shared" si="2"/>
        <v>0</v>
      </c>
      <c r="U21" s="150">
        <f>IF($I21=Year_Open_to_Traffic?,$E$53,Calculations!U20+(Calculations!U20*Calculations!$L21*V21))</f>
        <v>0</v>
      </c>
      <c r="V21" s="147">
        <f t="shared" si="3"/>
        <v>0</v>
      </c>
      <c r="W21" s="150">
        <f t="shared" si="8"/>
        <v>432.75819081790155</v>
      </c>
      <c r="X21" s="151">
        <f>W21/(1+Real_Discount_Rate)^(Calculations!I21-'Assumed Values'!$C$5)</f>
        <v>257.5419541710188</v>
      </c>
      <c r="Y21"/>
    </row>
    <row r="22" spans="1:25" ht="15.75">
      <c r="A22" s="193" t="s">
        <v>171</v>
      </c>
      <c r="B22" s="58">
        <v>12500000</v>
      </c>
      <c r="C22" s="140"/>
      <c r="D22" s="158" t="s">
        <v>111</v>
      </c>
      <c r="E22" s="159">
        <f>IF('Inputs &amp; Outputs'!$C$24='Inputs &amp; Outputs'!$C$19,$E$12-$F$12,VLOOKUP('Inputs &amp; Outputs'!$C$24,'Preventable Crash data'!$B$11:$F$16,3,FALSE))</f>
        <v>0.46306374818145746</v>
      </c>
      <c r="F22" s="159">
        <f>E22*Appropriate_Crash_Reduction_Factor2</f>
        <v>0.11576593704536436</v>
      </c>
      <c r="G22" s="71"/>
      <c r="H22" s="145"/>
      <c r="I22" s="146">
        <f>I21+1</f>
        <v>2040</v>
      </c>
      <c r="J22" s="153">
        <f t="shared" si="9"/>
        <v>38872.808963255105</v>
      </c>
      <c r="K22" s="153">
        <f t="shared" si="10"/>
        <v>478.13400788027053</v>
      </c>
      <c r="L22" s="154">
        <f t="shared" si="12"/>
        <v>1.4041963404880731E-2</v>
      </c>
      <c r="M22" s="155">
        <f t="shared" si="11"/>
        <v>1</v>
      </c>
      <c r="N22" s="156">
        <f t="shared" si="7"/>
        <v>1</v>
      </c>
      <c r="O22" s="150">
        <f>IF(I22=Year_Open_to_Traffic?,Calculations!$E$50,Calculations!O21+(Calculations!O21*Calculations!$L22*N22))</f>
        <v>752288.5122797637</v>
      </c>
      <c r="P22" s="147">
        <f t="shared" si="0"/>
        <v>0</v>
      </c>
      <c r="Q22" s="150">
        <f>IF(I22=Year_Open_to_Traffic?,$E$51,Calculations!Q21+(Calculations!Q21*Calculations!$L22*R22))</f>
        <v>438834.96549652895</v>
      </c>
      <c r="R22" s="147">
        <f t="shared" si="1"/>
        <v>1</v>
      </c>
      <c r="S22" s="150">
        <f>IF($I22=Year_Open_to_Traffic?,$E$52,Calculations!S21+(Calculations!S21*Calculations!$L22*T22))</f>
        <v>282323.66623506107</v>
      </c>
      <c r="T22" s="147">
        <f t="shared" si="2"/>
        <v>0</v>
      </c>
      <c r="U22" s="150">
        <f>IF($I22=Year_Open_to_Traffic?,$E$53,Calculations!U21+(Calculations!U21*Calculations!$L22*V22))</f>
        <v>0</v>
      </c>
      <c r="V22" s="147">
        <f t="shared" si="3"/>
        <v>0</v>
      </c>
      <c r="W22" s="150">
        <f t="shared" si="8"/>
        <v>438.83496549652898</v>
      </c>
      <c r="X22" s="151">
        <f>W22/(1+Real_Discount_Rate)^(Calculations!I22-'Assumed Values'!$C$5)</f>
        <v>253.30586699001921</v>
      </c>
      <c r="Y22"/>
    </row>
    <row r="23" spans="1:25" ht="32.450000000000003" customHeight="1">
      <c r="A23" s="193" t="s">
        <v>172</v>
      </c>
      <c r="B23" s="58">
        <v>1188200</v>
      </c>
      <c r="C23" s="140"/>
      <c r="D23" s="158" t="s">
        <v>112</v>
      </c>
      <c r="E23" s="159">
        <f>IF('Inputs &amp; Outputs'!$C$24='Inputs &amp; Outputs'!$C$19,$E$13-$F$13,VLOOKUP('Inputs &amp; Outputs'!$C$24,'Preventable Crash data'!$B$11:$F$16,4,FALSE))</f>
        <v>2.0066095754529818</v>
      </c>
      <c r="F23" s="159">
        <f>E23*Appropriate_Crash_Reduction_Factor2</f>
        <v>0.50165239386324545</v>
      </c>
      <c r="G23" s="71"/>
      <c r="H23" s="145"/>
      <c r="I23" s="152">
        <f t="shared" si="4"/>
        <v>2041</v>
      </c>
      <c r="J23" s="153">
        <f t="shared" si="9"/>
        <v>39418.659524162053</v>
      </c>
      <c r="K23" s="153">
        <f t="shared" si="10"/>
        <v>484.84794812155423</v>
      </c>
      <c r="L23" s="154">
        <f t="shared" si="12"/>
        <v>1.4041963404880731E-2</v>
      </c>
      <c r="M23" s="155">
        <f t="shared" si="11"/>
        <v>1</v>
      </c>
      <c r="N23" s="156">
        <f t="shared" si="7"/>
        <v>1</v>
      </c>
      <c r="O23" s="150">
        <f>IF(I23=Year_Open_to_Traffic?,Calculations!$E$50,Calculations!O22+(Calculations!O22*Calculations!$L23*N23))</f>
        <v>762852.12003910833</v>
      </c>
      <c r="P23" s="147">
        <f t="shared" si="0"/>
        <v>0</v>
      </c>
      <c r="Q23" s="150">
        <f>IF(I23=Year_Open_to_Traffic?,$E$51,Calculations!Q22+(Calculations!Q22*Calculations!$L23*R23))</f>
        <v>444997.07002281334</v>
      </c>
      <c r="R23" s="147">
        <f t="shared" si="1"/>
        <v>1</v>
      </c>
      <c r="S23" s="150">
        <f>IF($I23=Year_Open_to_Traffic?,$E$52,Calculations!S22+(Calculations!S22*Calculations!$L23*T23))</f>
        <v>282323.66623506107</v>
      </c>
      <c r="T23" s="147">
        <f t="shared" si="2"/>
        <v>0</v>
      </c>
      <c r="U23" s="150">
        <f>IF($I23=Year_Open_to_Traffic?,$E$53,Calculations!U22+(Calculations!U22*Calculations!$L23*V23))</f>
        <v>0</v>
      </c>
      <c r="V23" s="147">
        <f t="shared" si="3"/>
        <v>0</v>
      </c>
      <c r="W23" s="150">
        <f t="shared" si="8"/>
        <v>444.99707002281332</v>
      </c>
      <c r="X23" s="151">
        <f>W23/(1+Real_Discount_Rate)^(Calculations!I23-'Assumed Values'!$C$5)</f>
        <v>249.13945558150792</v>
      </c>
      <c r="Y23"/>
    </row>
    <row r="24" spans="1:25" ht="30">
      <c r="A24" s="192" t="s">
        <v>173</v>
      </c>
      <c r="B24" s="58">
        <v>233800</v>
      </c>
      <c r="C24" s="140"/>
      <c r="D24" s="158" t="s">
        <v>113</v>
      </c>
      <c r="E24" s="159">
        <f>IF('Inputs &amp; Outputs'!$C$24='Inputs &amp; Outputs'!$C$19,$E$14-$F$14,VLOOKUP('Inputs &amp; Outputs'!$C$24,'Preventable Crash data'!$B$11:$F$16,5,FALSE))</f>
        <v>4.1675737336331178</v>
      </c>
      <c r="F24" s="159">
        <f>Calculations!E24*Appropriate_Crash_Reduction_Factor2</f>
        <v>1.0418934334082794</v>
      </c>
      <c r="G24" s="71"/>
      <c r="H24" s="145"/>
      <c r="I24" s="146">
        <f t="shared" si="4"/>
        <v>2042</v>
      </c>
      <c r="J24" s="153">
        <f t="shared" si="9"/>
        <v>39972.174898669793</v>
      </c>
      <c r="K24" s="153">
        <f t="shared" si="10"/>
        <v>491.6561652660086</v>
      </c>
      <c r="L24" s="154">
        <f t="shared" si="12"/>
        <v>1.4041963404880731E-2</v>
      </c>
      <c r="M24" s="155">
        <f t="shared" si="11"/>
        <v>1</v>
      </c>
      <c r="N24" s="156">
        <f t="shared" si="7"/>
        <v>1</v>
      </c>
      <c r="O24" s="150">
        <f>IF(I24=Year_Open_to_Traffic?,Calculations!$E$50,Calculations!O23+(Calculations!O23*Calculations!$L24*N24))</f>
        <v>773564.06159203313</v>
      </c>
      <c r="P24" s="147">
        <f t="shared" si="0"/>
        <v>0</v>
      </c>
      <c r="Q24" s="150">
        <f>IF(I24=Year_Open_to_Traffic?,$E$51,Calculations!Q23+(Calculations!Q23*Calculations!$L24*R24))</f>
        <v>451245.70259535284</v>
      </c>
      <c r="R24" s="147">
        <f t="shared" si="1"/>
        <v>1</v>
      </c>
      <c r="S24" s="150">
        <f>IF($I24=Year_Open_to_Traffic?,$E$52,Calculations!S23+(Calculations!S23*Calculations!$L24*T24))</f>
        <v>282323.66623506107</v>
      </c>
      <c r="T24" s="147">
        <f t="shared" si="2"/>
        <v>0</v>
      </c>
      <c r="U24" s="150">
        <f>IF($I24=Year_Open_to_Traffic?,$E$53,Calculations!U23+(Calculations!U23*Calculations!$L24*V24))</f>
        <v>0</v>
      </c>
      <c r="V24" s="147">
        <f t="shared" si="3"/>
        <v>0</v>
      </c>
      <c r="W24" s="150">
        <f t="shared" si="8"/>
        <v>451.24570259535284</v>
      </c>
      <c r="X24" s="151">
        <f>W24/(1+Real_Discount_Rate)^(Calculations!I24-'Assumed Values'!$C$5)</f>
        <v>245.04157390833691</v>
      </c>
      <c r="Y24"/>
    </row>
    <row r="25" spans="1:25" ht="15.75">
      <c r="A25" s="193" t="s">
        <v>174</v>
      </c>
      <c r="B25" s="58">
        <v>111700</v>
      </c>
      <c r="C25" s="140"/>
      <c r="D25" s="167"/>
      <c r="E25" s="167"/>
      <c r="F25" s="167"/>
      <c r="G25" s="71"/>
      <c r="H25" s="145"/>
      <c r="I25" s="152">
        <f t="shared" si="4"/>
        <v>2043</v>
      </c>
      <c r="J25" s="153">
        <f t="shared" si="9"/>
        <v>40533.462715810405</v>
      </c>
      <c r="K25" s="153">
        <f t="shared" si="10"/>
        <v>498.55998314645791</v>
      </c>
      <c r="L25" s="154">
        <f t="shared" si="12"/>
        <v>1.4041963404880731E-2</v>
      </c>
      <c r="M25" s="155">
        <f t="shared" si="11"/>
        <v>1</v>
      </c>
      <c r="N25" s="156">
        <f t="shared" si="7"/>
        <v>1</v>
      </c>
      <c r="O25" s="150">
        <f>IF(I25=Year_Open_to_Traffic?,Calculations!$E$50,Calculations!O24+(Calculations!O24*Calculations!$L25*N25))</f>
        <v>784426.41983623942</v>
      </c>
      <c r="P25" s="147">
        <f t="shared" si="0"/>
        <v>0</v>
      </c>
      <c r="Q25" s="150">
        <f>IF(I25=Year_Open_to_Traffic?,$E$51,Calculations!Q24+(Calculations!Q24*Calculations!$L25*R25))</f>
        <v>457582.07823780645</v>
      </c>
      <c r="R25" s="147">
        <f t="shared" si="1"/>
        <v>1</v>
      </c>
      <c r="S25" s="150">
        <f>IF($I25=Year_Open_to_Traffic?,$E$52,Calculations!S24+(Calculations!S24*Calculations!$L25*T25))</f>
        <v>282323.66623506107</v>
      </c>
      <c r="T25" s="147">
        <f t="shared" si="2"/>
        <v>0</v>
      </c>
      <c r="U25" s="150">
        <f>IF($I25=Year_Open_to_Traffic?,$E$53,Calculations!U24+(Calculations!U24*Calculations!$L25*V25))</f>
        <v>0</v>
      </c>
      <c r="V25" s="147">
        <f t="shared" si="3"/>
        <v>0</v>
      </c>
      <c r="W25" s="150">
        <f t="shared" si="8"/>
        <v>457.58207823780646</v>
      </c>
      <c r="X25" s="151">
        <f>W25/(1+Real_Discount_Rate)^(Calculations!I25-'Assumed Values'!$C$5)</f>
        <v>241.01109478354238</v>
      </c>
      <c r="Y25"/>
    </row>
    <row r="26" spans="1:25" ht="15.75">
      <c r="A26" s="193" t="s">
        <v>175</v>
      </c>
      <c r="B26" s="58">
        <v>5000</v>
      </c>
      <c r="C26" s="140"/>
      <c r="D26" s="167"/>
      <c r="E26" s="167"/>
      <c r="F26" s="167"/>
      <c r="G26" s="71"/>
      <c r="H26" s="145"/>
      <c r="I26" s="146">
        <f t="shared" si="4"/>
        <v>2044</v>
      </c>
      <c r="J26" s="153">
        <f t="shared" si="9"/>
        <v>41102.632115938912</v>
      </c>
      <c r="K26" s="153">
        <f t="shared" si="10"/>
        <v>505.56074418493841</v>
      </c>
      <c r="L26" s="154">
        <f t="shared" si="12"/>
        <v>1.4041963404880731E-2</v>
      </c>
      <c r="M26" s="155">
        <f t="shared" si="11"/>
        <v>1</v>
      </c>
      <c r="N26" s="156">
        <f t="shared" si="7"/>
        <v>1</v>
      </c>
      <c r="O26" s="150">
        <f>IF(I26=Year_Open_to_Traffic?,Calculations!$E$50,Calculations!O25+(Calculations!O25*Calculations!$L26*N26))</f>
        <v>795441.3069174015</v>
      </c>
      <c r="P26" s="147">
        <f t="shared" si="0"/>
        <v>0</v>
      </c>
      <c r="Q26" s="150">
        <f>IF(I26=Year_Open_to_Traffic?,$E$51,Calculations!Q25+(Calculations!Q25*Calculations!$L26*R26))</f>
        <v>464007.42903515097</v>
      </c>
      <c r="R26" s="147">
        <f t="shared" si="1"/>
        <v>1</v>
      </c>
      <c r="S26" s="150">
        <f>IF($I26=Year_Open_to_Traffic?,$E$52,Calculations!S25+(Calculations!S25*Calculations!$L26*T26))</f>
        <v>282323.66623506107</v>
      </c>
      <c r="T26" s="147">
        <f t="shared" si="2"/>
        <v>0</v>
      </c>
      <c r="U26" s="150">
        <f>IF($I26=Year_Open_to_Traffic?,$E$53,Calculations!U25+(Calculations!U25*Calculations!$L26*V26))</f>
        <v>0</v>
      </c>
      <c r="V26" s="147">
        <f t="shared" si="3"/>
        <v>0</v>
      </c>
      <c r="W26" s="150">
        <f t="shared" si="8"/>
        <v>464.00742903515095</v>
      </c>
      <c r="X26" s="151">
        <f>W26/(1+Real_Discount_Rate)^(Calculations!I26-'Assumed Values'!$C$5)</f>
        <v>237.04690956029398</v>
      </c>
      <c r="Y26"/>
    </row>
    <row r="27" spans="1:25" ht="15.75">
      <c r="A27"/>
      <c r="B27"/>
      <c r="C27"/>
      <c r="D27"/>
      <c r="E27"/>
      <c r="F27"/>
      <c r="G27" s="168"/>
      <c r="H27" s="145"/>
      <c r="I27" s="152">
        <f t="shared" si="4"/>
        <v>2045</v>
      </c>
      <c r="J27" s="153">
        <f t="shared" si="9"/>
        <v>41679.793771955199</v>
      </c>
      <c r="K27" s="153">
        <f t="shared" si="10"/>
        <v>512.65980965372762</v>
      </c>
      <c r="L27" s="154">
        <f t="shared" si="12"/>
        <v>1.4041963404880731E-2</v>
      </c>
      <c r="M27" s="155">
        <f t="shared" si="11"/>
        <v>1</v>
      </c>
      <c r="N27" s="156">
        <f t="shared" si="7"/>
        <v>1</v>
      </c>
      <c r="O27" s="150">
        <f>IF(I27=Year_Open_to_Traffic?,Calculations!$E$50,Calculations!O26+(Calculations!O26*Calculations!$L27*N27))</f>
        <v>806610.86463986617</v>
      </c>
      <c r="P27" s="147">
        <f t="shared" si="0"/>
        <v>0</v>
      </c>
      <c r="Q27" s="150">
        <f>IF(I27=Year_Open_to_Traffic?,$E$51,Calculations!Q26+(Calculations!Q26*Calculations!$L27*R27))</f>
        <v>470523.00437325536</v>
      </c>
      <c r="R27" s="147">
        <f t="shared" si="1"/>
        <v>1</v>
      </c>
      <c r="S27" s="150">
        <f>IF($I27=Year_Open_to_Traffic?,$E$52,Calculations!S26+(Calculations!S26*Calculations!$L27*T27))</f>
        <v>282323.66623506107</v>
      </c>
      <c r="T27" s="147">
        <f t="shared" si="2"/>
        <v>0</v>
      </c>
      <c r="U27" s="150">
        <f>IF($I27=Year_Open_to_Traffic?,$E$53,Calculations!U26+(Calculations!U26*Calculations!$L27*V27))</f>
        <v>0</v>
      </c>
      <c r="V27" s="147">
        <f t="shared" si="3"/>
        <v>0</v>
      </c>
      <c r="W27" s="150">
        <f t="shared" si="8"/>
        <v>470.52300437325533</v>
      </c>
      <c r="X27" s="151">
        <f>W27/(1+Real_Discount_Rate)^(Calculations!I27-'Assumed Values'!$C$5)</f>
        <v>233.14792782694443</v>
      </c>
      <c r="Y27"/>
    </row>
    <row r="28" spans="1:25" ht="15.75" customHeight="1">
      <c r="A28"/>
      <c r="B28"/>
      <c r="C28"/>
      <c r="D28" s="215"/>
      <c r="E28" s="211" t="s">
        <v>176</v>
      </c>
      <c r="F28" s="211" t="s">
        <v>177</v>
      </c>
      <c r="G28" s="168"/>
      <c r="H28" s="145"/>
      <c r="I28" s="146">
        <f t="shared" si="4"/>
        <v>2046</v>
      </c>
      <c r="J28" s="153">
        <f t="shared" si="9"/>
        <v>42265.059910823969</v>
      </c>
      <c r="K28" s="153">
        <f t="shared" si="10"/>
        <v>519.85855994003839</v>
      </c>
      <c r="L28" s="154">
        <f t="shared" si="12"/>
        <v>1.4041963404880731E-2</v>
      </c>
      <c r="M28" s="155">
        <f t="shared" si="11"/>
        <v>1</v>
      </c>
      <c r="N28" s="156">
        <f t="shared" si="7"/>
        <v>1</v>
      </c>
      <c r="O28" s="150">
        <f>IF(I28=Year_Open_to_Traffic?,Calculations!$E$50,Calculations!O27+(Calculations!O27*Calculations!$L28*N28))</f>
        <v>817937.26488311833</v>
      </c>
      <c r="P28" s="147">
        <f t="shared" si="0"/>
        <v>0</v>
      </c>
      <c r="Q28" s="150">
        <f>IF(I28=Year_Open_to_Traffic?,$E$51,Calculations!Q27+(Calculations!Q27*Calculations!$L28*R28))</f>
        <v>477130.07118181913</v>
      </c>
      <c r="R28" s="147">
        <f t="shared" si="1"/>
        <v>1</v>
      </c>
      <c r="S28" s="150">
        <f>IF($I28=Year_Open_to_Traffic?,$E$52,Calculations!S27+(Calculations!S27*Calculations!$L28*T28))</f>
        <v>282323.66623506107</v>
      </c>
      <c r="T28" s="147">
        <f t="shared" si="2"/>
        <v>0</v>
      </c>
      <c r="U28" s="150">
        <f>IF($I28=Year_Open_to_Traffic?,$E$53,Calculations!U27+(Calculations!U27*Calculations!$L28*V28))</f>
        <v>0</v>
      </c>
      <c r="V28" s="147">
        <f t="shared" si="3"/>
        <v>0</v>
      </c>
      <c r="W28" s="150">
        <f t="shared" si="8"/>
        <v>477.13007118181912</v>
      </c>
      <c r="X28" s="151">
        <f>W28/(1+Real_Discount_Rate)^(Calculations!I28-'Assumed Values'!$C$5)</f>
        <v>229.31307710709427</v>
      </c>
      <c r="Y28"/>
    </row>
    <row r="29" spans="1:25" s="77" customFormat="1" ht="15.75">
      <c r="A29" s="73"/>
      <c r="B29" s="73"/>
      <c r="C29" s="73"/>
      <c r="D29" s="215"/>
      <c r="E29" s="211"/>
      <c r="F29" s="211"/>
      <c r="G29" s="169"/>
      <c r="H29" s="170"/>
      <c r="I29" s="171">
        <f t="shared" si="4"/>
        <v>2047</v>
      </c>
      <c r="J29" s="153">
        <f t="shared" si="9"/>
        <v>42858.544335396851</v>
      </c>
      <c r="K29" s="153">
        <f t="shared" si="10"/>
        <v>527.15839481443038</v>
      </c>
      <c r="L29" s="154">
        <f t="shared" si="12"/>
        <v>1.4041963404880731E-2</v>
      </c>
      <c r="M29" s="172">
        <f t="shared" si="11"/>
        <v>1</v>
      </c>
      <c r="N29" s="173">
        <f t="shared" si="7"/>
        <v>1</v>
      </c>
      <c r="O29" s="150">
        <f>IF(I29=Year_Open_to_Traffic?,Calculations!$E$50,Calculations!O28+(Calculations!O28*Calculations!$L29*N29))</f>
        <v>829422.71002409537</v>
      </c>
      <c r="P29" s="147">
        <f t="shared" si="0"/>
        <v>0</v>
      </c>
      <c r="Q29" s="150">
        <f>IF(I29=Year_Open_to_Traffic?,$E$51,Calculations!Q28+(Calculations!Q28*Calculations!$L29*R29))</f>
        <v>483829.91418072238</v>
      </c>
      <c r="R29" s="147">
        <f>IF(AND($I29&gt;=Year_Open_to_Traffic?,$I29&lt;Year_Open_to_Traffic?+Years_to_include_in_BCA_Analysis2),1,0)</f>
        <v>1</v>
      </c>
      <c r="S29" s="150">
        <f>IF($I29=Year_Open_to_Traffic?,$E$52,Calculations!S28+(Calculations!S28*Calculations!$L29*T29))</f>
        <v>282323.66623506107</v>
      </c>
      <c r="T29" s="147">
        <f t="shared" si="2"/>
        <v>0</v>
      </c>
      <c r="U29" s="150">
        <f>IF($I29=Year_Open_to_Traffic?,$E$53,Calculations!U28+(Calculations!U28*Calculations!$L29*V29))</f>
        <v>0</v>
      </c>
      <c r="V29" s="147">
        <f t="shared" si="3"/>
        <v>0</v>
      </c>
      <c r="W29" s="150">
        <f t="shared" si="8"/>
        <v>483.82991418072237</v>
      </c>
      <c r="X29" s="174">
        <f>W29/(1+Real_Discount_Rate)^(Calculations!I29-'Assumed Values'!$C$5)</f>
        <v>225.54130256459038</v>
      </c>
      <c r="Y29" s="73"/>
    </row>
    <row r="30" spans="1:25" ht="15.75">
      <c r="A30"/>
      <c r="B30"/>
      <c r="C30"/>
      <c r="D30" s="215"/>
      <c r="E30" s="211"/>
      <c r="F30" s="211"/>
      <c r="G30" s="168"/>
      <c r="H30" s="145"/>
      <c r="I30" s="152">
        <f t="shared" si="4"/>
        <v>2048</v>
      </c>
      <c r="J30" s="153">
        <f t="shared" si="9"/>
        <v>43460.362446540952</v>
      </c>
      <c r="K30" s="153">
        <f t="shared" si="10"/>
        <v>534.56073370299032</v>
      </c>
      <c r="L30" s="154">
        <f t="shared" si="12"/>
        <v>1.4041963404880731E-2</v>
      </c>
      <c r="M30" s="155">
        <f t="shared" si="11"/>
        <v>1</v>
      </c>
      <c r="N30" s="156">
        <f t="shared" si="7"/>
        <v>1</v>
      </c>
      <c r="O30" s="150">
        <f>IF(I30=Year_Open_to_Traffic?,Calculations!$E$50,Calculations!O29+(Calculations!O29*Calculations!$L30*N30))</f>
        <v>841069.43336543068</v>
      </c>
      <c r="P30" s="147">
        <f t="shared" si="0"/>
        <v>0</v>
      </c>
      <c r="Q30" s="150">
        <f>IF(I30=Year_Open_to_Traffic?,$E$51,Calculations!Q29+(Calculations!Q29*Calculations!$L30*R30))</f>
        <v>483829.91418072238</v>
      </c>
      <c r="R30" s="147">
        <f t="shared" si="1"/>
        <v>0</v>
      </c>
      <c r="S30" s="150">
        <f>IF($I30=Year_Open_to_Traffic?,$E$52,Calculations!S29+(Calculations!S29*Calculations!$L30*T30))</f>
        <v>282323.66623506107</v>
      </c>
      <c r="T30" s="147">
        <f t="shared" si="2"/>
        <v>0</v>
      </c>
      <c r="U30" s="150">
        <f>IF($I30=Year_Open_to_Traffic?,$E$53,Calculations!U29+(Calculations!U29*Calculations!$L30*V30))</f>
        <v>0</v>
      </c>
      <c r="V30" s="147">
        <f t="shared" si="3"/>
        <v>0</v>
      </c>
      <c r="W30" s="150">
        <f t="shared" si="8"/>
        <v>0</v>
      </c>
      <c r="X30" s="151">
        <f>W30/(1+Real_Discount_Rate)^(Calculations!I30-'Assumed Values'!$C$5)</f>
        <v>0</v>
      </c>
      <c r="Y30"/>
    </row>
    <row r="31" spans="1:25" ht="15.75">
      <c r="A31"/>
      <c r="B31"/>
      <c r="C31"/>
      <c r="D31" s="158" t="s">
        <v>110</v>
      </c>
      <c r="E31" s="175">
        <f>IF('Inputs &amp; Outputs'!$C$29='Inputs &amp; Outputs'!$C$24,Calculations!$E$21-Calculations!$F$21,IF('Inputs &amp; Outputs'!$C$29='Inputs &amp; Outputs'!$C$19,Calculations!$E$11-Calculations!$F$11,VLOOKUP('Inputs &amp; Outputs'!$C$29,'Preventable Crash data'!$B$11:$F$16,2,FALSE)))</f>
        <v>0</v>
      </c>
      <c r="F31" s="159">
        <f>E31*Appropriate_Crash_Reduction_Factor3</f>
        <v>0</v>
      </c>
      <c r="G31" s="168"/>
      <c r="H31" s="145"/>
      <c r="I31" s="152">
        <f t="shared" si="4"/>
        <v>2049</v>
      </c>
      <c r="J31" s="153">
        <f t="shared" si="9"/>
        <v>44070.631265578129</v>
      </c>
      <c r="K31" s="153">
        <f t="shared" si="10"/>
        <v>542.06701596333392</v>
      </c>
      <c r="L31" s="154">
        <f t="shared" si="12"/>
        <v>1.4041963404880731E-2</v>
      </c>
      <c r="M31" s="155">
        <f t="shared" si="11"/>
        <v>1</v>
      </c>
      <c r="N31" s="156">
        <f t="shared" si="7"/>
        <v>1</v>
      </c>
      <c r="O31" s="150">
        <f>IF(I31=Year_Open_to_Traffic?,Calculations!$E$50,Calculations!O30+(Calculations!O30*Calculations!$L31*N31))</f>
        <v>852879.69956971181</v>
      </c>
      <c r="P31" s="147">
        <f t="shared" si="0"/>
        <v>0</v>
      </c>
      <c r="Q31" s="150">
        <f>IF(I31=Year_Open_to_Traffic?,$E$51,Calculations!Q30+(Calculations!Q30*Calculations!$L31*R31))</f>
        <v>483829.91418072238</v>
      </c>
      <c r="R31" s="147">
        <f t="shared" si="1"/>
        <v>0</v>
      </c>
      <c r="S31" s="150">
        <f>IF($I31=Year_Open_to_Traffic?,$E$52,Calculations!S30+(Calculations!S30*Calculations!$L31*T31))</f>
        <v>282323.66623506107</v>
      </c>
      <c r="T31" s="147">
        <f t="shared" si="2"/>
        <v>0</v>
      </c>
      <c r="U31" s="150">
        <f>IF($I31=Year_Open_to_Traffic?,$E$53,Calculations!U30+(Calculations!U30*Calculations!$L31*V31))</f>
        <v>0</v>
      </c>
      <c r="V31" s="147">
        <f t="shared" si="3"/>
        <v>0</v>
      </c>
      <c r="W31" s="150">
        <f t="shared" si="8"/>
        <v>0</v>
      </c>
      <c r="X31" s="151">
        <f>W31/(1+Real_Discount_Rate)^(Calculations!I31-'Assumed Values'!$C$5)</f>
        <v>0</v>
      </c>
      <c r="Y31"/>
    </row>
    <row r="32" spans="1:25" ht="15.75">
      <c r="A32"/>
      <c r="B32"/>
      <c r="C32"/>
      <c r="D32" s="158" t="s">
        <v>111</v>
      </c>
      <c r="E32" s="175">
        <f>IF('Inputs &amp; Outputs'!$C$29='Inputs &amp; Outputs'!$C$24,Calculations!$E$22-Calculations!$F$22,IF('Inputs &amp; Outputs'!$C$29='Inputs &amp; Outputs'!$C$19,Calculations!$E$12-Calculations!$F$12,VLOOKUP('Inputs &amp; Outputs'!$C$29,'Preventable Crash data'!$B$11:$F$16,3,FALSE)))</f>
        <v>0.34729781113609309</v>
      </c>
      <c r="F32" s="159">
        <f>E32*Appropriate_Crash_Reduction_Factor3</f>
        <v>8.6824452784023273E-2</v>
      </c>
      <c r="G32" s="168"/>
      <c r="H32" s="145"/>
      <c r="I32" s="152">
        <f t="shared" si="4"/>
        <v>2050</v>
      </c>
      <c r="J32" s="153">
        <f t="shared" si="9"/>
        <v>44689.469457039369</v>
      </c>
      <c r="K32" s="153">
        <f t="shared" si="10"/>
        <v>549.67870116448398</v>
      </c>
      <c r="L32" s="154">
        <f t="shared" si="12"/>
        <v>1.4041963404880731E-2</v>
      </c>
      <c r="M32" s="155">
        <f t="shared" si="11"/>
        <v>1</v>
      </c>
      <c r="N32" s="156">
        <f t="shared" si="7"/>
        <v>1</v>
      </c>
      <c r="O32" s="150">
        <f>IF(I32=Year_Open_to_Traffic?,Calculations!$E$50,Calculations!O31+(Calculations!O31*Calculations!$L32*N32))</f>
        <v>864855.80509983539</v>
      </c>
      <c r="P32" s="147">
        <f t="shared" si="0"/>
        <v>0</v>
      </c>
      <c r="Q32" s="150">
        <f>IF(I32=Year_Open_to_Traffic?,$E$51,Calculations!Q31+(Calculations!Q31*Calculations!$L32*R32))</f>
        <v>483829.91418072238</v>
      </c>
      <c r="R32" s="147">
        <f t="shared" si="1"/>
        <v>0</v>
      </c>
      <c r="S32" s="150">
        <f>IF($I32=Year_Open_to_Traffic?,$E$52,Calculations!S31+(Calculations!S31*Calculations!$L32*T32))</f>
        <v>282323.66623506107</v>
      </c>
      <c r="T32" s="147">
        <f t="shared" si="2"/>
        <v>0</v>
      </c>
      <c r="U32" s="150">
        <f>IF($I32=Year_Open_to_Traffic?,$E$53,Calculations!U31+(Calculations!U31*Calculations!$L32*V32))</f>
        <v>0</v>
      </c>
      <c r="V32" s="147">
        <f t="shared" si="3"/>
        <v>0</v>
      </c>
      <c r="W32" s="150">
        <f t="shared" si="8"/>
        <v>0</v>
      </c>
      <c r="X32" s="151">
        <f>W32/(1+Real_Discount_Rate)^(Calculations!I32-'Assumed Values'!$C$5)</f>
        <v>0</v>
      </c>
      <c r="Y32"/>
    </row>
    <row r="33" spans="1:25" ht="30" customHeight="1">
      <c r="A33"/>
      <c r="B33"/>
      <c r="C33"/>
      <c r="D33" s="158" t="s">
        <v>112</v>
      </c>
      <c r="E33" s="175">
        <f>IF('Inputs &amp; Outputs'!$C$29='Inputs &amp; Outputs'!$C$24,Calculations!$E$23-Calculations!$F$23,IF('Inputs &amp; Outputs'!$C$29='Inputs &amp; Outputs'!$C$19,Calculations!$E$13-Calculations!$F$13,VLOOKUP('Inputs &amp; Outputs'!$C$29,'Preventable Crash data'!$B$11:$F$16,4,FALSE)))</f>
        <v>1.5049571815897362</v>
      </c>
      <c r="F33" s="159">
        <f>E33*Appropriate_Crash_Reduction_Factor3</f>
        <v>0.37623929539743406</v>
      </c>
      <c r="G33" s="168"/>
      <c r="H33" s="145"/>
      <c r="I33" s="152">
        <f t="shared" si="4"/>
        <v>2051</v>
      </c>
      <c r="J33" s="153">
        <f t="shared" si="9"/>
        <v>45316.997351738653</v>
      </c>
      <c r="K33" s="153">
        <f t="shared" si="10"/>
        <v>557.39726937067803</v>
      </c>
      <c r="L33" s="154">
        <f t="shared" si="12"/>
        <v>1.4041963404880731E-2</v>
      </c>
      <c r="M33" s="155">
        <f t="shared" si="11"/>
        <v>1</v>
      </c>
      <c r="N33" s="156">
        <f t="shared" si="7"/>
        <v>1</v>
      </c>
      <c r="O33" s="150">
        <f>IF(I33=Year_Open_to_Traffic?,Calculations!$E$50,Calculations!O32+(Calculations!O32*Calculations!$L33*N33))</f>
        <v>877000.07866554591</v>
      </c>
      <c r="P33" s="147">
        <f t="shared" si="0"/>
        <v>0</v>
      </c>
      <c r="Q33" s="150">
        <f>IF(I33=Year_Open_to_Traffic?,$E$51,Calculations!Q32+(Calculations!Q32*Calculations!$L33*R33))</f>
        <v>483829.91418072238</v>
      </c>
      <c r="R33" s="147">
        <f t="shared" si="1"/>
        <v>0</v>
      </c>
      <c r="S33" s="150">
        <f>IF($I33=Year_Open_to_Traffic?,$E$52,Calculations!S32+(Calculations!S32*Calculations!$L33*T33))</f>
        <v>282323.66623506107</v>
      </c>
      <c r="T33" s="147">
        <f t="shared" si="2"/>
        <v>0</v>
      </c>
      <c r="U33" s="150">
        <f>IF($I33=Year_Open_to_Traffic?,$E$53,Calculations!U32+(Calculations!U32*Calculations!$L33*V33))</f>
        <v>0</v>
      </c>
      <c r="V33" s="147">
        <f t="shared" si="3"/>
        <v>0</v>
      </c>
      <c r="W33" s="150">
        <f t="shared" si="8"/>
        <v>0</v>
      </c>
      <c r="X33" s="151">
        <f>W33/(1+Real_Discount_Rate)^(Calculations!I33-'Assumed Values'!$C$5)</f>
        <v>0</v>
      </c>
      <c r="Y33"/>
    </row>
    <row r="34" spans="1:25" ht="15.75">
      <c r="A34" s="71"/>
      <c r="B34" s="71"/>
      <c r="C34" s="71"/>
      <c r="D34" s="158" t="s">
        <v>113</v>
      </c>
      <c r="E34" s="175">
        <f>IF('Inputs &amp; Outputs'!$C$29='Inputs &amp; Outputs'!$C$24,Calculations!$E$24-Calculations!$F$24,IF('Inputs &amp; Outputs'!$C$29='Inputs &amp; Outputs'!$C$19,Calculations!$E$14-Calculations!$F$14,VLOOKUP('Inputs &amp; Outputs'!$C$29,'Preventable Crash data'!$B$11:$F$16,5,FALSE)))</f>
        <v>3.1256803002248383</v>
      </c>
      <c r="F34" s="159">
        <f>E34*Appropriate_Crash_Reduction_Factor3</f>
        <v>0.78142007505620958</v>
      </c>
      <c r="G34" s="71"/>
      <c r="H34" s="145"/>
      <c r="I34" s="152">
        <f t="shared" si="4"/>
        <v>2052</v>
      </c>
      <c r="J34" s="153">
        <f t="shared" si="9"/>
        <v>45953.336970170843</v>
      </c>
      <c r="K34" s="153">
        <f t="shared" si="10"/>
        <v>565.2242214291615</v>
      </c>
      <c r="L34" s="154">
        <f t="shared" ref="L34:L37" si="13">_2030_2045_Demand_Growth</f>
        <v>1.4041963404880731E-2</v>
      </c>
      <c r="M34" s="155">
        <f t="shared" si="11"/>
        <v>1</v>
      </c>
      <c r="N34" s="156">
        <f t="shared" si="7"/>
        <v>1</v>
      </c>
      <c r="O34" s="150">
        <f>IF(I34=Year_Open_to_Traffic?,Calculations!$E$50,Calculations!O33+(Calculations!O33*Calculations!$L34*N34))</f>
        <v>889314.88167624502</v>
      </c>
      <c r="P34" s="147">
        <f t="shared" si="0"/>
        <v>0</v>
      </c>
      <c r="Q34" s="150">
        <f>IF(I34=Year_Open_to_Traffic?,$E$51,Calculations!Q33+(Calculations!Q33*Calculations!$L34*R34))</f>
        <v>483829.91418072238</v>
      </c>
      <c r="R34" s="147">
        <f t="shared" si="1"/>
        <v>0</v>
      </c>
      <c r="S34" s="150">
        <f>IF($I34=Year_Open_to_Traffic?,$E$52,Calculations!S33+(Calculations!S33*Calculations!$L34*T34))</f>
        <v>282323.66623506107</v>
      </c>
      <c r="T34" s="147">
        <f t="shared" si="2"/>
        <v>0</v>
      </c>
      <c r="U34" s="150">
        <f>IF($I34=Year_Open_to_Traffic?,$E$53,Calculations!U33+(Calculations!U33*Calculations!$L34*V34))</f>
        <v>0</v>
      </c>
      <c r="V34" s="147">
        <f t="shared" si="3"/>
        <v>0</v>
      </c>
      <c r="W34" s="150">
        <f t="shared" si="8"/>
        <v>0</v>
      </c>
      <c r="X34" s="151">
        <f>W34/(1+Real_Discount_Rate)^(Calculations!I34-'Assumed Values'!$C$5)</f>
        <v>0</v>
      </c>
      <c r="Y34"/>
    </row>
    <row r="35" spans="1:25" ht="15.75">
      <c r="A35" s="71"/>
      <c r="B35" s="71"/>
      <c r="C35" s="71"/>
      <c r="D35" s="71"/>
      <c r="E35" s="71"/>
      <c r="F35" s="71"/>
      <c r="G35" s="71"/>
      <c r="H35" s="145"/>
      <c r="I35" s="152">
        <f t="shared" si="4"/>
        <v>2053</v>
      </c>
      <c r="J35" s="153">
        <f t="shared" si="9"/>
        <v>46598.612046238137</v>
      </c>
      <c r="K35" s="153">
        <f t="shared" si="10"/>
        <v>573.16107926202199</v>
      </c>
      <c r="L35" s="154">
        <f t="shared" si="13"/>
        <v>1.4041963404880731E-2</v>
      </c>
      <c r="M35" s="155">
        <f t="shared" si="11"/>
        <v>1</v>
      </c>
      <c r="N35" s="156">
        <f t="shared" si="7"/>
        <v>1</v>
      </c>
      <c r="O35" s="150">
        <f>IF(I35=Year_Open_to_Traffic?,Calculations!$E$50,Calculations!O34+(Calculations!O34*Calculations!$L35*N35))</f>
        <v>901802.60870015866</v>
      </c>
      <c r="P35" s="147">
        <f t="shared" si="0"/>
        <v>0</v>
      </c>
      <c r="Q35" s="150">
        <f>IF(I35=Year_Open_to_Traffic?,$E$51,Calculations!Q34+(Calculations!Q34*Calculations!$L35*R35))</f>
        <v>483829.91418072238</v>
      </c>
      <c r="R35" s="147">
        <f t="shared" si="1"/>
        <v>0</v>
      </c>
      <c r="S35" s="150">
        <f>IF($I35=Year_Open_to_Traffic?,$E$52,Calculations!S34+(Calculations!S34*Calculations!$L35*T35))</f>
        <v>282323.66623506107</v>
      </c>
      <c r="T35" s="147">
        <f t="shared" si="2"/>
        <v>0</v>
      </c>
      <c r="U35" s="150">
        <f>IF($I35=Year_Open_to_Traffic?,$E$53,Calculations!U34+(Calculations!U34*Calculations!$L35*V35))</f>
        <v>0</v>
      </c>
      <c r="V35" s="147">
        <f t="shared" si="3"/>
        <v>0</v>
      </c>
      <c r="W35" s="150">
        <f t="shared" si="8"/>
        <v>0</v>
      </c>
      <c r="X35" s="151">
        <f>W35/(1+Real_Discount_Rate)^(Calculations!I35-'Assumed Values'!$C$5)</f>
        <v>0</v>
      </c>
      <c r="Y35"/>
    </row>
    <row r="36" spans="1:25" ht="15.75">
      <c r="A36" s="71"/>
      <c r="B36" s="71"/>
      <c r="C36" s="71"/>
      <c r="D36" s="71"/>
      <c r="E36" s="71"/>
      <c r="F36" s="176"/>
      <c r="G36" s="71"/>
      <c r="H36" s="145"/>
      <c r="I36" s="152">
        <f t="shared" si="4"/>
        <v>2054</v>
      </c>
      <c r="J36" s="153">
        <f t="shared" si="9"/>
        <v>47252.94805130965</v>
      </c>
      <c r="K36" s="153">
        <f t="shared" si="10"/>
        <v>581.20938616212129</v>
      </c>
      <c r="L36" s="154">
        <f t="shared" si="13"/>
        <v>1.4041963404880731E-2</v>
      </c>
      <c r="M36" s="155">
        <f t="shared" si="11"/>
        <v>1</v>
      </c>
      <c r="N36" s="156">
        <f t="shared" si="7"/>
        <v>1</v>
      </c>
      <c r="O36" s="150">
        <f>IF(I36=Year_Open_to_Traffic?,Calculations!$E$50,Calculations!O35+(Calculations!O35*Calculations!$L36*N36))</f>
        <v>914465.68792995228</v>
      </c>
      <c r="P36" s="147">
        <f t="shared" si="0"/>
        <v>0</v>
      </c>
      <c r="Q36" s="150">
        <f>IF(I36=Year_Open_to_Traffic?,$E$51,Calculations!Q35+(Calculations!Q35*Calculations!$L36*R36))</f>
        <v>483829.91418072238</v>
      </c>
      <c r="R36" s="147">
        <f t="shared" si="1"/>
        <v>0</v>
      </c>
      <c r="S36" s="150">
        <f>IF($I36=Year_Open_to_Traffic?,$E$52,Calculations!S35+(Calculations!S35*Calculations!$L36*T36))</f>
        <v>282323.66623506107</v>
      </c>
      <c r="T36" s="147">
        <f t="shared" si="2"/>
        <v>0</v>
      </c>
      <c r="U36" s="150">
        <f>IF($I36=Year_Open_to_Traffic?,$E$53,Calculations!U35+(Calculations!U35*Calculations!$L36*V36))</f>
        <v>0</v>
      </c>
      <c r="V36" s="147">
        <f t="shared" si="3"/>
        <v>0</v>
      </c>
      <c r="W36" s="150">
        <f t="shared" si="8"/>
        <v>0</v>
      </c>
      <c r="X36" s="151">
        <f>W36/(1+Real_Discount_Rate)^(Calculations!I36-'Assumed Values'!$C$5)</f>
        <v>0</v>
      </c>
      <c r="Y36"/>
    </row>
    <row r="37" spans="1:25">
      <c r="A37" s="71"/>
      <c r="B37" s="71"/>
      <c r="C37" s="71"/>
      <c r="D37" s="71"/>
      <c r="E37" s="71"/>
      <c r="F37" s="176"/>
      <c r="G37" s="71"/>
      <c r="H37" s="71"/>
      <c r="I37" s="152">
        <f t="shared" si="4"/>
        <v>2055</v>
      </c>
      <c r="J37" s="153">
        <f t="shared" ref="J37" si="14">J36+J36*L37</f>
        <v>47916.472218618866</v>
      </c>
      <c r="K37" s="153">
        <f t="shared" ref="K37" si="15">K36+K36*L37</f>
        <v>589.370707093183</v>
      </c>
      <c r="L37" s="154">
        <f t="shared" si="13"/>
        <v>1.4041963404880731E-2</v>
      </c>
      <c r="M37" s="155">
        <f t="shared" si="11"/>
        <v>1</v>
      </c>
      <c r="N37" s="156">
        <f t="shared" ref="N37" si="16">-(ROUNDUP(M37,0)-2)</f>
        <v>1</v>
      </c>
      <c r="O37" s="150">
        <f>IF(I37=Year_Open_to_Traffic?,Calculations!$E$50,Calculations!O36+(Calculations!O36*Calculations!$L37*N37))</f>
        <v>927306.5816548838</v>
      </c>
      <c r="P37" s="147">
        <f t="shared" si="0"/>
        <v>0</v>
      </c>
      <c r="Q37" s="150">
        <f>IF(I37=Year_Open_to_Traffic?,$E$51,Calculations!Q36+(Calculations!Q36*Calculations!$L37*R37))</f>
        <v>483829.91418072238</v>
      </c>
      <c r="R37" s="147">
        <f t="shared" si="1"/>
        <v>0</v>
      </c>
      <c r="S37" s="150">
        <f>IF($I37=Year_Open_to_Traffic?,$E$52,Calculations!S36+(Calculations!S36*Calculations!$L37*T37))</f>
        <v>282323.66623506107</v>
      </c>
      <c r="T37" s="147">
        <f t="shared" si="2"/>
        <v>0</v>
      </c>
      <c r="U37" s="150">
        <f>IF($I37=Year_Open_to_Traffic?,$E$53,Calculations!U36+(Calculations!U36*Calculations!$L37*V37))</f>
        <v>0</v>
      </c>
      <c r="V37" s="147">
        <f t="shared" si="3"/>
        <v>0</v>
      </c>
      <c r="W37" s="150">
        <f t="shared" ref="W37" si="17">((O37*P37)+(Q37*R37)+(S37*T37)+(U37*V37))/10^3</f>
        <v>0</v>
      </c>
      <c r="X37" s="151">
        <f>W37/(1+Real_Discount_Rate)^(Calculations!I37-'Assumed Values'!$C$5)</f>
        <v>0</v>
      </c>
      <c r="Y37"/>
    </row>
    <row r="38" spans="1:25">
      <c r="A38"/>
      <c r="B38"/>
      <c r="C38"/>
      <c r="D38" s="215"/>
      <c r="E38" s="211" t="s">
        <v>178</v>
      </c>
      <c r="F38" s="211" t="s">
        <v>179</v>
      </c>
      <c r="G38"/>
      <c r="H38"/>
      <c r="I38" s="46"/>
      <c r="J38" s="46"/>
      <c r="K38" s="46"/>
      <c r="L38" s="177"/>
      <c r="M38" s="178"/>
      <c r="N38" s="46"/>
      <c r="O38" s="179"/>
      <c r="P38" s="46"/>
      <c r="Q38" s="46"/>
      <c r="R38" s="46"/>
      <c r="S38" s="46"/>
      <c r="T38" s="46"/>
      <c r="U38" s="46"/>
      <c r="V38" s="46"/>
      <c r="W38" s="179"/>
      <c r="X38" s="151">
        <f>SUM(X4:X37)</f>
        <v>10687.714576336004</v>
      </c>
      <c r="Y38"/>
    </row>
    <row r="39" spans="1:25">
      <c r="A39"/>
      <c r="B39"/>
      <c r="C39"/>
      <c r="D39" s="215"/>
      <c r="E39" s="211"/>
      <c r="F39" s="211"/>
      <c r="G39"/>
      <c r="H39"/>
      <c r="I39"/>
      <c r="J39"/>
      <c r="K39"/>
      <c r="L39" s="180"/>
      <c r="M39" s="181"/>
      <c r="N39"/>
      <c r="O39"/>
      <c r="P39"/>
      <c r="Q39"/>
      <c r="R39"/>
      <c r="S39"/>
      <c r="T39"/>
      <c r="U39"/>
      <c r="V39"/>
      <c r="W39"/>
      <c r="X39"/>
      <c r="Y39"/>
    </row>
    <row r="40" spans="1:25">
      <c r="A40"/>
      <c r="B40"/>
      <c r="C40"/>
      <c r="D40" s="215"/>
      <c r="E40" s="211"/>
      <c r="F40" s="211"/>
      <c r="G40"/>
      <c r="H40"/>
      <c r="I40"/>
      <c r="J40"/>
      <c r="K40"/>
      <c r="L40" s="180"/>
      <c r="M40" s="181"/>
      <c r="N40"/>
      <c r="O40"/>
      <c r="P40"/>
      <c r="Q40"/>
      <c r="R40"/>
      <c r="S40"/>
      <c r="T40"/>
      <c r="U40"/>
      <c r="V40"/>
      <c r="W40"/>
      <c r="X40"/>
      <c r="Y40"/>
    </row>
    <row r="41" spans="1:25">
      <c r="D41" s="75" t="s">
        <v>129</v>
      </c>
      <c r="E41" s="78">
        <f>VLOOKUP('Inputs &amp; Outputs'!C34,'Preventable Crash data'!B33:F35,2,FALSE)</f>
        <v>0</v>
      </c>
      <c r="F41" s="76">
        <f>E41*'Inputs &amp; Outputs'!$C$35</f>
        <v>0</v>
      </c>
    </row>
    <row r="42" spans="1:25">
      <c r="D42" s="75" t="s">
        <v>130</v>
      </c>
      <c r="E42" s="78">
        <f>VLOOKUP('Inputs &amp; Outputs'!C34,'Preventable Crash data'!B33:F35,3,FALSE)</f>
        <v>0</v>
      </c>
      <c r="F42" s="76">
        <f>E42*'Inputs &amp; Outputs'!$C$35</f>
        <v>0</v>
      </c>
    </row>
    <row r="43" spans="1:25" ht="30">
      <c r="D43" s="75" t="s">
        <v>132</v>
      </c>
      <c r="E43" s="78">
        <f>VLOOKUP('Inputs &amp; Outputs'!C34,'Preventable Crash data'!B33:F35,4,FALSE)</f>
        <v>0</v>
      </c>
      <c r="F43" s="76">
        <f>E43*'Inputs &amp; Outputs'!$C$35</f>
        <v>0</v>
      </c>
    </row>
    <row r="44" spans="1:25" ht="30">
      <c r="D44" s="75" t="s">
        <v>133</v>
      </c>
      <c r="E44" s="78">
        <f>VLOOKUP('Inputs &amp; Outputs'!C34,'Preventable Crash data'!B33:F35,5,FALSE)</f>
        <v>0</v>
      </c>
      <c r="F44" s="76">
        <f>E44*'Inputs &amp; Outputs'!$C$35</f>
        <v>0</v>
      </c>
    </row>
    <row r="49" spans="1:6">
      <c r="A49" s="217" t="s">
        <v>180</v>
      </c>
      <c r="B49" s="217"/>
      <c r="C49" s="217"/>
      <c r="D49" s="217"/>
      <c r="E49" s="217"/>
    </row>
    <row r="50" spans="1:6" ht="15" customHeight="1">
      <c r="A50" s="209" t="s">
        <v>181</v>
      </c>
      <c r="B50" s="209"/>
      <c r="C50" s="209"/>
      <c r="D50" s="209"/>
      <c r="E50" s="81">
        <f>(($F$11*$B$22)+($F$12*$B$23)+($F$13*$B$24)+($F$14*$B$25))</f>
        <v>636375.27873297175</v>
      </c>
      <c r="F50" s="82"/>
    </row>
    <row r="51" spans="1:6">
      <c r="A51" s="209" t="s">
        <v>182</v>
      </c>
      <c r="B51" s="209"/>
      <c r="C51" s="209"/>
      <c r="D51" s="209"/>
      <c r="E51" s="83">
        <f>(($F$21*$B$22)+($F$22*$B$23)+($F$23*$B$24)+($F$24*$B$25))</f>
        <v>371218.91259423352</v>
      </c>
    </row>
    <row r="52" spans="1:6">
      <c r="A52" s="209" t="s">
        <v>183</v>
      </c>
      <c r="B52" s="209"/>
      <c r="C52" s="209"/>
      <c r="D52" s="209"/>
      <c r="E52" s="83">
        <f>(($F$31*$B$22)+($F$32*$B$23)+($F$33*$B$24)+($F$34*$B$25))</f>
        <v>278414.18444567517</v>
      </c>
    </row>
    <row r="53" spans="1:6">
      <c r="A53" s="209" t="s">
        <v>184</v>
      </c>
      <c r="B53" s="209"/>
      <c r="C53" s="209"/>
      <c r="D53" s="209"/>
      <c r="E53" s="83">
        <f>($F$41*$B$22)+($F$42*$B$23)+($F$43*$B$24)+($F$44*$B$25)</f>
        <v>0</v>
      </c>
    </row>
    <row r="54" spans="1:6">
      <c r="A54" s="209" t="s">
        <v>185</v>
      </c>
      <c r="B54" s="209"/>
      <c r="C54" s="209"/>
      <c r="D54" s="209"/>
      <c r="E54" s="83">
        <f>SUM(E50:E53)</f>
        <v>1286008.3757728804</v>
      </c>
    </row>
  </sheetData>
  <sheetProtection algorithmName="SHA-512" hashValue="XYvRn71TfccgRH/+BrmYTbVwK3JlKtFeYsb4lufUuWEPrO0cOTiaoMXcVwD7Cob89umjSCUiFfBr5hvx5yyjAg==" saltValue="pkey2r7vu64FmhRTQX3KHA==" spinCount="100000" sheet="1" objects="1" scenarios="1"/>
  <mergeCells count="35">
    <mergeCell ref="I1:X1"/>
    <mergeCell ref="I2:I3"/>
    <mergeCell ref="J2:J3"/>
    <mergeCell ref="L2:L3"/>
    <mergeCell ref="N2:N3"/>
    <mergeCell ref="O2:O3"/>
    <mergeCell ref="P2:P3"/>
    <mergeCell ref="W2:W3"/>
    <mergeCell ref="X2:X3"/>
    <mergeCell ref="Q2:Q3"/>
    <mergeCell ref="R2:R3"/>
    <mergeCell ref="S2:S3"/>
    <mergeCell ref="K2:K3"/>
    <mergeCell ref="T2:T3"/>
    <mergeCell ref="A54:D54"/>
    <mergeCell ref="E8:E10"/>
    <mergeCell ref="F8:F10"/>
    <mergeCell ref="D8:D10"/>
    <mergeCell ref="A11:B11"/>
    <mergeCell ref="D18:D20"/>
    <mergeCell ref="E18:E20"/>
    <mergeCell ref="F18:F20"/>
    <mergeCell ref="D28:D30"/>
    <mergeCell ref="E28:E30"/>
    <mergeCell ref="F28:F30"/>
    <mergeCell ref="A50:D50"/>
    <mergeCell ref="A49:E49"/>
    <mergeCell ref="D38:D40"/>
    <mergeCell ref="E38:E40"/>
    <mergeCell ref="F38:F40"/>
    <mergeCell ref="A53:D53"/>
    <mergeCell ref="U2:U3"/>
    <mergeCell ref="V2:V3"/>
    <mergeCell ref="A51:D51"/>
    <mergeCell ref="A52:D52"/>
  </mergeCells>
  <pageMargins left="0.25" right="0.25" top="0.75" bottom="0.75" header="0.3" footer="0.3"/>
  <pageSetup paperSize="17" scale="4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1"/>
    <pageSetUpPr fitToPage="1"/>
  </sheetPr>
  <dimension ref="B2:G49"/>
  <sheetViews>
    <sheetView zoomScale="85" zoomScaleNormal="85" workbookViewId="0">
      <selection activeCell="C8" sqref="C8"/>
    </sheetView>
  </sheetViews>
  <sheetFormatPr defaultRowHeight="15"/>
  <cols>
    <col min="1" max="1" width="3.42578125" customWidth="1"/>
    <col min="2" max="2" width="62.42578125" bestFit="1" customWidth="1"/>
    <col min="3" max="3" width="22.7109375" bestFit="1" customWidth="1"/>
    <col min="4" max="4" width="20" bestFit="1" customWidth="1"/>
    <col min="6" max="6" width="16.85546875" customWidth="1"/>
    <col min="7" max="7" width="17.7109375" customWidth="1"/>
  </cols>
  <sheetData>
    <row r="2" spans="2:7">
      <c r="B2" s="1" t="s">
        <v>186</v>
      </c>
    </row>
    <row r="4" spans="2:7">
      <c r="B4" s="1" t="s">
        <v>187</v>
      </c>
      <c r="F4" s="60" t="s">
        <v>188</v>
      </c>
      <c r="G4" s="60" t="s">
        <v>189</v>
      </c>
    </row>
    <row r="5" spans="2:7">
      <c r="B5" s="24" t="s">
        <v>190</v>
      </c>
      <c r="C5" s="24">
        <v>2022</v>
      </c>
      <c r="F5" s="40" t="s">
        <v>191</v>
      </c>
      <c r="G5" s="40" t="s">
        <v>192</v>
      </c>
    </row>
    <row r="6" spans="2:7">
      <c r="B6" s="24" t="s">
        <v>193</v>
      </c>
      <c r="C6" s="39">
        <v>3.1E-2</v>
      </c>
      <c r="F6" s="40" t="s">
        <v>194</v>
      </c>
      <c r="G6" s="40" t="s">
        <v>55</v>
      </c>
    </row>
    <row r="7" spans="2:7">
      <c r="B7" s="22"/>
      <c r="C7" s="48"/>
      <c r="F7" s="40" t="s">
        <v>195</v>
      </c>
    </row>
    <row r="8" spans="2:7">
      <c r="B8" s="22"/>
      <c r="C8" s="49"/>
      <c r="F8" s="40" t="s">
        <v>196</v>
      </c>
    </row>
    <row r="9" spans="2:7">
      <c r="C9" s="23"/>
      <c r="F9" s="40" t="s">
        <v>52</v>
      </c>
    </row>
    <row r="10" spans="2:7">
      <c r="B10" s="1" t="s">
        <v>197</v>
      </c>
      <c r="C10" s="23"/>
      <c r="F10" s="40" t="s">
        <v>198</v>
      </c>
    </row>
    <row r="11" spans="2:7">
      <c r="B11" s="24" t="s">
        <v>199</v>
      </c>
      <c r="C11" s="58">
        <v>12500000</v>
      </c>
      <c r="F11" s="40" t="s">
        <v>200</v>
      </c>
    </row>
    <row r="12" spans="2:7">
      <c r="B12" s="224" t="s">
        <v>201</v>
      </c>
      <c r="C12" s="225"/>
      <c r="F12" s="40" t="s">
        <v>202</v>
      </c>
    </row>
    <row r="14" spans="2:7" hidden="1">
      <c r="B14" s="1" t="s">
        <v>203</v>
      </c>
      <c r="C14" s="23"/>
    </row>
    <row r="15" spans="2:7" hidden="1">
      <c r="B15" s="24" t="s">
        <v>204</v>
      </c>
      <c r="C15" s="26" t="e">
        <f>#REF!</f>
        <v>#REF!</v>
      </c>
    </row>
    <row r="16" spans="2:7" hidden="1">
      <c r="B16" s="40" t="s">
        <v>205</v>
      </c>
      <c r="C16" s="41">
        <v>1.2E-2</v>
      </c>
    </row>
    <row r="17" spans="2:3" hidden="1"/>
    <row r="18" spans="2:3" hidden="1">
      <c r="B18" s="1" t="s">
        <v>206</v>
      </c>
    </row>
    <row r="19" spans="2:3" hidden="1">
      <c r="B19" s="24" t="s">
        <v>207</v>
      </c>
      <c r="C19" s="43" t="e">
        <f>#REF!</f>
        <v>#REF!</v>
      </c>
    </row>
    <row r="20" spans="2:3" hidden="1">
      <c r="B20" s="24" t="s">
        <v>208</v>
      </c>
      <c r="C20" s="43" t="e">
        <f>#REF!</f>
        <v>#REF!</v>
      </c>
    </row>
    <row r="21" spans="2:3" hidden="1">
      <c r="B21" s="24" t="s">
        <v>209</v>
      </c>
      <c r="C21" s="25">
        <f>(0.267383+0.37942)/2</f>
        <v>0.32340150000000001</v>
      </c>
    </row>
    <row r="22" spans="2:3" hidden="1">
      <c r="B22" s="24" t="s">
        <v>210</v>
      </c>
      <c r="C22" s="25">
        <f>(0.183428+0.198698)/2</f>
        <v>0.19106300000000001</v>
      </c>
    </row>
    <row r="23" spans="2:3" ht="75" hidden="1">
      <c r="B23" s="24" t="s">
        <v>211</v>
      </c>
      <c r="C23" s="42" t="s">
        <v>212</v>
      </c>
    </row>
    <row r="24" spans="2:3" hidden="1"/>
    <row r="25" spans="2:3" hidden="1"/>
    <row r="26" spans="2:3" hidden="1"/>
    <row r="27" spans="2:3" hidden="1"/>
    <row r="28" spans="2:3" hidden="1"/>
    <row r="29" spans="2:3" hidden="1"/>
    <row r="30" spans="2:3" hidden="1"/>
    <row r="31" spans="2:3" hidden="1"/>
    <row r="49" spans="4:4">
      <c r="D49" s="50"/>
    </row>
  </sheetData>
  <sheetProtection algorithmName="SHA-512" hashValue="BBEE5I/UKJ1idPaHD6ovVD3yFrMrwa//tkflijlcBrMneO4wClg673e0aT6qLNKVZmz9D6WZyC4PK6t9cw1YgA==" saltValue="Mi2YPEiRTv5fzjXCY0JPJg==" spinCount="100000" sheet="1" objects="1" scenarios="1"/>
  <mergeCells count="1">
    <mergeCell ref="B12:C12"/>
  </mergeCells>
  <hyperlinks>
    <hyperlink ref="C23" r:id="rId1" location="page=80" xr:uid="{00000000-0004-0000-0500-000000000000}"/>
  </hyperlinks>
  <pageMargins left="0.25" right="0.25"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1"/>
  </sheetPr>
  <dimension ref="B2:T39"/>
  <sheetViews>
    <sheetView zoomScale="115" zoomScaleNormal="115" workbookViewId="0">
      <selection activeCell="E5" sqref="E5"/>
    </sheetView>
  </sheetViews>
  <sheetFormatPr defaultRowHeight="15"/>
  <cols>
    <col min="2" max="2" width="14" customWidth="1"/>
    <col min="3" max="3" width="25" customWidth="1"/>
    <col min="4" max="4" width="23.42578125" bestFit="1" customWidth="1"/>
    <col min="5" max="5" width="18.7109375" bestFit="1" customWidth="1"/>
    <col min="6" max="6" width="14.140625" bestFit="1" customWidth="1"/>
    <col min="7" max="7" width="13.85546875" customWidth="1"/>
    <col min="8" max="8" width="14.85546875" bestFit="1" customWidth="1"/>
    <col min="9" max="9" width="11" bestFit="1" customWidth="1"/>
    <col min="13" max="13" width="14.5703125" bestFit="1" customWidth="1"/>
  </cols>
  <sheetData>
    <row r="2" spans="2:9">
      <c r="B2" s="2" t="s">
        <v>213</v>
      </c>
    </row>
    <row r="4" spans="2:9">
      <c r="B4" s="227" t="s">
        <v>169</v>
      </c>
      <c r="C4" s="228"/>
      <c r="D4" s="57" t="s">
        <v>170</v>
      </c>
      <c r="E4" s="1"/>
    </row>
    <row r="5" spans="2:9">
      <c r="B5" s="52">
        <v>0</v>
      </c>
      <c r="C5" s="46" t="s">
        <v>214</v>
      </c>
      <c r="D5" s="58">
        <v>5000</v>
      </c>
      <c r="E5" s="45"/>
      <c r="G5" s="44"/>
    </row>
    <row r="6" spans="2:9">
      <c r="B6" s="52" t="s">
        <v>215</v>
      </c>
      <c r="C6" s="46" t="s">
        <v>216</v>
      </c>
      <c r="D6" s="58">
        <v>111700</v>
      </c>
      <c r="E6" s="45"/>
      <c r="G6" s="44"/>
    </row>
    <row r="7" spans="2:9" ht="31.5" customHeight="1">
      <c r="B7" s="52" t="s">
        <v>217</v>
      </c>
      <c r="C7" s="47" t="s">
        <v>218</v>
      </c>
      <c r="D7" s="58">
        <v>233800</v>
      </c>
      <c r="E7" s="45"/>
      <c r="G7" s="44"/>
    </row>
    <row r="8" spans="2:9">
      <c r="B8" s="52" t="s">
        <v>219</v>
      </c>
      <c r="C8" s="46" t="s">
        <v>220</v>
      </c>
      <c r="D8" s="58">
        <v>1188200</v>
      </c>
      <c r="E8" s="45"/>
      <c r="G8" s="44"/>
    </row>
    <row r="9" spans="2:9">
      <c r="B9" s="52" t="s">
        <v>221</v>
      </c>
      <c r="C9" s="46" t="s">
        <v>222</v>
      </c>
      <c r="D9" s="58">
        <v>12500000</v>
      </c>
      <c r="E9" s="45"/>
      <c r="G9" s="44"/>
    </row>
    <row r="11" spans="2:9">
      <c r="B11" s="229" t="s">
        <v>223</v>
      </c>
      <c r="C11" s="230"/>
    </row>
    <row r="12" spans="2:9">
      <c r="B12" s="2"/>
    </row>
    <row r="14" spans="2:9">
      <c r="B14" s="1"/>
      <c r="E14" s="1"/>
      <c r="F14" s="1"/>
      <c r="G14" s="1"/>
      <c r="H14" s="1"/>
    </row>
    <row r="15" spans="2:9">
      <c r="B15" s="1"/>
      <c r="E15" s="54"/>
      <c r="F15" s="54"/>
      <c r="G15" s="54"/>
      <c r="H15" s="54"/>
      <c r="I15" s="55"/>
    </row>
    <row r="16" spans="2:9">
      <c r="B16" s="1"/>
      <c r="E16" s="54"/>
      <c r="F16" s="54"/>
      <c r="G16" s="54"/>
      <c r="H16" s="54"/>
    </row>
    <row r="17" spans="2:8">
      <c r="B17" s="1"/>
      <c r="E17" s="54"/>
      <c r="F17" s="54"/>
      <c r="G17" s="54"/>
      <c r="H17" s="54"/>
    </row>
    <row r="18" spans="2:8">
      <c r="B18" s="1"/>
      <c r="E18" s="54"/>
      <c r="F18" s="54"/>
      <c r="G18" s="54"/>
      <c r="H18" s="54"/>
    </row>
    <row r="19" spans="2:8">
      <c r="B19" s="1"/>
      <c r="E19" s="54"/>
      <c r="F19" s="54"/>
      <c r="G19" s="54"/>
      <c r="H19" s="54"/>
    </row>
    <row r="20" spans="2:8">
      <c r="B20" s="1"/>
      <c r="E20" s="54"/>
      <c r="F20" s="54"/>
      <c r="G20" s="54"/>
      <c r="H20" s="54"/>
    </row>
    <row r="21" spans="2:8">
      <c r="B21" s="1"/>
      <c r="E21" s="54"/>
      <c r="F21" s="54"/>
      <c r="G21" s="54"/>
      <c r="H21" s="54"/>
    </row>
    <row r="22" spans="2:8">
      <c r="B22" s="226"/>
      <c r="C22" s="226"/>
      <c r="D22" s="195"/>
      <c r="E22" s="56"/>
      <c r="F22" s="56"/>
      <c r="G22" s="56"/>
      <c r="H22" s="56"/>
    </row>
    <row r="35" spans="13:20">
      <c r="T35" s="51"/>
    </row>
    <row r="38" spans="13:20">
      <c r="M38" s="44"/>
    </row>
    <row r="39" spans="13:20">
      <c r="M39" s="44"/>
    </row>
  </sheetData>
  <sheetProtection algorithmName="SHA-512" hashValue="z48HPycJOYk/x3gInEvs1JotbYy7YWSCumSPmeT8Ksu2cQh+x7UPR+wTVO7RSNHAJsfRuf8P3LaQLGmZIao4jA==" saltValue="P24xt0C6RsOMzFycfCCXaQ==" spinCount="100000" sheet="1" objects="1" scenarios="1"/>
  <mergeCells count="3">
    <mergeCell ref="B22:C22"/>
    <mergeCell ref="B4:C4"/>
    <mergeCell ref="B11:C11"/>
  </mergeCells>
  <hyperlinks>
    <hyperlink ref="B11" r:id="rId1" xr:uid="{649BD869-26C7-4464-A5DC-4A48963F40D4}"/>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1"/>
  </sheetPr>
  <dimension ref="A1:H84"/>
  <sheetViews>
    <sheetView topLeftCell="A16" workbookViewId="0">
      <selection activeCell="D22" sqref="D22"/>
    </sheetView>
  </sheetViews>
  <sheetFormatPr defaultColWidth="8.85546875" defaultRowHeight="15"/>
  <cols>
    <col min="1" max="1" width="8.85546875" style="182"/>
    <col min="2" max="2" width="51" style="182" customWidth="1"/>
    <col min="3" max="3" width="12.28515625" style="182" customWidth="1"/>
    <col min="4" max="4" width="21.5703125" style="182" bestFit="1" customWidth="1"/>
    <col min="5" max="5" width="10.85546875" style="182" bestFit="1" customWidth="1"/>
    <col min="6" max="6" width="44.5703125" style="183" customWidth="1"/>
    <col min="7" max="7" width="48.7109375" style="184" customWidth="1"/>
    <col min="8" max="16384" width="8.85546875" style="182"/>
  </cols>
  <sheetData>
    <row r="1" spans="1:8">
      <c r="A1" s="71"/>
      <c r="B1" s="71" t="s">
        <v>224</v>
      </c>
      <c r="C1" s="71"/>
      <c r="D1" s="71"/>
      <c r="E1" s="71"/>
      <c r="F1" s="94"/>
      <c r="G1" s="140"/>
      <c r="H1" s="71"/>
    </row>
    <row r="2" spans="1:8">
      <c r="A2" s="71"/>
      <c r="B2" s="71"/>
      <c r="C2" s="71"/>
      <c r="D2" s="71"/>
      <c r="E2" s="71"/>
      <c r="F2" s="94"/>
      <c r="G2" s="140"/>
      <c r="H2" s="71"/>
    </row>
    <row r="3" spans="1:8">
      <c r="A3" s="71"/>
      <c r="B3" s="103" t="s">
        <v>225</v>
      </c>
      <c r="C3" s="103" t="s">
        <v>226</v>
      </c>
      <c r="D3" s="103" t="s">
        <v>227</v>
      </c>
      <c r="E3" s="103" t="s">
        <v>228</v>
      </c>
      <c r="F3" s="104" t="s">
        <v>229</v>
      </c>
      <c r="G3" s="105" t="s">
        <v>230</v>
      </c>
      <c r="H3" s="71"/>
    </row>
    <row r="4" spans="1:8">
      <c r="A4" s="71"/>
      <c r="B4" s="46" t="s">
        <v>116</v>
      </c>
      <c r="C4" s="52">
        <v>0</v>
      </c>
      <c r="D4" s="106">
        <v>0</v>
      </c>
      <c r="E4" s="52">
        <v>0</v>
      </c>
      <c r="F4" s="46" t="s">
        <v>116</v>
      </c>
      <c r="G4" s="46" t="s">
        <v>116</v>
      </c>
      <c r="H4" s="71"/>
    </row>
    <row r="5" spans="1:8" ht="30">
      <c r="A5" s="71"/>
      <c r="B5" s="46" t="s">
        <v>231</v>
      </c>
      <c r="C5" s="52">
        <v>101</v>
      </c>
      <c r="D5" s="106">
        <v>0.2</v>
      </c>
      <c r="E5" s="52">
        <v>6</v>
      </c>
      <c r="F5" s="72" t="s">
        <v>114</v>
      </c>
      <c r="G5" s="47" t="s">
        <v>232</v>
      </c>
      <c r="H5" s="71"/>
    </row>
    <row r="6" spans="1:8">
      <c r="A6" s="71"/>
      <c r="B6" s="46" t="s">
        <v>233</v>
      </c>
      <c r="C6" s="52">
        <v>105</v>
      </c>
      <c r="D6" s="107">
        <v>0.14000000000000001</v>
      </c>
      <c r="E6" s="52">
        <v>10</v>
      </c>
      <c r="F6" s="108" t="s">
        <v>234</v>
      </c>
      <c r="G6" s="47" t="s">
        <v>234</v>
      </c>
      <c r="H6" s="71"/>
    </row>
    <row r="7" spans="1:8" ht="45">
      <c r="A7" s="71"/>
      <c r="B7" s="46" t="s">
        <v>235</v>
      </c>
      <c r="C7" s="52">
        <v>107</v>
      </c>
      <c r="D7" s="106">
        <v>0.35</v>
      </c>
      <c r="E7" s="52">
        <v>10</v>
      </c>
      <c r="F7" s="72" t="s">
        <v>115</v>
      </c>
      <c r="G7" s="47" t="s">
        <v>236</v>
      </c>
      <c r="H7" s="71"/>
    </row>
    <row r="8" spans="1:8" ht="45">
      <c r="A8" s="71"/>
      <c r="B8" s="46" t="s">
        <v>237</v>
      </c>
      <c r="C8" s="52">
        <v>108</v>
      </c>
      <c r="D8" s="106">
        <v>0.24</v>
      </c>
      <c r="E8" s="52">
        <v>10</v>
      </c>
      <c r="F8" s="72" t="s">
        <v>115</v>
      </c>
      <c r="G8" s="47" t="s">
        <v>236</v>
      </c>
      <c r="H8" s="71"/>
    </row>
    <row r="9" spans="1:8">
      <c r="A9" s="71"/>
      <c r="B9" s="46" t="s">
        <v>238</v>
      </c>
      <c r="C9" s="52">
        <v>110</v>
      </c>
      <c r="D9" s="106">
        <v>0.34</v>
      </c>
      <c r="E9" s="52">
        <v>10</v>
      </c>
      <c r="F9" s="108" t="s">
        <v>134</v>
      </c>
      <c r="G9" s="47" t="s">
        <v>134</v>
      </c>
      <c r="H9" s="71"/>
    </row>
    <row r="10" spans="1:8">
      <c r="A10" s="71"/>
      <c r="B10" s="46" t="s">
        <v>239</v>
      </c>
      <c r="C10" s="52">
        <v>111</v>
      </c>
      <c r="D10" s="106">
        <v>0.1</v>
      </c>
      <c r="E10" s="52">
        <v>10</v>
      </c>
      <c r="F10" s="72" t="s">
        <v>115</v>
      </c>
      <c r="G10" s="47" t="s">
        <v>240</v>
      </c>
      <c r="H10" s="71"/>
    </row>
    <row r="11" spans="1:8">
      <c r="A11" s="71"/>
      <c r="B11" s="46" t="s">
        <v>241</v>
      </c>
      <c r="C11" s="52">
        <v>113</v>
      </c>
      <c r="D11" s="107">
        <v>0.12</v>
      </c>
      <c r="E11" s="52">
        <v>2</v>
      </c>
      <c r="F11" s="72" t="s">
        <v>114</v>
      </c>
      <c r="G11" s="47" t="s">
        <v>242</v>
      </c>
      <c r="H11" s="71"/>
    </row>
    <row r="12" spans="1:8">
      <c r="A12" s="71"/>
      <c r="B12" s="46" t="s">
        <v>243</v>
      </c>
      <c r="C12" s="52">
        <v>114</v>
      </c>
      <c r="D12" s="106">
        <v>0.2</v>
      </c>
      <c r="E12" s="52">
        <v>5</v>
      </c>
      <c r="F12" s="72" t="s">
        <v>114</v>
      </c>
      <c r="G12" s="47" t="s">
        <v>240</v>
      </c>
      <c r="H12" s="71"/>
    </row>
    <row r="13" spans="1:8" ht="45">
      <c r="A13" s="71"/>
      <c r="B13" s="46" t="s">
        <v>244</v>
      </c>
      <c r="C13" s="52">
        <v>118</v>
      </c>
      <c r="D13" s="106">
        <v>0.25</v>
      </c>
      <c r="E13" s="52">
        <v>10</v>
      </c>
      <c r="F13" s="72" t="s">
        <v>134</v>
      </c>
      <c r="G13" s="47" t="s">
        <v>245</v>
      </c>
      <c r="H13" s="71"/>
    </row>
    <row r="14" spans="1:8">
      <c r="A14" s="71"/>
      <c r="B14" s="47" t="s">
        <v>246</v>
      </c>
      <c r="C14" s="52">
        <v>119</v>
      </c>
      <c r="D14" s="106">
        <v>0.2</v>
      </c>
      <c r="E14" s="52">
        <v>6</v>
      </c>
      <c r="F14" s="72" t="s">
        <v>114</v>
      </c>
      <c r="G14" s="47" t="s">
        <v>247</v>
      </c>
      <c r="H14" s="71"/>
    </row>
    <row r="15" spans="1:8" ht="30">
      <c r="A15" s="71"/>
      <c r="B15" s="47" t="s">
        <v>248</v>
      </c>
      <c r="C15" s="52">
        <v>122</v>
      </c>
      <c r="D15" s="106">
        <v>0.1</v>
      </c>
      <c r="E15" s="52">
        <v>10</v>
      </c>
      <c r="F15" s="108" t="s">
        <v>115</v>
      </c>
      <c r="G15" s="47" t="s">
        <v>115</v>
      </c>
      <c r="H15" s="71"/>
    </row>
    <row r="16" spans="1:8" ht="30">
      <c r="A16" s="71"/>
      <c r="B16" s="47" t="s">
        <v>249</v>
      </c>
      <c r="C16" s="52">
        <v>123</v>
      </c>
      <c r="D16" s="106">
        <v>0.1</v>
      </c>
      <c r="E16" s="52">
        <v>10</v>
      </c>
      <c r="F16" s="72" t="s">
        <v>114</v>
      </c>
      <c r="G16" s="47" t="s">
        <v>250</v>
      </c>
      <c r="H16" s="71"/>
    </row>
    <row r="17" spans="1:8" ht="30">
      <c r="A17" s="71"/>
      <c r="B17" s="47" t="s">
        <v>251</v>
      </c>
      <c r="C17" s="52">
        <v>124</v>
      </c>
      <c r="D17" s="106">
        <v>0.27</v>
      </c>
      <c r="E17" s="52">
        <v>10</v>
      </c>
      <c r="F17" s="108" t="s">
        <v>115</v>
      </c>
      <c r="G17" s="47" t="s">
        <v>115</v>
      </c>
      <c r="H17" s="71"/>
    </row>
    <row r="18" spans="1:8" ht="30">
      <c r="A18" s="71"/>
      <c r="B18" s="46" t="s">
        <v>252</v>
      </c>
      <c r="C18" s="52">
        <v>125</v>
      </c>
      <c r="D18" s="107">
        <v>0.15</v>
      </c>
      <c r="E18" s="52">
        <v>10</v>
      </c>
      <c r="F18" s="72" t="s">
        <v>114</v>
      </c>
      <c r="G18" s="47" t="s">
        <v>253</v>
      </c>
      <c r="H18" s="71"/>
    </row>
    <row r="19" spans="1:8" ht="30">
      <c r="A19" s="71"/>
      <c r="B19" s="47" t="s">
        <v>254</v>
      </c>
      <c r="C19" s="52">
        <v>128</v>
      </c>
      <c r="D19" s="106">
        <v>0.05</v>
      </c>
      <c r="E19" s="52">
        <v>6</v>
      </c>
      <c r="F19" s="108" t="s">
        <v>115</v>
      </c>
      <c r="G19" s="47" t="s">
        <v>115</v>
      </c>
      <c r="H19" s="71"/>
    </row>
    <row r="20" spans="1:8" ht="30">
      <c r="A20" s="71"/>
      <c r="B20" s="47" t="s">
        <v>255</v>
      </c>
      <c r="C20" s="52">
        <v>130</v>
      </c>
      <c r="D20" s="107">
        <v>0.05</v>
      </c>
      <c r="E20" s="52">
        <v>6</v>
      </c>
      <c r="F20" s="72" t="s">
        <v>114</v>
      </c>
      <c r="G20" s="47" t="s">
        <v>250</v>
      </c>
      <c r="H20" s="71"/>
    </row>
    <row r="21" spans="1:8">
      <c r="A21" s="71"/>
      <c r="B21" s="46" t="s">
        <v>256</v>
      </c>
      <c r="C21" s="52">
        <v>131</v>
      </c>
      <c r="D21" s="106">
        <v>0.1</v>
      </c>
      <c r="E21" s="52">
        <v>10</v>
      </c>
      <c r="F21" s="72" t="s">
        <v>134</v>
      </c>
      <c r="G21" s="72" t="s">
        <v>134</v>
      </c>
      <c r="H21" s="71"/>
    </row>
    <row r="22" spans="1:8">
      <c r="A22" s="71"/>
      <c r="B22" s="46" t="s">
        <v>257</v>
      </c>
      <c r="C22" s="52">
        <v>132</v>
      </c>
      <c r="D22" s="106">
        <v>0.1</v>
      </c>
      <c r="E22" s="52">
        <v>10</v>
      </c>
      <c r="F22" s="72" t="s">
        <v>134</v>
      </c>
      <c r="G22" s="72" t="s">
        <v>134</v>
      </c>
      <c r="H22" s="71"/>
    </row>
    <row r="23" spans="1:8">
      <c r="A23" s="71"/>
      <c r="B23" s="46" t="s">
        <v>258</v>
      </c>
      <c r="C23" s="52">
        <v>133</v>
      </c>
      <c r="D23" s="106">
        <v>0.05</v>
      </c>
      <c r="E23" s="52">
        <v>5</v>
      </c>
      <c r="F23" s="72" t="s">
        <v>114</v>
      </c>
      <c r="G23" s="47" t="s">
        <v>240</v>
      </c>
      <c r="H23" s="71"/>
    </row>
    <row r="24" spans="1:8" ht="30">
      <c r="A24" s="71"/>
      <c r="B24" s="46" t="s">
        <v>259</v>
      </c>
      <c r="C24" s="52">
        <v>136</v>
      </c>
      <c r="D24" s="106">
        <v>0.35</v>
      </c>
      <c r="E24" s="52">
        <v>5</v>
      </c>
      <c r="F24" s="72" t="s">
        <v>114</v>
      </c>
      <c r="G24" s="47" t="s">
        <v>250</v>
      </c>
      <c r="H24" s="71"/>
    </row>
    <row r="25" spans="1:8" ht="30">
      <c r="A25" s="71"/>
      <c r="B25" s="46" t="s">
        <v>260</v>
      </c>
      <c r="C25" s="52">
        <v>137</v>
      </c>
      <c r="D25" s="106">
        <v>0.25</v>
      </c>
      <c r="E25" s="52">
        <v>10</v>
      </c>
      <c r="F25" s="72" t="s">
        <v>114</v>
      </c>
      <c r="G25" s="47" t="s">
        <v>250</v>
      </c>
      <c r="H25" s="71"/>
    </row>
    <row r="26" spans="1:8" ht="45">
      <c r="A26" s="71"/>
      <c r="B26" s="46" t="s">
        <v>261</v>
      </c>
      <c r="C26" s="52">
        <v>138</v>
      </c>
      <c r="D26" s="106">
        <v>0.41</v>
      </c>
      <c r="E26" s="52">
        <v>10</v>
      </c>
      <c r="F26" s="108" t="s">
        <v>115</v>
      </c>
      <c r="G26" s="47" t="s">
        <v>262</v>
      </c>
      <c r="H26" s="71"/>
    </row>
    <row r="27" spans="1:8" ht="30">
      <c r="A27" s="71"/>
      <c r="B27" s="46" t="s">
        <v>263</v>
      </c>
      <c r="C27" s="52">
        <v>139</v>
      </c>
      <c r="D27" s="106">
        <v>0.12</v>
      </c>
      <c r="E27" s="52">
        <v>7</v>
      </c>
      <c r="F27" s="72" t="s">
        <v>114</v>
      </c>
      <c r="G27" s="47" t="s">
        <v>250</v>
      </c>
      <c r="H27" s="71"/>
    </row>
    <row r="28" spans="1:8">
      <c r="A28" s="71"/>
      <c r="B28" s="46" t="s">
        <v>264</v>
      </c>
      <c r="C28" s="52">
        <v>201</v>
      </c>
      <c r="D28" s="106">
        <v>0.75</v>
      </c>
      <c r="E28" s="52">
        <v>15</v>
      </c>
      <c r="F28" s="72" t="s">
        <v>114</v>
      </c>
      <c r="G28" s="47" t="s">
        <v>247</v>
      </c>
      <c r="H28" s="71"/>
    </row>
    <row r="29" spans="1:8" ht="45">
      <c r="A29" s="71"/>
      <c r="B29" s="46" t="s">
        <v>74</v>
      </c>
      <c r="C29" s="52">
        <v>203</v>
      </c>
      <c r="D29" s="106">
        <v>0.25</v>
      </c>
      <c r="E29" s="52">
        <v>20</v>
      </c>
      <c r="F29" s="72" t="s">
        <v>114</v>
      </c>
      <c r="G29" s="47" t="s">
        <v>265</v>
      </c>
      <c r="H29" s="71"/>
    </row>
    <row r="30" spans="1:8">
      <c r="A30" s="71"/>
      <c r="B30" s="47" t="s">
        <v>266</v>
      </c>
      <c r="C30" s="52">
        <v>204</v>
      </c>
      <c r="D30" s="106">
        <v>0.05</v>
      </c>
      <c r="E30" s="52">
        <v>20</v>
      </c>
      <c r="F30" s="72" t="s">
        <v>114</v>
      </c>
      <c r="G30" s="47" t="s">
        <v>267</v>
      </c>
      <c r="H30" s="71"/>
    </row>
    <row r="31" spans="1:8">
      <c r="A31" s="71"/>
      <c r="B31" s="46" t="s">
        <v>268</v>
      </c>
      <c r="C31" s="52">
        <v>209</v>
      </c>
      <c r="D31" s="107">
        <v>0.5</v>
      </c>
      <c r="E31" s="52">
        <v>20</v>
      </c>
      <c r="F31" s="72" t="s">
        <v>114</v>
      </c>
      <c r="G31" s="47" t="s">
        <v>267</v>
      </c>
      <c r="H31" s="71"/>
    </row>
    <row r="32" spans="1:8">
      <c r="A32" s="71"/>
      <c r="B32" s="46" t="s">
        <v>269</v>
      </c>
      <c r="C32" s="52">
        <v>217</v>
      </c>
      <c r="D32" s="106">
        <v>0.6</v>
      </c>
      <c r="E32" s="52">
        <v>10</v>
      </c>
      <c r="F32" s="108" t="s">
        <v>270</v>
      </c>
      <c r="G32" s="47" t="s">
        <v>270</v>
      </c>
      <c r="H32" s="71"/>
    </row>
    <row r="33" spans="1:8" ht="30">
      <c r="A33" s="71"/>
      <c r="B33" s="46" t="s">
        <v>271</v>
      </c>
      <c r="C33" s="52">
        <v>218</v>
      </c>
      <c r="D33" s="106">
        <v>0.55000000000000004</v>
      </c>
      <c r="E33" s="52">
        <v>20</v>
      </c>
      <c r="F33" s="72" t="s">
        <v>114</v>
      </c>
      <c r="G33" s="47" t="s">
        <v>250</v>
      </c>
      <c r="H33" s="71"/>
    </row>
    <row r="34" spans="1:8">
      <c r="A34" s="71"/>
      <c r="B34" s="46" t="s">
        <v>68</v>
      </c>
      <c r="C34" s="52">
        <v>303</v>
      </c>
      <c r="D34" s="106">
        <v>0.3</v>
      </c>
      <c r="E34" s="52">
        <v>10</v>
      </c>
      <c r="F34" s="72" t="s">
        <v>114</v>
      </c>
      <c r="G34" s="47" t="s">
        <v>272</v>
      </c>
      <c r="H34" s="71"/>
    </row>
    <row r="35" spans="1:8">
      <c r="A35" s="71"/>
      <c r="B35" s="47" t="s">
        <v>273</v>
      </c>
      <c r="C35" s="52">
        <v>304</v>
      </c>
      <c r="D35" s="106">
        <v>0.49</v>
      </c>
      <c r="E35" s="52">
        <v>15</v>
      </c>
      <c r="F35" s="72" t="s">
        <v>114</v>
      </c>
      <c r="G35" s="47" t="s">
        <v>274</v>
      </c>
      <c r="H35" s="71"/>
    </row>
    <row r="36" spans="1:8">
      <c r="A36" s="71"/>
      <c r="B36" s="46" t="s">
        <v>275</v>
      </c>
      <c r="C36" s="52">
        <v>305</v>
      </c>
      <c r="D36" s="107">
        <v>0.13</v>
      </c>
      <c r="E36" s="52">
        <v>15</v>
      </c>
      <c r="F36" s="108" t="s">
        <v>115</v>
      </c>
      <c r="G36" s="47" t="s">
        <v>276</v>
      </c>
      <c r="H36" s="71"/>
    </row>
    <row r="37" spans="1:8">
      <c r="A37" s="71"/>
      <c r="B37" s="46" t="s">
        <v>277</v>
      </c>
      <c r="C37" s="52">
        <v>306</v>
      </c>
      <c r="D37" s="107">
        <v>0.45</v>
      </c>
      <c r="E37" s="52">
        <v>5</v>
      </c>
      <c r="F37" s="72" t="s">
        <v>114</v>
      </c>
      <c r="G37" s="47" t="s">
        <v>278</v>
      </c>
      <c r="H37" s="71"/>
    </row>
    <row r="38" spans="1:8">
      <c r="A38" s="71"/>
      <c r="B38" s="46" t="s">
        <v>279</v>
      </c>
      <c r="C38" s="52">
        <v>307</v>
      </c>
      <c r="D38" s="107">
        <v>0.2</v>
      </c>
      <c r="E38" s="52">
        <v>5</v>
      </c>
      <c r="F38" s="108" t="s">
        <v>115</v>
      </c>
      <c r="G38" s="47" t="s">
        <v>115</v>
      </c>
      <c r="H38" s="71"/>
    </row>
    <row r="39" spans="1:8" ht="30">
      <c r="A39" s="71"/>
      <c r="B39" s="46" t="s">
        <v>280</v>
      </c>
      <c r="C39" s="52">
        <v>401</v>
      </c>
      <c r="D39" s="106">
        <v>0.2</v>
      </c>
      <c r="E39" s="52">
        <v>2</v>
      </c>
      <c r="F39" s="72" t="s">
        <v>114</v>
      </c>
      <c r="G39" s="47" t="s">
        <v>250</v>
      </c>
      <c r="H39" s="71"/>
    </row>
    <row r="40" spans="1:8">
      <c r="A40" s="71"/>
      <c r="B40" s="46" t="s">
        <v>76</v>
      </c>
      <c r="C40" s="52">
        <v>402</v>
      </c>
      <c r="D40" s="106">
        <v>0.25</v>
      </c>
      <c r="E40" s="52">
        <v>2</v>
      </c>
      <c r="F40" s="72" t="s">
        <v>114</v>
      </c>
      <c r="G40" s="47" t="s">
        <v>281</v>
      </c>
      <c r="H40" s="71"/>
    </row>
    <row r="41" spans="1:8">
      <c r="A41" s="71"/>
      <c r="B41" s="47" t="s">
        <v>78</v>
      </c>
      <c r="C41" s="52">
        <v>403</v>
      </c>
      <c r="D41" s="106">
        <v>0.1</v>
      </c>
      <c r="E41" s="52">
        <v>2</v>
      </c>
      <c r="F41" s="108" t="s">
        <v>134</v>
      </c>
      <c r="G41" s="47" t="s">
        <v>134</v>
      </c>
      <c r="H41" s="71"/>
    </row>
    <row r="42" spans="1:8">
      <c r="A42" s="71"/>
      <c r="B42" s="47" t="s">
        <v>282</v>
      </c>
      <c r="C42" s="52">
        <v>404</v>
      </c>
      <c r="D42" s="106">
        <v>0.65</v>
      </c>
      <c r="E42" s="52">
        <v>2</v>
      </c>
      <c r="F42" s="72" t="s">
        <v>114</v>
      </c>
      <c r="G42" s="47" t="s">
        <v>247</v>
      </c>
      <c r="H42" s="71"/>
    </row>
    <row r="43" spans="1:8">
      <c r="A43" s="71"/>
      <c r="B43" s="46" t="s">
        <v>283</v>
      </c>
      <c r="C43" s="52">
        <v>407</v>
      </c>
      <c r="D43" s="107">
        <v>0.65</v>
      </c>
      <c r="E43" s="52">
        <v>10</v>
      </c>
      <c r="F43" s="108" t="s">
        <v>134</v>
      </c>
      <c r="G43" s="47" t="s">
        <v>134</v>
      </c>
      <c r="H43" s="71"/>
    </row>
    <row r="44" spans="1:8" ht="30">
      <c r="A44" s="71"/>
      <c r="B44" s="46" t="s">
        <v>284</v>
      </c>
      <c r="C44" s="52">
        <v>502</v>
      </c>
      <c r="D44" s="106">
        <v>0.3</v>
      </c>
      <c r="E44" s="52">
        <v>20</v>
      </c>
      <c r="F44" s="72" t="s">
        <v>114</v>
      </c>
      <c r="G44" s="47" t="s">
        <v>285</v>
      </c>
      <c r="H44" s="71"/>
    </row>
    <row r="45" spans="1:8">
      <c r="A45" s="71"/>
      <c r="B45" s="46" t="s">
        <v>286</v>
      </c>
      <c r="C45" s="52">
        <v>503</v>
      </c>
      <c r="D45" s="106">
        <v>0.25</v>
      </c>
      <c r="E45" s="52">
        <v>20</v>
      </c>
      <c r="F45" s="72" t="s">
        <v>114</v>
      </c>
      <c r="G45" s="47" t="s">
        <v>267</v>
      </c>
      <c r="H45" s="71"/>
    </row>
    <row r="46" spans="1:8" ht="30">
      <c r="A46" s="71"/>
      <c r="B46" s="46" t="s">
        <v>287</v>
      </c>
      <c r="C46" s="52">
        <v>504</v>
      </c>
      <c r="D46" s="106">
        <v>0.25</v>
      </c>
      <c r="E46" s="52">
        <v>20</v>
      </c>
      <c r="F46" s="72" t="s">
        <v>114</v>
      </c>
      <c r="G46" s="47" t="s">
        <v>250</v>
      </c>
      <c r="H46" s="71"/>
    </row>
    <row r="47" spans="1:8" ht="30">
      <c r="A47" s="71"/>
      <c r="B47" s="47" t="s">
        <v>288</v>
      </c>
      <c r="C47" s="52">
        <v>505</v>
      </c>
      <c r="D47" s="106">
        <v>0.5</v>
      </c>
      <c r="E47" s="52">
        <v>10</v>
      </c>
      <c r="F47" s="72" t="s">
        <v>114</v>
      </c>
      <c r="G47" s="47" t="s">
        <v>250</v>
      </c>
      <c r="H47" s="71"/>
    </row>
    <row r="48" spans="1:8" ht="30">
      <c r="A48" s="71"/>
      <c r="B48" s="46" t="s">
        <v>289</v>
      </c>
      <c r="C48" s="52">
        <v>506</v>
      </c>
      <c r="D48" s="107">
        <v>0.55000000000000004</v>
      </c>
      <c r="E48" s="52">
        <v>10</v>
      </c>
      <c r="F48" s="72" t="s">
        <v>114</v>
      </c>
      <c r="G48" s="47" t="s">
        <v>250</v>
      </c>
      <c r="H48" s="71"/>
    </row>
    <row r="49" spans="1:8" ht="30">
      <c r="A49" s="71"/>
      <c r="B49" s="47" t="s">
        <v>290</v>
      </c>
      <c r="C49" s="52">
        <v>507</v>
      </c>
      <c r="D49" s="107">
        <v>0.65</v>
      </c>
      <c r="E49" s="52">
        <v>10</v>
      </c>
      <c r="F49" s="72" t="s">
        <v>114</v>
      </c>
      <c r="G49" s="47" t="s">
        <v>250</v>
      </c>
      <c r="H49" s="71"/>
    </row>
    <row r="50" spans="1:8" ht="30">
      <c r="A50" s="71"/>
      <c r="B50" s="47" t="s">
        <v>291</v>
      </c>
      <c r="C50" s="52">
        <v>510</v>
      </c>
      <c r="D50" s="107">
        <v>0.4</v>
      </c>
      <c r="E50" s="52">
        <v>10</v>
      </c>
      <c r="F50" s="108" t="s">
        <v>115</v>
      </c>
      <c r="G50" s="47" t="s">
        <v>292</v>
      </c>
      <c r="H50" s="71"/>
    </row>
    <row r="51" spans="1:8">
      <c r="A51" s="71"/>
      <c r="B51" s="46" t="s">
        <v>293</v>
      </c>
      <c r="C51" s="52">
        <v>514</v>
      </c>
      <c r="D51" s="106">
        <v>0.8</v>
      </c>
      <c r="E51" s="52">
        <v>30</v>
      </c>
      <c r="F51" s="108" t="s">
        <v>115</v>
      </c>
      <c r="G51" s="47" t="s">
        <v>115</v>
      </c>
      <c r="H51" s="71"/>
    </row>
    <row r="52" spans="1:8">
      <c r="A52" s="71"/>
      <c r="B52" s="46" t="s">
        <v>294</v>
      </c>
      <c r="C52" s="52">
        <v>515</v>
      </c>
      <c r="D52" s="106">
        <v>0.65</v>
      </c>
      <c r="E52" s="52">
        <v>30</v>
      </c>
      <c r="F52" s="108" t="s">
        <v>115</v>
      </c>
      <c r="G52" s="47" t="s">
        <v>115</v>
      </c>
      <c r="H52" s="71"/>
    </row>
    <row r="53" spans="1:8" ht="30">
      <c r="A53" s="71"/>
      <c r="B53" s="47" t="s">
        <v>295</v>
      </c>
      <c r="C53" s="52">
        <v>516</v>
      </c>
      <c r="D53" s="106">
        <v>0.5</v>
      </c>
      <c r="E53" s="52">
        <v>20</v>
      </c>
      <c r="F53" s="72" t="s">
        <v>114</v>
      </c>
      <c r="G53" s="47" t="s">
        <v>296</v>
      </c>
      <c r="H53" s="71"/>
    </row>
    <row r="54" spans="1:8">
      <c r="A54" s="71"/>
      <c r="B54" s="46" t="s">
        <v>297</v>
      </c>
      <c r="C54" s="52">
        <v>517</v>
      </c>
      <c r="D54" s="107">
        <v>0.28000000000000003</v>
      </c>
      <c r="E54" s="52">
        <v>20</v>
      </c>
      <c r="F54" s="72" t="s">
        <v>114</v>
      </c>
      <c r="G54" s="47" t="s">
        <v>247</v>
      </c>
      <c r="H54" s="71"/>
    </row>
    <row r="55" spans="1:8" ht="30">
      <c r="A55" s="71"/>
      <c r="B55" s="46" t="s">
        <v>298</v>
      </c>
      <c r="C55" s="52">
        <v>518</v>
      </c>
      <c r="D55" s="106">
        <v>0.5</v>
      </c>
      <c r="E55" s="52">
        <v>10</v>
      </c>
      <c r="F55" s="72" t="s">
        <v>114</v>
      </c>
      <c r="G55" s="47" t="s">
        <v>299</v>
      </c>
      <c r="H55" s="71"/>
    </row>
    <row r="56" spans="1:8" ht="30">
      <c r="A56" s="71"/>
      <c r="B56" s="46" t="s">
        <v>300</v>
      </c>
      <c r="C56" s="52">
        <v>519</v>
      </c>
      <c r="D56" s="106">
        <v>0.25</v>
      </c>
      <c r="E56" s="52">
        <v>10</v>
      </c>
      <c r="F56" s="108" t="s">
        <v>115</v>
      </c>
      <c r="G56" s="47" t="s">
        <v>301</v>
      </c>
      <c r="H56" s="71"/>
    </row>
    <row r="57" spans="1:8" ht="30">
      <c r="A57" s="71"/>
      <c r="B57" s="46" t="s">
        <v>302</v>
      </c>
      <c r="C57" s="52">
        <v>520</v>
      </c>
      <c r="D57" s="106">
        <v>0.4</v>
      </c>
      <c r="E57" s="52">
        <v>10</v>
      </c>
      <c r="F57" s="108" t="s">
        <v>115</v>
      </c>
      <c r="G57" s="47" t="s">
        <v>301</v>
      </c>
      <c r="H57" s="71"/>
    </row>
    <row r="58" spans="1:8" ht="30">
      <c r="A58" s="71"/>
      <c r="B58" s="46" t="s">
        <v>303</v>
      </c>
      <c r="C58" s="52">
        <v>521</v>
      </c>
      <c r="D58" s="106">
        <v>0.25</v>
      </c>
      <c r="E58" s="52">
        <v>10</v>
      </c>
      <c r="F58" s="108" t="s">
        <v>115</v>
      </c>
      <c r="G58" s="47" t="s">
        <v>301</v>
      </c>
      <c r="H58" s="71"/>
    </row>
    <row r="59" spans="1:8" ht="30">
      <c r="A59" s="71"/>
      <c r="B59" s="46" t="s">
        <v>304</v>
      </c>
      <c r="C59" s="52">
        <v>522</v>
      </c>
      <c r="D59" s="106">
        <v>0.4</v>
      </c>
      <c r="E59" s="52">
        <v>10</v>
      </c>
      <c r="F59" s="108" t="s">
        <v>115</v>
      </c>
      <c r="G59" s="47" t="s">
        <v>301</v>
      </c>
      <c r="H59" s="71"/>
    </row>
    <row r="60" spans="1:8">
      <c r="A60" s="71"/>
      <c r="B60" s="46" t="s">
        <v>305</v>
      </c>
      <c r="C60" s="52">
        <v>523</v>
      </c>
      <c r="D60" s="106">
        <v>0.95</v>
      </c>
      <c r="E60" s="52">
        <v>10</v>
      </c>
      <c r="F60" s="72" t="s">
        <v>134</v>
      </c>
      <c r="G60" s="72" t="s">
        <v>134</v>
      </c>
      <c r="H60" s="71"/>
    </row>
    <row r="61" spans="1:8">
      <c r="A61" s="71"/>
      <c r="B61" s="47" t="s">
        <v>306</v>
      </c>
      <c r="C61" s="52">
        <v>525</v>
      </c>
      <c r="D61" s="106">
        <v>0.68</v>
      </c>
      <c r="E61" s="52">
        <v>10</v>
      </c>
      <c r="F61" s="72" t="s">
        <v>114</v>
      </c>
      <c r="G61" s="47" t="s">
        <v>307</v>
      </c>
      <c r="H61" s="71"/>
    </row>
    <row r="62" spans="1:8" ht="30">
      <c r="A62" s="71"/>
      <c r="B62" s="46" t="s">
        <v>308</v>
      </c>
      <c r="C62" s="52">
        <v>532</v>
      </c>
      <c r="D62" s="107">
        <v>0.15</v>
      </c>
      <c r="E62" s="52">
        <v>10</v>
      </c>
      <c r="F62" s="72" t="s">
        <v>114</v>
      </c>
      <c r="G62" s="47" t="s">
        <v>250</v>
      </c>
      <c r="H62" s="71"/>
    </row>
    <row r="63" spans="1:8" ht="30">
      <c r="A63" s="71"/>
      <c r="B63" s="46" t="s">
        <v>309</v>
      </c>
      <c r="C63" s="52">
        <v>533</v>
      </c>
      <c r="D63" s="106">
        <v>7.0000000000000007E-2</v>
      </c>
      <c r="E63" s="52">
        <v>5</v>
      </c>
      <c r="F63" s="72" t="s">
        <v>114</v>
      </c>
      <c r="G63" s="47" t="s">
        <v>310</v>
      </c>
      <c r="H63" s="71"/>
    </row>
    <row r="64" spans="1:8" ht="30">
      <c r="A64" s="71"/>
      <c r="B64" s="46" t="s">
        <v>311</v>
      </c>
      <c r="C64" s="52">
        <v>534</v>
      </c>
      <c r="D64" s="106">
        <v>0.17</v>
      </c>
      <c r="E64" s="52">
        <v>4</v>
      </c>
      <c r="F64" s="72" t="s">
        <v>114</v>
      </c>
      <c r="G64" s="47" t="s">
        <v>310</v>
      </c>
      <c r="H64" s="71"/>
    </row>
    <row r="65" spans="1:8">
      <c r="A65" s="71"/>
      <c r="B65" s="46" t="s">
        <v>312</v>
      </c>
      <c r="C65" s="52">
        <v>536</v>
      </c>
      <c r="D65" s="106">
        <v>0.31</v>
      </c>
      <c r="E65" s="52">
        <v>20</v>
      </c>
      <c r="F65" s="72" t="s">
        <v>114</v>
      </c>
      <c r="G65" s="47" t="s">
        <v>267</v>
      </c>
      <c r="H65" s="71"/>
    </row>
    <row r="66" spans="1:8">
      <c r="A66" s="71"/>
      <c r="B66" s="46" t="s">
        <v>313</v>
      </c>
      <c r="C66" s="52">
        <v>537</v>
      </c>
      <c r="D66" s="106">
        <v>0.4</v>
      </c>
      <c r="E66" s="52">
        <v>20</v>
      </c>
      <c r="F66" s="72" t="s">
        <v>114</v>
      </c>
      <c r="G66" s="47" t="s">
        <v>267</v>
      </c>
      <c r="H66" s="71"/>
    </row>
    <row r="67" spans="1:8" ht="30">
      <c r="A67" s="71"/>
      <c r="B67" s="46" t="s">
        <v>314</v>
      </c>
      <c r="C67" s="52">
        <v>538</v>
      </c>
      <c r="D67" s="106">
        <v>0.45</v>
      </c>
      <c r="E67" s="52">
        <v>20</v>
      </c>
      <c r="F67" s="72" t="s">
        <v>114</v>
      </c>
      <c r="G67" s="47" t="s">
        <v>250</v>
      </c>
      <c r="H67" s="71"/>
    </row>
    <row r="68" spans="1:8" ht="30">
      <c r="A68" s="71"/>
      <c r="B68" s="46" t="s">
        <v>315</v>
      </c>
      <c r="C68" s="52">
        <v>540</v>
      </c>
      <c r="D68" s="106">
        <v>0.25</v>
      </c>
      <c r="E68" s="52">
        <v>10</v>
      </c>
      <c r="F68" s="72" t="s">
        <v>114</v>
      </c>
      <c r="G68" s="47" t="s">
        <v>250</v>
      </c>
      <c r="H68" s="71"/>
    </row>
    <row r="69" spans="1:8" ht="30">
      <c r="A69" s="71"/>
      <c r="B69" s="46" t="s">
        <v>316</v>
      </c>
      <c r="C69" s="52">
        <v>541</v>
      </c>
      <c r="D69" s="106">
        <v>0.3</v>
      </c>
      <c r="E69" s="52">
        <v>20</v>
      </c>
      <c r="F69" s="72" t="s">
        <v>114</v>
      </c>
      <c r="G69" s="47" t="s">
        <v>250</v>
      </c>
      <c r="H69" s="71"/>
    </row>
    <row r="70" spans="1:8" ht="30">
      <c r="A70" s="71"/>
      <c r="B70" s="46" t="s">
        <v>317</v>
      </c>
      <c r="C70" s="52">
        <v>542</v>
      </c>
      <c r="D70" s="106">
        <v>0.26</v>
      </c>
      <c r="E70" s="52">
        <v>10</v>
      </c>
      <c r="F70" s="72" t="s">
        <v>114</v>
      </c>
      <c r="G70" s="47" t="s">
        <v>250</v>
      </c>
      <c r="H70" s="71"/>
    </row>
    <row r="71" spans="1:8" ht="30">
      <c r="A71" s="71"/>
      <c r="B71" s="46" t="s">
        <v>318</v>
      </c>
      <c r="C71" s="52">
        <v>543</v>
      </c>
      <c r="D71" s="106">
        <v>7.0000000000000007E-2</v>
      </c>
      <c r="E71" s="52">
        <v>5</v>
      </c>
      <c r="F71" s="72" t="s">
        <v>114</v>
      </c>
      <c r="G71" s="47" t="s">
        <v>250</v>
      </c>
      <c r="H71" s="71"/>
    </row>
    <row r="72" spans="1:8" ht="30">
      <c r="A72" s="71"/>
      <c r="B72" s="46" t="s">
        <v>319</v>
      </c>
      <c r="C72" s="52">
        <v>544</v>
      </c>
      <c r="D72" s="106">
        <v>0.17</v>
      </c>
      <c r="E72" s="52">
        <v>4</v>
      </c>
      <c r="F72" s="72" t="s">
        <v>114</v>
      </c>
      <c r="G72" s="47" t="s">
        <v>250</v>
      </c>
      <c r="H72" s="71"/>
    </row>
    <row r="73" spans="1:8">
      <c r="A73" s="71"/>
      <c r="B73" s="46" t="s">
        <v>320</v>
      </c>
      <c r="C73" s="52">
        <v>545</v>
      </c>
      <c r="D73" s="106">
        <v>0.15</v>
      </c>
      <c r="E73" s="52">
        <v>5</v>
      </c>
      <c r="F73" s="108" t="s">
        <v>115</v>
      </c>
      <c r="G73" s="47" t="s">
        <v>115</v>
      </c>
      <c r="H73" s="71"/>
    </row>
    <row r="74" spans="1:8">
      <c r="A74" s="71"/>
      <c r="B74" s="46" t="s">
        <v>321</v>
      </c>
      <c r="C74" s="52">
        <v>547</v>
      </c>
      <c r="D74" s="106">
        <v>0.4</v>
      </c>
      <c r="E74" s="52">
        <v>10</v>
      </c>
      <c r="F74" s="108" t="s">
        <v>115</v>
      </c>
      <c r="G74" s="47" t="s">
        <v>115</v>
      </c>
      <c r="H74" s="71"/>
    </row>
    <row r="75" spans="1:8">
      <c r="A75" s="71"/>
      <c r="B75" s="71"/>
      <c r="C75" s="71"/>
      <c r="D75" s="71"/>
      <c r="E75" s="71"/>
      <c r="F75" s="94"/>
      <c r="G75" s="140"/>
      <c r="H75" s="71"/>
    </row>
    <row r="76" spans="1:8">
      <c r="A76" s="71"/>
      <c r="B76" s="71"/>
      <c r="C76" s="71"/>
      <c r="D76" s="71"/>
      <c r="E76" s="71"/>
      <c r="F76" s="94"/>
      <c r="G76" s="140"/>
      <c r="H76" s="71"/>
    </row>
    <row r="77" spans="1:8">
      <c r="A77" s="71"/>
      <c r="B77" s="71"/>
      <c r="C77" s="71"/>
      <c r="D77" s="71"/>
      <c r="E77" s="71"/>
      <c r="F77" s="94"/>
      <c r="G77" s="140"/>
      <c r="H77" s="71"/>
    </row>
    <row r="78" spans="1:8">
      <c r="A78" s="71"/>
      <c r="B78" s="103" t="s">
        <v>225</v>
      </c>
      <c r="C78" s="109" t="s">
        <v>226</v>
      </c>
      <c r="D78" s="71"/>
      <c r="E78" s="71"/>
      <c r="F78" s="94"/>
      <c r="G78" s="140"/>
      <c r="H78" s="71"/>
    </row>
    <row r="79" spans="1:8">
      <c r="A79" s="71"/>
      <c r="B79" s="46" t="s">
        <v>238</v>
      </c>
      <c r="C79" s="52">
        <v>110</v>
      </c>
      <c r="D79" s="71"/>
      <c r="E79" s="71"/>
      <c r="F79" s="94"/>
      <c r="G79" s="140"/>
      <c r="H79" s="71"/>
    </row>
    <row r="80" spans="1:8">
      <c r="A80" s="71"/>
      <c r="B80" s="46" t="s">
        <v>256</v>
      </c>
      <c r="C80" s="52">
        <v>131</v>
      </c>
      <c r="D80" s="71"/>
      <c r="E80" s="71"/>
      <c r="F80" s="94"/>
      <c r="G80" s="140"/>
      <c r="H80" s="71"/>
    </row>
    <row r="81" spans="1:8">
      <c r="A81" s="71"/>
      <c r="B81" s="47" t="s">
        <v>78</v>
      </c>
      <c r="C81" s="52">
        <v>403</v>
      </c>
      <c r="D81" s="71"/>
      <c r="E81" s="71"/>
      <c r="F81" s="94"/>
      <c r="G81" s="140"/>
      <c r="H81" s="71"/>
    </row>
    <row r="82" spans="1:8">
      <c r="A82" s="71"/>
      <c r="B82" s="46" t="s">
        <v>283</v>
      </c>
      <c r="C82" s="52">
        <v>407</v>
      </c>
      <c r="D82" s="71"/>
      <c r="E82" s="71"/>
      <c r="F82" s="94"/>
      <c r="G82" s="140"/>
      <c r="H82" s="71"/>
    </row>
    <row r="83" spans="1:8">
      <c r="A83" s="71"/>
      <c r="B83" s="46" t="s">
        <v>116</v>
      </c>
      <c r="C83" s="52">
        <v>0</v>
      </c>
      <c r="D83" s="71"/>
      <c r="E83" s="71"/>
      <c r="F83" s="94"/>
      <c r="G83" s="140"/>
      <c r="H83" s="71"/>
    </row>
    <row r="84" spans="1:8">
      <c r="A84" s="71"/>
      <c r="B84" s="71"/>
      <c r="C84" s="71"/>
      <c r="D84" s="71"/>
      <c r="E84" s="71"/>
      <c r="F84" s="94"/>
      <c r="G84" s="140"/>
      <c r="H84" s="71"/>
    </row>
  </sheetData>
  <sheetProtection algorithmName="SHA-512" hashValue="LApFe799Gza6osMjmf+zsvmQhGDEltIxclPvCxPE+fQjvP6maWLCap7TcTGMqfHDM9VK+rUDhhMy26Yb59P92g==" saltValue="ksYri9Ss/i27f32idweTBg==" spinCount="100000" sheet="1" objects="1" scenarios="1"/>
  <sortState xmlns:xlrd2="http://schemas.microsoft.com/office/spreadsheetml/2017/richdata2" ref="B5:F71">
    <sortCondition ref="B5:B71"/>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07FEE5D3F7229478907E693F4AC7DED" ma:contentTypeVersion="16" ma:contentTypeDescription="Create a new document." ma:contentTypeScope="" ma:versionID="ceb4bc234ec8147aaa3211624086e0d6">
  <xsd:schema xmlns:xsd="http://www.w3.org/2001/XMLSchema" xmlns:xs="http://www.w3.org/2001/XMLSchema" xmlns:p="http://schemas.microsoft.com/office/2006/metadata/properties" xmlns:ns2="99a9976c-2a24-4fb3-8da9-f53066981d84" xmlns:ns3="fd458293-9cc6-4f98-9260-4b466483680c" targetNamespace="http://schemas.microsoft.com/office/2006/metadata/properties" ma:root="true" ma:fieldsID="e2f7aab8cadf5b3c8cc3559fb3a1ceaf" ns2:_="" ns3:_="">
    <xsd:import namespace="99a9976c-2a24-4fb3-8da9-f53066981d84"/>
    <xsd:import namespace="fd458293-9cc6-4f98-9260-4b466483680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LengthInSeconds" minOccurs="0"/>
                <xsd:element ref="ns3:SharedWithUsers" minOccurs="0"/>
                <xsd:element ref="ns3:SharedWithDetails" minOccurs="0"/>
                <xsd:element ref="ns2:MediaServiceOCR"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a9976c-2a24-4fb3-8da9-f53066981d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5ad4032c-a330-4847-9ce1-ec5da46de39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d458293-9cc6-4f98-9260-4b466483680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5c6c342b-c6ee-489a-81d5-035aa533647c}" ma:internalName="TaxCatchAll" ma:showField="CatchAllData" ma:web="fd458293-9cc6-4f98-9260-4b466483680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d458293-9cc6-4f98-9260-4b466483680c" xsi:nil="true"/>
    <lcf76f155ced4ddcb4097134ff3c332f xmlns="99a9976c-2a24-4fb3-8da9-f53066981d84">
      <Terms xmlns="http://schemas.microsoft.com/office/infopath/2007/PartnerControls"/>
    </lcf76f155ced4ddcb4097134ff3c332f>
    <SharedWithUsers xmlns="fd458293-9cc6-4f98-9260-4b466483680c">
      <UserInfo>
        <DisplayName/>
        <AccountId xsi:nil="true"/>
        <AccountType/>
      </UserInfo>
    </SharedWithUsers>
    <MediaLengthInSeconds xmlns="99a9976c-2a24-4fb3-8da9-f53066981d84" xsi:nil="true"/>
  </documentManagement>
</p:properties>
</file>

<file path=customXml/itemProps1.xml><?xml version="1.0" encoding="utf-8"?>
<ds:datastoreItem xmlns:ds="http://schemas.openxmlformats.org/officeDocument/2006/customXml" ds:itemID="{C3F18689-68D8-4516-AEDD-5D80C4E10CEC}"/>
</file>

<file path=customXml/itemProps2.xml><?xml version="1.0" encoding="utf-8"?>
<ds:datastoreItem xmlns:ds="http://schemas.openxmlformats.org/officeDocument/2006/customXml" ds:itemID="{AAD7258D-D24E-4A5D-B3C8-9E3E789C3602}"/>
</file>

<file path=customXml/itemProps3.xml><?xml version="1.0" encoding="utf-8"?>
<ds:datastoreItem xmlns:ds="http://schemas.openxmlformats.org/officeDocument/2006/customXml" ds:itemID="{3DE06632-6169-4B3F-AFE7-9D49D1CC156E}"/>
</file>

<file path=docMetadata/LabelInfo.xml><?xml version="1.0" encoding="utf-8"?>
<clbl:labelList xmlns:clbl="http://schemas.microsoft.com/office/2020/mipLabelMetadata">
  <clbl:label id="{57a85a10-258b-45b4-a519-c96c7721094c}" enabled="0" method="" siteId="{57a85a10-258b-45b4-a519-c96c7721094c}"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Houston-Galveston Area Council</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wurdlow</dc:creator>
  <cp:keywords/>
  <dc:description/>
  <cp:lastModifiedBy>Nmadu, Jayne - HPW</cp:lastModifiedBy>
  <cp:revision/>
  <dcterms:created xsi:type="dcterms:W3CDTF">2012-07-25T15:48:32Z</dcterms:created>
  <dcterms:modified xsi:type="dcterms:W3CDTF">2024-08-26T20:34:02Z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0x010100507FEE5D3F7229478907E693F4AC7DED</vt:lpwstr>
  </property>
  <property fmtid="{D5CDD505-2E9C-101B-9397-08002B2CF9AE}" pid="3" name="MediaServiceImageTags">
    <vt:lpwstr/>
  </property>
  <property fmtid="{D5CDD505-2E9C-101B-9397-08002B2CF9AE}" pid="4" name="Order">
    <vt:r8>10919100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y fmtid="{D5CDD505-2E9C-101B-9397-08002B2CF9AE}" pid="12" name="TriggerFlowInfo">
    <vt:lpwstr/>
  </property>
</Properties>
</file>