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Gellhorn Dr/BCA/"/>
    </mc:Choice>
  </mc:AlternateContent>
  <xr:revisionPtr revIDLastSave="19" documentId="8_{F9BA9A33-DDA1-49A4-BE86-4390A646B249}" xr6:coauthVersionLast="47" xr6:coauthVersionMax="47" xr10:uidLastSave="{A8B3700A-30E4-4A33-89CA-F40F80842EE6}"/>
  <bookViews>
    <workbookView xWindow="-120" yWindow="-120" windowWidth="29040" windowHeight="15840" tabRatio="951"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Life'!$F$5:$F$9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1" l="1"/>
  <c r="C36" i="11"/>
  <c r="C15" i="22" l="1"/>
  <c r="C14" i="22"/>
  <c r="C34" i="11"/>
  <c r="C33" i="11"/>
  <c r="C16" i="22" l="1"/>
  <c r="B13" i="12" s="1"/>
  <c r="B12" i="12" l="1"/>
  <c r="J4" i="12" l="1"/>
  <c r="E5" i="12"/>
  <c r="E4" i="12"/>
  <c r="B8" i="12"/>
  <c r="C35" i="11"/>
  <c r="U4" i="12"/>
  <c r="S4" i="12"/>
  <c r="Q4" i="12"/>
  <c r="O4" i="12"/>
  <c r="V13" i="12" l="1"/>
  <c r="V12" i="12"/>
  <c r="V23" i="12"/>
  <c r="V24" i="12"/>
  <c r="V16" i="12"/>
  <c r="V22" i="12"/>
  <c r="V14" i="12"/>
  <c r="V4" i="12"/>
  <c r="V15" i="12"/>
  <c r="V25" i="12"/>
  <c r="V17" i="12"/>
  <c r="V26" i="12"/>
  <c r="V18" i="12"/>
  <c r="V27" i="12"/>
  <c r="V19" i="12"/>
  <c r="V29" i="12"/>
  <c r="V21" i="12"/>
  <c r="V6" i="12"/>
  <c r="V32" i="12"/>
  <c r="V11" i="12"/>
  <c r="V20" i="12"/>
  <c r="V30" i="12"/>
  <c r="V5" i="12"/>
  <c r="V31" i="12"/>
  <c r="V7" i="12"/>
  <c r="V28" i="12"/>
  <c r="V33" i="12"/>
  <c r="V8" i="12"/>
  <c r="V10" i="12"/>
  <c r="V34" i="12"/>
  <c r="V9" i="12"/>
  <c r="V35" i="12"/>
  <c r="V36" i="12"/>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C30" i="11"/>
  <c r="C29" i="11"/>
  <c r="C24" i="11"/>
  <c r="C28" i="11"/>
  <c r="C26" i="11"/>
  <c r="B6" i="12" s="1"/>
  <c r="C25" i="11"/>
  <c r="C23" i="11"/>
  <c r="I28" i="19" l="1"/>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B25" i="12" l="1"/>
  <c r="B24" i="12"/>
  <c r="B23" i="12"/>
  <c r="B22" i="12"/>
  <c r="B26" i="12"/>
  <c r="D7" i="19"/>
  <c r="D8" i="19"/>
  <c r="D30" i="19"/>
  <c r="E30" i="19" s="1"/>
  <c r="D29" i="19"/>
  <c r="E29" i="19" s="1"/>
  <c r="C21" i="11"/>
  <c r="B5" i="12" s="1"/>
  <c r="C20"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U5" i="12" l="1"/>
  <c r="U6" i="12" s="1"/>
  <c r="U7" i="12" s="1"/>
  <c r="J5" i="12"/>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P4" i="12"/>
  <c r="W4" i="12" s="1"/>
  <c r="F8" i="19" l="1"/>
  <c r="F7" i="19"/>
  <c r="F6" i="19"/>
  <c r="F5" i="19"/>
  <c r="L5" i="19"/>
  <c r="L7" i="19"/>
  <c r="L6" i="19"/>
  <c r="L8" i="19"/>
  <c r="M4" i="12"/>
  <c r="N4" i="12" s="1"/>
  <c r="I5" i="12"/>
  <c r="T5" i="12" l="1"/>
  <c r="S5" i="12" s="1"/>
  <c r="R5" i="12"/>
  <c r="Q5" i="12" s="1"/>
  <c r="P5" i="12"/>
  <c r="M5" i="12"/>
  <c r="N5" i="12" s="1"/>
  <c r="O5" i="12" s="1"/>
  <c r="I6" i="12"/>
  <c r="W5" i="12" l="1"/>
  <c r="T6" i="12"/>
  <c r="S6" i="12" s="1"/>
  <c r="R6" i="12"/>
  <c r="Q6" i="12" s="1"/>
  <c r="P6" i="12"/>
  <c r="M6" i="12"/>
  <c r="N6" i="12" s="1"/>
  <c r="O6" i="12" s="1"/>
  <c r="I7" i="12"/>
  <c r="C21" i="2"/>
  <c r="B18" i="5" s="1"/>
  <c r="E17" i="5" s="1"/>
  <c r="C22" i="2"/>
  <c r="B19" i="5"/>
  <c r="E18" i="5" s="1"/>
  <c r="G4" i="7"/>
  <c r="G5" i="7" s="1"/>
  <c r="G4" i="5"/>
  <c r="G5" i="5" s="1"/>
  <c r="G6" i="5" s="1"/>
  <c r="G7" i="5" s="1"/>
  <c r="G8" i="5" s="1"/>
  <c r="G9" i="5" s="1"/>
  <c r="G10" i="5" s="1"/>
  <c r="G11" i="5" s="1"/>
  <c r="G12" i="5" s="1"/>
  <c r="G13" i="5" s="1"/>
  <c r="G14" i="5" s="1"/>
  <c r="B18" i="7"/>
  <c r="B17" i="7"/>
  <c r="B16" i="7"/>
  <c r="E17" i="7"/>
  <c r="W6" i="12" l="1"/>
  <c r="R7" i="12"/>
  <c r="Q7" i="12" s="1"/>
  <c r="T7" i="12"/>
  <c r="S7" i="12" s="1"/>
  <c r="P7" i="12"/>
  <c r="H4" i="7"/>
  <c r="I4" i="7" s="1"/>
  <c r="H10" i="5"/>
  <c r="C20" i="2"/>
  <c r="B21" i="5" s="1"/>
  <c r="C19" i="2"/>
  <c r="B20" i="5" s="1"/>
  <c r="H5" i="7"/>
  <c r="I5" i="7" s="1"/>
  <c r="G6" i="7"/>
  <c r="J14" i="5"/>
  <c r="G15" i="5"/>
  <c r="H14" i="5"/>
  <c r="M7" i="12"/>
  <c r="N7" i="12" s="1"/>
  <c r="O7" i="12" s="1"/>
  <c r="I8" i="12"/>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I7" i="5"/>
  <c r="I8" i="5"/>
  <c r="I10" i="5"/>
  <c r="I9" i="5"/>
  <c r="I14" i="5"/>
  <c r="I12" i="5"/>
  <c r="I5" i="5"/>
  <c r="I6" i="5"/>
  <c r="I11" i="5"/>
  <c r="I4" i="5"/>
  <c r="R9" i="12" l="1"/>
  <c r="T9" i="12"/>
  <c r="P9" i="12"/>
  <c r="M9" i="12"/>
  <c r="N9" i="12" s="1"/>
  <c r="H16" i="5"/>
  <c r="J16" i="5"/>
  <c r="K16" i="5" s="1"/>
  <c r="G17" i="5"/>
  <c r="G8" i="7"/>
  <c r="H7" i="7"/>
  <c r="I7" i="7"/>
  <c r="J7" i="7" s="1"/>
  <c r="I10" i="12"/>
  <c r="J6" i="7"/>
  <c r="J5" i="7"/>
  <c r="J4" i="7"/>
  <c r="R10" i="12" l="1"/>
  <c r="T10" i="12"/>
  <c r="P10" i="12"/>
  <c r="M10" i="12"/>
  <c r="M11" i="12" s="1"/>
  <c r="H8" i="7"/>
  <c r="I8" i="7"/>
  <c r="J8" i="7" s="1"/>
  <c r="G9" i="7"/>
  <c r="J17" i="5"/>
  <c r="K17" i="5" s="1"/>
  <c r="G18" i="5"/>
  <c r="H17" i="5"/>
  <c r="I17" i="5" s="1"/>
  <c r="I16" i="5"/>
  <c r="I11" i="12"/>
  <c r="T11" i="12" l="1"/>
  <c r="R11" i="12"/>
  <c r="P11" i="12"/>
  <c r="N10" i="12"/>
  <c r="H9" i="7"/>
  <c r="I9" i="7" s="1"/>
  <c r="J9" i="7" s="1"/>
  <c r="G10" i="7"/>
  <c r="J18" i="5"/>
  <c r="K18" i="5" s="1"/>
  <c r="G19" i="5"/>
  <c r="H18" i="5"/>
  <c r="N11" i="12"/>
  <c r="M12" i="12"/>
  <c r="I12" i="12"/>
  <c r="T12" i="12" l="1"/>
  <c r="R12" i="12"/>
  <c r="P12" i="12"/>
  <c r="G11" i="7"/>
  <c r="H10" i="7"/>
  <c r="I10" i="7" s="1"/>
  <c r="J10" i="7" s="1"/>
  <c r="I18" i="5"/>
  <c r="H19" i="5"/>
  <c r="I19" i="5" s="1"/>
  <c r="J19" i="5"/>
  <c r="K19" i="5" s="1"/>
  <c r="G20" i="5"/>
  <c r="M13" i="12"/>
  <c r="N12" i="12"/>
  <c r="I13" i="12"/>
  <c r="T13" i="12" l="1"/>
  <c r="R13" i="12"/>
  <c r="P13" i="12"/>
  <c r="G12" i="7"/>
  <c r="H11" i="7"/>
  <c r="I11" i="7" s="1"/>
  <c r="J11" i="7" s="1"/>
  <c r="H20" i="5"/>
  <c r="I20" i="5" s="1"/>
  <c r="J20" i="5"/>
  <c r="K20" i="5" s="1"/>
  <c r="G21" i="5"/>
  <c r="M14" i="12"/>
  <c r="N13" i="12"/>
  <c r="I14" i="12"/>
  <c r="T14" i="12" l="1"/>
  <c r="R14" i="12"/>
  <c r="P14" i="12"/>
  <c r="J21" i="5"/>
  <c r="K21" i="5" s="1"/>
  <c r="G22" i="5"/>
  <c r="H21" i="5"/>
  <c r="H12" i="7"/>
  <c r="I12" i="7" s="1"/>
  <c r="J12" i="7" s="1"/>
  <c r="G13" i="7"/>
  <c r="M15" i="12"/>
  <c r="N14" i="12"/>
  <c r="I15" i="12"/>
  <c r="R15" i="12" l="1"/>
  <c r="T15" i="12"/>
  <c r="P15" i="12"/>
  <c r="I21" i="5"/>
  <c r="H13" i="7"/>
  <c r="I13" i="7" s="1"/>
  <c r="J13" i="7" s="1"/>
  <c r="G14" i="7"/>
  <c r="J22" i="5"/>
  <c r="K22" i="5" s="1"/>
  <c r="G23" i="5"/>
  <c r="H22" i="5"/>
  <c r="I22" i="5" s="1"/>
  <c r="M16" i="12"/>
  <c r="N15" i="12"/>
  <c r="I16" i="12"/>
  <c r="T16" i="12" l="1"/>
  <c r="R16" i="12"/>
  <c r="P16" i="12"/>
  <c r="H23" i="5"/>
  <c r="I23" i="5" s="1"/>
  <c r="J23" i="5"/>
  <c r="K23" i="5" s="1"/>
  <c r="G24" i="5"/>
  <c r="G15" i="7"/>
  <c r="H14" i="7"/>
  <c r="I14" i="7" s="1"/>
  <c r="J14" i="7" s="1"/>
  <c r="M17" i="12"/>
  <c r="N16" i="12"/>
  <c r="I17" i="12"/>
  <c r="T17" i="12" l="1"/>
  <c r="R17" i="12"/>
  <c r="P17" i="12"/>
  <c r="H24" i="5"/>
  <c r="I24" i="5" s="1"/>
  <c r="J24" i="5"/>
  <c r="K24" i="5" s="1"/>
  <c r="B11" i="5" s="1"/>
  <c r="B12" i="5" s="1"/>
  <c r="G25" i="5"/>
  <c r="G16" i="7"/>
  <c r="H15" i="7"/>
  <c r="I15" i="7"/>
  <c r="J15" i="7" s="1"/>
  <c r="M18" i="12"/>
  <c r="N17" i="12"/>
  <c r="I18" i="12"/>
  <c r="R18" i="12" l="1"/>
  <c r="T18" i="12"/>
  <c r="P18" i="12"/>
  <c r="H16" i="7"/>
  <c r="I16" i="7"/>
  <c r="J16" i="7" s="1"/>
  <c r="G17" i="7"/>
  <c r="J25" i="5"/>
  <c r="K25" i="5" s="1"/>
  <c r="G26" i="5"/>
  <c r="H25" i="5"/>
  <c r="I25" i="5" s="1"/>
  <c r="M19" i="12"/>
  <c r="N18" i="12"/>
  <c r="I19" i="12"/>
  <c r="R19" i="12" l="1"/>
  <c r="T19" i="12"/>
  <c r="E13" i="19"/>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D34" i="19" l="1"/>
  <c r="E42" i="12" s="1"/>
  <c r="F42" i="12" s="1"/>
  <c r="T21" i="12"/>
  <c r="R21" i="12"/>
  <c r="P21" i="12"/>
  <c r="H28" i="5"/>
  <c r="I28" i="5" s="1"/>
  <c r="J28" i="5"/>
  <c r="K28" i="5" s="1"/>
  <c r="G29" i="5"/>
  <c r="G20" i="7"/>
  <c r="H19" i="7"/>
  <c r="I19" i="7" s="1"/>
  <c r="J19" i="7" s="1"/>
  <c r="M22" i="12"/>
  <c r="N21" i="12"/>
  <c r="I22" i="12"/>
  <c r="T22" i="12" l="1"/>
  <c r="R22" i="12"/>
  <c r="P22" i="12"/>
  <c r="H20" i="7"/>
  <c r="I20" i="7" s="1"/>
  <c r="J20" i="7" s="1"/>
  <c r="G21" i="7"/>
  <c r="J29" i="5"/>
  <c r="K29" i="5" s="1"/>
  <c r="H29" i="5"/>
  <c r="M23" i="12"/>
  <c r="N22" i="12"/>
  <c r="I23" i="12"/>
  <c r="R23" i="12" l="1"/>
  <c r="T23" i="12"/>
  <c r="P23" i="12"/>
  <c r="H21" i="7"/>
  <c r="I21" i="7" s="1"/>
  <c r="J21" i="7" s="1"/>
  <c r="G22" i="7"/>
  <c r="I29" i="5"/>
  <c r="B13" i="5"/>
  <c r="M24" i="12"/>
  <c r="N23" i="12"/>
  <c r="I24" i="12"/>
  <c r="R24" i="12" l="1"/>
  <c r="T24" i="12"/>
  <c r="P24" i="12"/>
  <c r="X4" i="12"/>
  <c r="G23" i="7"/>
  <c r="H22" i="7"/>
  <c r="I22" i="7" s="1"/>
  <c r="J22" i="7" s="1"/>
  <c r="M25" i="12"/>
  <c r="N24" i="12"/>
  <c r="I25" i="12"/>
  <c r="T25" i="12" l="1"/>
  <c r="R25" i="12"/>
  <c r="P25" i="12"/>
  <c r="X5" i="12"/>
  <c r="G24" i="7"/>
  <c r="H23" i="7"/>
  <c r="I23" i="7"/>
  <c r="J23" i="7" s="1"/>
  <c r="M26" i="12"/>
  <c r="N25" i="12"/>
  <c r="I26" i="12"/>
  <c r="T26" i="12" l="1"/>
  <c r="R26" i="12"/>
  <c r="P26" i="12"/>
  <c r="X6" i="12"/>
  <c r="H24" i="7"/>
  <c r="I24" i="7"/>
  <c r="J24" i="7" s="1"/>
  <c r="G25" i="7"/>
  <c r="M27" i="12"/>
  <c r="N26" i="12"/>
  <c r="I27" i="12"/>
  <c r="R27" i="12" l="1"/>
  <c r="T27" i="12"/>
  <c r="P27" i="12"/>
  <c r="H25" i="7"/>
  <c r="I25" i="7" s="1"/>
  <c r="J25" i="7" s="1"/>
  <c r="G26" i="7"/>
  <c r="M28" i="12"/>
  <c r="N27" i="12"/>
  <c r="I28" i="12"/>
  <c r="T28" i="12" l="1"/>
  <c r="R28" i="12"/>
  <c r="P28" i="12"/>
  <c r="G27" i="7"/>
  <c r="H26" i="7"/>
  <c r="I26" i="7" s="1"/>
  <c r="J26" i="7" s="1"/>
  <c r="M29" i="12"/>
  <c r="N28" i="12"/>
  <c r="I29" i="12"/>
  <c r="R29" i="12" l="1"/>
  <c r="T29" i="12"/>
  <c r="P29" i="12"/>
  <c r="G28" i="7"/>
  <c r="H27" i="7"/>
  <c r="I27" i="7"/>
  <c r="J27" i="7" s="1"/>
  <c r="N29" i="12"/>
  <c r="M30" i="12"/>
  <c r="N30" i="12" s="1"/>
  <c r="I30" i="12"/>
  <c r="R30" i="12" l="1"/>
  <c r="T30" i="12"/>
  <c r="P30" i="12"/>
  <c r="H28" i="7"/>
  <c r="I28" i="7"/>
  <c r="J28" i="7" s="1"/>
  <c r="G29" i="7"/>
  <c r="M31" i="12"/>
  <c r="N31" i="12" s="1"/>
  <c r="I31" i="12"/>
  <c r="I32" i="12" l="1"/>
  <c r="R31" i="12"/>
  <c r="T31" i="12"/>
  <c r="P31" i="12"/>
  <c r="H29" i="7"/>
  <c r="I29" i="7" s="1"/>
  <c r="J29" i="7" s="1"/>
  <c r="B11" i="7" s="1"/>
  <c r="B12" i="7" s="1"/>
  <c r="I33" i="12"/>
  <c r="M32" i="12"/>
  <c r="N32" i="12" s="1"/>
  <c r="R33" i="12" l="1"/>
  <c r="T33" i="12"/>
  <c r="P33" i="12"/>
  <c r="T32" i="12"/>
  <c r="R32" i="12"/>
  <c r="P32" i="12"/>
  <c r="I34" i="12"/>
  <c r="M33" i="12"/>
  <c r="N33" i="12" s="1"/>
  <c r="T34" i="12" l="1"/>
  <c r="R34" i="12"/>
  <c r="P34" i="12"/>
  <c r="I35" i="12"/>
  <c r="M34" i="12"/>
  <c r="N34" i="12" s="1"/>
  <c r="R35" i="12" l="1"/>
  <c r="T35" i="12"/>
  <c r="P35" i="12"/>
  <c r="I36" i="12"/>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Q34" i="12"/>
  <c r="W34" i="12" s="1"/>
  <c r="X33" i="12"/>
  <c r="Q35" i="12" l="1"/>
  <c r="W35" i="12" s="1"/>
  <c r="X34" i="12"/>
  <c r="Q36" i="12" l="1"/>
  <c r="X35" i="12"/>
  <c r="W36" i="12" l="1"/>
  <c r="X36" i="12" s="1"/>
  <c r="X37" i="12" s="1"/>
  <c r="C49" i="11" s="1"/>
</calcChain>
</file>

<file path=xl/sharedStrings.xml><?xml version="1.0" encoding="utf-8"?>
<sst xmlns="http://schemas.openxmlformats.org/spreadsheetml/2006/main" count="1075" uniqueCount="461">
  <si>
    <t>Project Information</t>
  </si>
  <si>
    <t>Daily System/Facility Data</t>
  </si>
  <si>
    <t>With Project</t>
  </si>
  <si>
    <t>Year</t>
  </si>
  <si>
    <t>Annual VHT Savings</t>
  </si>
  <si>
    <t>Value of Delay Savings (2013 $, '000s)</t>
  </si>
  <si>
    <t>Name:</t>
  </si>
  <si>
    <t>Year Open to Traffic?</t>
  </si>
  <si>
    <t>ID Number:</t>
  </si>
  <si>
    <t>Project Life (see MOSER page A.8.9)</t>
  </si>
  <si>
    <t>New HOV?</t>
  </si>
  <si>
    <t>AND</t>
  </si>
  <si>
    <t>Total Cost (2015 $, '000s)</t>
  </si>
  <si>
    <t>Annual PHT Reduction (IDAS)</t>
  </si>
  <si>
    <t>Federal Funding Req. (2015 $, '000s)</t>
  </si>
  <si>
    <t>IDAS Vehicle Occupancy</t>
  </si>
  <si>
    <t>BCA Results</t>
  </si>
  <si>
    <t>Discounted Delay Benefits (2015 $, '000s)</t>
  </si>
  <si>
    <t>Delay B/C Ratio</t>
  </si>
  <si>
    <t>Assumptions</t>
  </si>
  <si>
    <t>Base Year</t>
  </si>
  <si>
    <t>Interim Calculations</t>
  </si>
  <si>
    <t>Discount Rate</t>
  </si>
  <si>
    <t>Annual VHT Reduction (Vehicles)</t>
  </si>
  <si>
    <t>Vehicle Occupancy</t>
  </si>
  <si>
    <t>Value of Travel Time (VoTT)</t>
  </si>
  <si>
    <t>Annual Days of Travel</t>
  </si>
  <si>
    <t>Control Values</t>
  </si>
  <si>
    <t>NO</t>
  </si>
  <si>
    <t>YES</t>
  </si>
  <si>
    <t>Emissions Reduction Estimates</t>
  </si>
  <si>
    <t>VOC Reduced (tonnes/year)</t>
  </si>
  <si>
    <t>Value of VOC Savings (2013 $, '000s)</t>
  </si>
  <si>
    <t>NOx Reduced (tonnes/yr)</t>
  </si>
  <si>
    <t>Value of NOx Savings (2013 $, '000s)</t>
  </si>
  <si>
    <t>Bike/Ped or LCI?</t>
  </si>
  <si>
    <t>VMT Reduced (Daily)</t>
  </si>
  <si>
    <t>OR</t>
  </si>
  <si>
    <t>VOC Emissions Reduced (metric tons/yr)</t>
  </si>
  <si>
    <t>NOx Emissions Reduced (metric tons/yr)</t>
  </si>
  <si>
    <t>Discounted Emissions Benefits (2015 $, '000s)</t>
  </si>
  <si>
    <t>Annualized Cost Effectiveness (2015 $, '000s/tonne)</t>
  </si>
  <si>
    <t>VOC Emissions Factor (g/mi)</t>
  </si>
  <si>
    <t>Nox Emissions Factor (g/mi)</t>
  </si>
  <si>
    <t>Volatile Organic Compounds (VOCs), $ / metric ton (2015 $)</t>
  </si>
  <si>
    <t>Nitrogen oxides (NOx), $ / metric ton (2015 $)</t>
  </si>
  <si>
    <t>INPUTS</t>
  </si>
  <si>
    <t>Data entered by the sponsors</t>
  </si>
  <si>
    <t>Project Title:</t>
  </si>
  <si>
    <t>Gellhorn  Dr.</t>
  </si>
  <si>
    <t>Calculated based on data entered by sponsor</t>
  </si>
  <si>
    <t>County</t>
  </si>
  <si>
    <t>Harris</t>
  </si>
  <si>
    <t>Benefits calculated by the template</t>
  </si>
  <si>
    <t>Facility Type</t>
  </si>
  <si>
    <t>Non-Freeway</t>
  </si>
  <si>
    <t>Street Name:</t>
  </si>
  <si>
    <t>Limits (From)</t>
  </si>
  <si>
    <t>IH 10/US 90 (Crosby Freeway)</t>
  </si>
  <si>
    <t>*Preventable Crashes are those with defined characteristics that may be affected by the proposed improvement.</t>
  </si>
  <si>
    <t>Limits (To)</t>
  </si>
  <si>
    <t>IH 610 (N Loop East Freeway)</t>
  </si>
  <si>
    <t>Length (in Miles)</t>
  </si>
  <si>
    <t>Application ID Number (Auto generated in CFP online form):</t>
  </si>
  <si>
    <t>MPOID Number (RTP ID)/CSJ Number (TxDOT ID#):</t>
  </si>
  <si>
    <t>Proposed Improvements Information</t>
  </si>
  <si>
    <r>
      <t xml:space="preserve">Year Open to Traffic? </t>
    </r>
    <r>
      <rPr>
        <b/>
        <sz val="11"/>
        <color theme="1"/>
        <rFont val="Calibri"/>
        <family val="2"/>
        <scheme val="minor"/>
      </rPr>
      <t>(Must be &gt;=2025)</t>
    </r>
  </si>
  <si>
    <t>Safety Improvement Type 1</t>
  </si>
  <si>
    <t>Install Continuous Turn Lane</t>
  </si>
  <si>
    <t>Work Type Code</t>
  </si>
  <si>
    <t>Preventable Crash Type</t>
  </si>
  <si>
    <t>Appropriate Crash Reduction Factor (%):</t>
  </si>
  <si>
    <t>Service Life (years):</t>
  </si>
  <si>
    <t>Safety Improvement Type 2</t>
  </si>
  <si>
    <t>Safety Lighting</t>
  </si>
  <si>
    <t>Safety Improvement Type 3</t>
  </si>
  <si>
    <t>Resurfacing</t>
  </si>
  <si>
    <t>Bike/Ped Improvement Type</t>
  </si>
  <si>
    <t>Install Sidewalks</t>
  </si>
  <si>
    <t>Daily Travel Demand</t>
  </si>
  <si>
    <t xml:space="preserve">2021 Traffic Volume </t>
  </si>
  <si>
    <t>Estimated traffic volume in year Open to Traffic</t>
  </si>
  <si>
    <t>2021 Potential Daily Walk/Bile Commuters</t>
  </si>
  <si>
    <t>Potential Daily Walk/Bike Commuters in Year Open to Traffic</t>
  </si>
  <si>
    <t>OUTPUTS</t>
  </si>
  <si>
    <t>Benefit Results</t>
  </si>
  <si>
    <t>Discounted Safety Benefits @ 7% (2021 $, '000s)</t>
  </si>
  <si>
    <t>HGAC regional crash data provided by HGAC upon request</t>
  </si>
  <si>
    <t>NON-INTERSECTION RELATED CRASHES</t>
  </si>
  <si>
    <t>INTERSECTION RELATED CRASHES</t>
  </si>
  <si>
    <t>All CRASHES</t>
  </si>
  <si>
    <t>2016 -2020 Crash Data</t>
  </si>
  <si>
    <t>Non-Intersection Related Crashes (5 Years)</t>
  </si>
  <si>
    <t>Average Annual  Crashes</t>
  </si>
  <si>
    <t xml:space="preserve">Crash Rate per 100 million VMT </t>
  </si>
  <si>
    <t xml:space="preserve">Average  Annual  Crash Forecast without Improvement in Year Open to Traffic </t>
  </si>
  <si>
    <t>Intersection Crashes (5 Years)</t>
  </si>
  <si>
    <t>All Crashes (5 Years)</t>
  </si>
  <si>
    <t xml:space="preserve">Average  Annual  Crash Forecast without improvement in Year Open to Traffic </t>
  </si>
  <si>
    <t>Non-Intersection crashes</t>
  </si>
  <si>
    <t xml:space="preserve">Intersection crashes </t>
  </si>
  <si>
    <t>Motorist Fatalities</t>
  </si>
  <si>
    <t>NON INTERSECTION</t>
  </si>
  <si>
    <t>INTERSECTION</t>
  </si>
  <si>
    <t>Motorist Serious Injuries</t>
  </si>
  <si>
    <t>DRIVEWAY ACCESS</t>
  </si>
  <si>
    <t>INTERSECTION RELATED</t>
  </si>
  <si>
    <t>Motorist Non-Serious Injuries</t>
  </si>
  <si>
    <t>Motorist Possible Injuries</t>
  </si>
  <si>
    <t>Estimated Crashes Without Improvement in Year Open to Traffic</t>
  </si>
  <si>
    <t>Total Fatalities</t>
  </si>
  <si>
    <t>Total Serious Injuries</t>
  </si>
  <si>
    <t>Total Non-Serious Injuries</t>
  </si>
  <si>
    <t>Total Possible Injuries</t>
  </si>
  <si>
    <t>Non-Intersection related (Roadway Related)</t>
  </si>
  <si>
    <t>Intersection Related</t>
  </si>
  <si>
    <t>Blank</t>
  </si>
  <si>
    <t>Total</t>
  </si>
  <si>
    <t>Ped/Bike rate based on potential 1 million ped/bike commuters*</t>
  </si>
  <si>
    <t>Crash Rate per 1 million VMT (Ped/Bike rate based on potential ped/bike commuters*)</t>
  </si>
  <si>
    <t>Pedestrian Fatalities</t>
  </si>
  <si>
    <t>Na</t>
  </si>
  <si>
    <t>Pedestrian Serious Injuries</t>
  </si>
  <si>
    <t>Pedestrian Non-Serious Injuries</t>
  </si>
  <si>
    <t>Pedestrian Possible Injuries</t>
  </si>
  <si>
    <t>Cyclist Fatalities</t>
  </si>
  <si>
    <t>Cyclist Serious Injuries</t>
  </si>
  <si>
    <t>Cyclist Non-Serious Injuries</t>
  </si>
  <si>
    <t>Cyclist possible Injuries</t>
  </si>
  <si>
    <t>Total Bike/Ped Fatalities</t>
  </si>
  <si>
    <t>Total Bike/Ped Serious Injuries</t>
  </si>
  <si>
    <t>Total Injury</t>
  </si>
  <si>
    <t>Total Bike/Ped Non-Serious Injuries</t>
  </si>
  <si>
    <t>Total Bike/Ped Possible Injuries</t>
  </si>
  <si>
    <t>Pedestrian, Cyclist</t>
  </si>
  <si>
    <t>Discounted Savings for service life</t>
  </si>
  <si>
    <t>Volume</t>
  </si>
  <si>
    <t>Potential Daily Walk/Bike Commuters</t>
  </si>
  <si>
    <t>Demand Growth</t>
  </si>
  <si>
    <t>Benefit Cap</t>
  </si>
  <si>
    <t>Potential Value of Crash Savings1</t>
  </si>
  <si>
    <t>Use in Analysis1</t>
  </si>
  <si>
    <t>Potential Value of Crash Savings2</t>
  </si>
  <si>
    <t>Use in Analysis2</t>
  </si>
  <si>
    <t>Potential Value of Crash Savings3</t>
  </si>
  <si>
    <t>Use in Analysis3</t>
  </si>
  <si>
    <t>Potential Value of B/P Crash Savings</t>
  </si>
  <si>
    <t>Use in B/P Analysis</t>
  </si>
  <si>
    <t>Value of Crash Savings ($000')</t>
  </si>
  <si>
    <t>Savings Discounted @ 7% ($ 000')</t>
  </si>
  <si>
    <t>Travel Demand</t>
  </si>
  <si>
    <t>Year Open to Traffic</t>
  </si>
  <si>
    <t>Facility V/C Ratio</t>
  </si>
  <si>
    <t>Estimated Traffic Volume</t>
  </si>
  <si>
    <t>n/a</t>
  </si>
  <si>
    <t>Years to include in BCA Analysis 1</t>
  </si>
  <si>
    <t xml:space="preserve">Estimated Daily VMT </t>
  </si>
  <si>
    <t>Years to include in BCA Analysis 2</t>
  </si>
  <si>
    <t xml:space="preserve">Annual VMT </t>
  </si>
  <si>
    <t>Years to include in BCA Analysis 3</t>
  </si>
  <si>
    <t xml:space="preserve">Years to include in B/P Analysis </t>
  </si>
  <si>
    <t>Estimated Preventable Crashes Without Improvements Types 1, 2, and 3  in Year Open to Traffic</t>
  </si>
  <si>
    <t>Estimated Preventable Crashes reduced  in Year Open to Traffic with Improvement Type 1</t>
  </si>
  <si>
    <t>Number of Days Considered in a Year</t>
  </si>
  <si>
    <t>Growth Rates</t>
  </si>
  <si>
    <t>2021-2030 Demand Growth</t>
  </si>
  <si>
    <t>2030-2045 Demand Growth</t>
  </si>
  <si>
    <t>Estimated Preventable Crashes Without Improvements Types 2, and 3  in Year Open to Traffic</t>
  </si>
  <si>
    <t>Estimated Preventable Crashes reduced  in Year Open to Traffic with Improvement Type 2</t>
  </si>
  <si>
    <t>KABCO Level</t>
  </si>
  <si>
    <t>Monetized value ($2021)</t>
  </si>
  <si>
    <t>K - Killed (Fatal)</t>
  </si>
  <si>
    <t xml:space="preserve">A - Incapacitating (Serious) </t>
  </si>
  <si>
    <r>
      <t>B - Non</t>
    </r>
    <r>
      <rPr>
        <sz val="11"/>
        <color rgb="FFFF0000"/>
        <rFont val="Calibri"/>
        <family val="2"/>
        <scheme val="minor"/>
      </rPr>
      <t>-</t>
    </r>
    <r>
      <rPr>
        <sz val="11"/>
        <color theme="1"/>
        <rFont val="Calibri"/>
        <family val="2"/>
        <scheme val="minor"/>
      </rPr>
      <t>Incapacitating (Non-Serious)</t>
    </r>
  </si>
  <si>
    <t>C -  Possible Injury</t>
  </si>
  <si>
    <t>0 - No Injury</t>
  </si>
  <si>
    <t>Estimated Preventable Crashes Without Improvements Type 3  in Year Open to Traffic</t>
  </si>
  <si>
    <t>Estimated Preventable Crashes reduced  in Year Open to Traffic with Improvement Type 3</t>
  </si>
  <si>
    <t>Estimated Preventable Bike/Ped Crashes Without Bike/Ped Improvements in Year Open to Traffic</t>
  </si>
  <si>
    <t>Estimated Preventable Bike/Ped Crashes reduced  in Year Open to Traffic with Improvement Type 3</t>
  </si>
  <si>
    <t>Crash Savings in Year Open to Traffic</t>
  </si>
  <si>
    <t>Potential Crash Savings in Year Open to Traffic  with Improvement Type1</t>
  </si>
  <si>
    <t>Potential Crash Savings in Year Open to Traffic  with Improvement Type2</t>
  </si>
  <si>
    <t>Potential Crash Savings in Year Open to Traffic  with Improvement Type3</t>
  </si>
  <si>
    <t>Potential Crash Savings in Year Open to Traffic  with Bike/Ped Improvements</t>
  </si>
  <si>
    <t>Potential Total Crash Savings in Year Open to Traffic  with Improvements</t>
  </si>
  <si>
    <t>2021 Call For Projects - Benefit-Cost Analysis Assumptions*</t>
  </si>
  <si>
    <t>Common Values:</t>
  </si>
  <si>
    <t>County Name</t>
  </si>
  <si>
    <t>Highway Type</t>
  </si>
  <si>
    <t>Base Year for Analysis</t>
  </si>
  <si>
    <t>Brazoria</t>
  </si>
  <si>
    <t>Freeway</t>
  </si>
  <si>
    <t>Real Discount Rate</t>
  </si>
  <si>
    <t>Chambers</t>
  </si>
  <si>
    <t>Fort Bend</t>
  </si>
  <si>
    <t>Galveston</t>
  </si>
  <si>
    <t>Safety Analysis Values:</t>
  </si>
  <si>
    <t>Liberty</t>
  </si>
  <si>
    <t>Value of Statistical Life (VSL), 2021 $</t>
  </si>
  <si>
    <t>Montgomery</t>
  </si>
  <si>
    <t>Values for non-fatal injuries provided in "Value of Statistical Life" tab.</t>
  </si>
  <si>
    <t>Waller</t>
  </si>
  <si>
    <t>Delay Analysis Values:</t>
  </si>
  <si>
    <t>Value of Travel Time (VoTT), 2018 $</t>
  </si>
  <si>
    <t>Real wage growth rate</t>
  </si>
  <si>
    <t>Emissions Reduction Values:</t>
  </si>
  <si>
    <t>Volatile Organic Compounds (VOCs), $ / metric ton (2018 $)</t>
  </si>
  <si>
    <t>Nitrogen oxides (NOx), $ / metric ton (2018 $)</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</si>
  <si>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</si>
  <si>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</si>
  <si>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Applicable Project Life</t>
  </si>
  <si>
    <t>See Texas Guide to Accepted Mobile Source Emission Reduction Strategies (MOSER), page A.8.9</t>
  </si>
  <si>
    <t>Value of Injuries, US DOT BCA Guidance for Discretionary Grant Programs (2021)</t>
  </si>
  <si>
    <t>Monetized value ($2019)</t>
  </si>
  <si>
    <t>Monetized value ($2021)*</t>
  </si>
  <si>
    <t>No Injury</t>
  </si>
  <si>
    <t>C</t>
  </si>
  <si>
    <t>Possible Injury</t>
  </si>
  <si>
    <t>B</t>
  </si>
  <si>
    <t xml:space="preserve">Non-incapacitating (Non-Serious) </t>
  </si>
  <si>
    <t>A</t>
  </si>
  <si>
    <t>Incapacitating (Serious)</t>
  </si>
  <si>
    <t>K</t>
  </si>
  <si>
    <t>Killed (Fatality)</t>
  </si>
  <si>
    <t>https://www.transportation.gov/sites/dot.gov/files/2023-01/Benefit%20Cost%20Analysis%20Guidance%202023%20Update.pdf</t>
  </si>
  <si>
    <t>Source: https://ftp.txdot.gov/pub/txdot-info/trf/hsip/hsip-guidance-june-2020.pdf</t>
  </si>
  <si>
    <t>Work Type (TxDOT HSIP)</t>
  </si>
  <si>
    <t>Work Code</t>
  </si>
  <si>
    <t>Crash Reduction Factor</t>
  </si>
  <si>
    <t>Service life</t>
  </si>
  <si>
    <t>Preventable Crash types</t>
  </si>
  <si>
    <t>Preventable Crash types (HSIP guidelines)</t>
  </si>
  <si>
    <t>Install Warning/Guide Signs</t>
  </si>
  <si>
    <t>Vehicle Movements/Manner of Collision, Roadway
Related</t>
  </si>
  <si>
    <t>Install Intersection Flashing Beacon</t>
  </si>
  <si>
    <t xml:space="preserve">Intersection Related </t>
  </si>
  <si>
    <t>Install Traffic Signal</t>
  </si>
  <si>
    <t>Intersection Related, Vehicle Movements/Manner of
Collision</t>
  </si>
  <si>
    <t>Improve Traffic Signals</t>
  </si>
  <si>
    <t>Install Pedestrian Signal</t>
  </si>
  <si>
    <t>Interconnect Signals</t>
  </si>
  <si>
    <t>All</t>
  </si>
  <si>
    <t>Install Delineators</t>
  </si>
  <si>
    <t>Roadway Related, Dark light condition</t>
  </si>
  <si>
    <t>Install School Zones</t>
  </si>
  <si>
    <t>Replace Flashing Beacon with a Traffic Signal</t>
  </si>
  <si>
    <t>Intersection Related, Vehicle Movements/Manner of
Collision, Pedestrian, Cyclist</t>
  </si>
  <si>
    <t>Install Overhead Signs</t>
  </si>
  <si>
    <t>Vehicle Movements/Manner of Collision</t>
  </si>
  <si>
    <t>Install Advance Warning Signals (Intersection — Existing Signal, Flashing Beacon or STOP Signs)</t>
  </si>
  <si>
    <t>Install Advance Warning Signals (Curve)</t>
  </si>
  <si>
    <t>Roadway Related, Vehicle Movements/Manner of Collision</t>
  </si>
  <si>
    <t>Install Advance Warning Signals and Signs (Intersection — Existing Signal, Flashing Beacon or STOP Signs)</t>
  </si>
  <si>
    <t>Install Advance Warning Signals and Signs (Curve)</t>
  </si>
  <si>
    <t>Roadway Related,  Vehicle Movements/Manner of Collision</t>
  </si>
  <si>
    <t>Install Advance Warning Signs (Intersection — Existing Warning Signals</t>
  </si>
  <si>
    <t>Install Advance Warning Signs (Curve — Existing Warning Signals)</t>
  </si>
  <si>
    <t>Improve Pedestrian Signals</t>
  </si>
  <si>
    <t>Install Advance Warning Signals and Signs</t>
  </si>
  <si>
    <t>Improve School Zone</t>
  </si>
  <si>
    <t xml:space="preserve">Install LED Flashing Chevrons (Curve) </t>
  </si>
  <si>
    <t>Install Chevrons</t>
  </si>
  <si>
    <t>Install Flashing Yellow Arrow</t>
  </si>
  <si>
    <t xml:space="preserve">Intersection Related, Vehicle Movements/Manner of
Collision, </t>
  </si>
  <si>
    <t xml:space="preserve">Install Surface Mounted Delineators on Centerline </t>
  </si>
  <si>
    <t>Install Median Barrier</t>
  </si>
  <si>
    <t>Install Raised Median</t>
  </si>
  <si>
    <t>Part of Roadway No. 1 Involved, (Vehicle Movements/Manner
of Collision</t>
  </si>
  <si>
    <t>Flatten Side Slope</t>
  </si>
  <si>
    <t>Roadway Related</t>
  </si>
  <si>
    <t>Safety Treat Fixed Objects</t>
  </si>
  <si>
    <t>Install Impact Attenuation System</t>
  </si>
  <si>
    <t>Object Struck</t>
  </si>
  <si>
    <t>Widen Bridge</t>
  </si>
  <si>
    <t>Surface Condition</t>
  </si>
  <si>
    <t>Light Condition - Dark</t>
  </si>
  <si>
    <t>Safety Lighting at Intersection</t>
  </si>
  <si>
    <t>Light Condition - Dark, Intersection Related</t>
  </si>
  <si>
    <t>High Friction Surface Treatment (Curve)</t>
  </si>
  <si>
    <t xml:space="preserve">Roadway Related or Surface Condition </t>
  </si>
  <si>
    <t>High Friction Surface Treatment (Intersection)</t>
  </si>
  <si>
    <t>Install Pavement Markings</t>
  </si>
  <si>
    <t>Install Edge Marking</t>
  </si>
  <si>
    <t>Roadway Related/Off road</t>
  </si>
  <si>
    <t>Install Pedestrian Crosswalk</t>
  </si>
  <si>
    <t>Install Centerline Striping</t>
  </si>
  <si>
    <t>Widen Lane(s)</t>
  </si>
  <si>
    <t xml:space="preserve">Roadway Related, Vehicle Movements/Manner of Collision </t>
  </si>
  <si>
    <t>Widen Paved Shoulder (to 5 ft. or less)</t>
  </si>
  <si>
    <t>Construct Paved Shoulders (1 – 4 ft.)</t>
  </si>
  <si>
    <t>Improve Vertical Alignment</t>
  </si>
  <si>
    <t>Improve Horizontal Alignment</t>
  </si>
  <si>
    <t>Increase Superelevation</t>
  </si>
  <si>
    <t>Construct Turn Arounds</t>
  </si>
  <si>
    <t>Intersection Related, Vehicle Movements/Manner of Collision</t>
  </si>
  <si>
    <t>Grade Separation</t>
  </si>
  <si>
    <t>Construct Interchange</t>
  </si>
  <si>
    <t>Close Crossover</t>
  </si>
  <si>
    <t>Part of Roadway Involved, Vehicle Movements/Manner of Collision</t>
  </si>
  <si>
    <t>Add Through Lane</t>
  </si>
  <si>
    <t>Vehicle Movements/Manner of Collision (Roadway related)</t>
  </si>
  <si>
    <t>Add Left Turn Lane</t>
  </si>
  <si>
    <t>Vehicle Movements/Manner of Collision, Intersection Related</t>
  </si>
  <si>
    <t>Lengthen Left Turn Lane</t>
  </si>
  <si>
    <t>Add Right Turn Lane</t>
  </si>
  <si>
    <t>Lengthen Right Turn Lane</t>
  </si>
  <si>
    <t>Construct Pedestrian Over/Under Pass</t>
  </si>
  <si>
    <t>Convert to One-Way Frontage Roads</t>
  </si>
  <si>
    <t>Part of Roadway Involved</t>
  </si>
  <si>
    <t>Milled Edge line Rumble Strips</t>
  </si>
  <si>
    <t>Profile Edge line Markings</t>
  </si>
  <si>
    <t>Roadway Related, Vehicle Movements/Manner of Collision, Surface condition - wet, slush, ice, snow</t>
  </si>
  <si>
    <t xml:space="preserve">Raised Edge line Rumble Strips </t>
  </si>
  <si>
    <t>Widen Paved Shoulders (to &gt; 5 ft.)</t>
  </si>
  <si>
    <r>
      <t>Construct Paved Shoulders (</t>
    </r>
    <r>
      <rPr>
        <u/>
        <sz val="11"/>
        <color theme="1"/>
        <rFont val="Calibri"/>
        <family val="2"/>
        <scheme val="minor"/>
      </rPr>
      <t>&gt;</t>
    </r>
    <r>
      <rPr>
        <sz val="11"/>
        <color theme="1"/>
        <rFont val="Calibri"/>
        <family val="2"/>
        <scheme val="minor"/>
      </rPr>
      <t xml:space="preserve"> 5ft)</t>
    </r>
  </si>
  <si>
    <t>Convert 2-Lane Facility to 4-Lane Divided</t>
  </si>
  <si>
    <t>Install Passing Lanes on 2-Lane Road</t>
  </si>
  <si>
    <t>Provide Additional Paved Surface Width</t>
  </si>
  <si>
    <t>Milled Centerline Rumble Strips</t>
  </si>
  <si>
    <t>Profile Centerline Markings</t>
  </si>
  <si>
    <t>Raised Centerline Rumble Strips</t>
  </si>
  <si>
    <t>Transverse Rumble Strips</t>
  </si>
  <si>
    <t>Construct a Roundabout</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</si>
  <si>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</si>
  <si>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</si>
  <si>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</si>
  <si>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</si>
  <si>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</si>
  <si>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</si>
  <si>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</si>
  <si>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</si>
  <si>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</si>
  <si>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</si>
  <si>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</si>
  <si>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</si>
  <si>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</si>
  <si>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</si>
  <si>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</si>
  <si>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</si>
  <si>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</si>
  <si>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</si>
  <si>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</si>
  <si>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</si>
  <si>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</si>
  <si>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</si>
  <si>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</si>
  <si>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</si>
  <si>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</si>
  <si>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</si>
  <si>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</si>
  <si>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</si>
  <si>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</si>
  <si>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</si>
  <si>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</si>
  <si>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</si>
  <si>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</si>
  <si>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</si>
  <si>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</si>
  <si>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</si>
  <si>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</si>
  <si>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</si>
  <si>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</si>
  <si>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</si>
  <si>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</si>
  <si>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</si>
  <si>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</si>
  <si>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</si>
  <si>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</si>
  <si>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</si>
  <si>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</si>
  <si>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</si>
  <si>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</si>
  <si>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</si>
  <si>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</si>
  <si>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</si>
  <si>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</si>
  <si>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</si>
  <si>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</si>
  <si>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WED</t>
  </si>
  <si>
    <t>LOCAL ROAD/STREET (STREET, ROAD, AVE., BLVD., PL.,</t>
  </si>
  <si>
    <t>GELLHORN DR</t>
  </si>
  <si>
    <t>SOUTH</t>
  </si>
  <si>
    <t>CLEAR</t>
  </si>
  <si>
    <t>DAYLIGHT</t>
  </si>
  <si>
    <t>MARKED LANES</t>
  </si>
  <si>
    <t>MOTOR VEHICLE IN TRANSPORT</t>
  </si>
  <si>
    <t>NOT INJURED</t>
  </si>
  <si>
    <t>FAILED TO DRIVE IN SINGLE LANE</t>
  </si>
  <si>
    <t>Harris - 1</t>
  </si>
  <si>
    <t>Houston</t>
  </si>
  <si>
    <t>Houston - District B</t>
  </si>
  <si>
    <t>Incorporated</t>
  </si>
  <si>
    <t>y</t>
  </si>
  <si>
    <t>CMV Caused</t>
  </si>
  <si>
    <t>No</t>
  </si>
  <si>
    <t>THU</t>
  </si>
  <si>
    <t>STOP SIGN</t>
  </si>
  <si>
    <t>TURNED IMPROPERLY - WRONG LANE</t>
  </si>
  <si>
    <t>SUN</t>
  </si>
  <si>
    <t>NORTH</t>
  </si>
  <si>
    <t>DRIVER INATTENTION</t>
  </si>
  <si>
    <t>########</t>
  </si>
  <si>
    <t>WEST</t>
  </si>
  <si>
    <t>CENTER STRIPE/DIVIDER</t>
  </si>
  <si>
    <t>PARKED CAR</t>
  </si>
  <si>
    <t>PARKED IN TRAFFIC LANE</t>
  </si>
  <si>
    <t>CMV Involved</t>
  </si>
  <si>
    <t>NONE</t>
  </si>
  <si>
    <t>TURNED WHEN UNSAFE</t>
  </si>
  <si>
    <t>SAT</t>
  </si>
  <si>
    <t>DISREGARD STOP SIGN OR LIGHT</t>
  </si>
  <si>
    <t>TUE</t>
  </si>
  <si>
    <t>UNKNOW</t>
  </si>
  <si>
    <t>FAILED TO CONTROL SPEED</t>
  </si>
  <si>
    <t>EAST</t>
  </si>
  <si>
    <t>CLOUDY</t>
  </si>
  <si>
    <t>DARK, LIGHTED</t>
  </si>
  <si>
    <t>FIXED OBJECT</t>
  </si>
  <si>
    <t>UNKNOWN</t>
  </si>
  <si>
    <t>MON</t>
  </si>
  <si>
    <t>RAIN</t>
  </si>
  <si>
    <t>FAULTY EVASIVE ACTION</t>
  </si>
  <si>
    <t>NORTHEAST</t>
  </si>
  <si>
    <t>OTHER (EXPLAIN IN NARRATIVE)</t>
  </si>
  <si>
    <t>DARK, NOT LIGHTED</t>
  </si>
  <si>
    <t>SIGNAL LIGHT</t>
  </si>
  <si>
    <t>INCAPACITATING INJURY</t>
  </si>
  <si>
    <t>DISREGARD STOP AND GO SIGNAL</t>
  </si>
  <si>
    <t>COUNTY ROAD</t>
  </si>
  <si>
    <t>FLEEING OR EVADING POLICE</t>
  </si>
  <si>
    <t>CHANGED LANE WHEN UNSAFE</t>
  </si>
  <si>
    <t>P_auto</t>
  </si>
  <si>
    <t>P_Bicycle</t>
  </si>
  <si>
    <t>P_Walk</t>
  </si>
  <si>
    <t>Walk_VMT_Reduction</t>
  </si>
  <si>
    <t>Bike_VMT_Reduction</t>
  </si>
  <si>
    <t>Total_VMT_Reduction</t>
  </si>
  <si>
    <t>Shape_Length</t>
  </si>
  <si>
    <t>Shape_Area</t>
  </si>
  <si>
    <t>Total_auto</t>
  </si>
  <si>
    <t>Total_Bicycle</t>
  </si>
  <si>
    <t>Total_Walk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</si>
  <si>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</si>
  <si>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</si>
  <si>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</si>
  <si>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</si>
  <si>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</si>
  <si>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</si>
  <si>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</si>
  <si>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</si>
  <si>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</si>
  <si>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</si>
  <si>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</si>
  <si>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</si>
  <si>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</si>
  <si>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Growth Rate</t>
  </si>
  <si>
    <t>2023-2030</t>
  </si>
  <si>
    <t>2030-2045</t>
  </si>
  <si>
    <t>2021 AADT</t>
  </si>
  <si>
    <t>AADT in Year Open to Traffic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</si>
</sst>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
      <sz val="11"/>
      <color rgb="FF000000"/>
      <name val="Calibri"/>
      <family val="2"/>
      <scheme val="minor"/>
    </font>
    <font>
      <sz val="11"/>
      <color rgb="FF000000"/>
      <name val="Calibri"/>
      <family val="2"/>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33">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0" fontId="0" fillId="0" borderId="1" xfId="0" applyBorder="1"/>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3" fontId="0" fillId="0" borderId="1" xfId="0" applyNumberFormat="1" applyBorder="1" applyAlignment="1">
      <alignment horizontal="center" vertical="center"/>
    </xf>
    <xf numFmtId="10" fontId="0" fillId="0" borderId="1" xfId="0" applyNumberFormat="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0" fontId="22" fillId="0" borderId="0" xfId="0" applyFont="1"/>
    <xf numFmtId="0" fontId="0" fillId="0" borderId="1" xfId="0" applyBorder="1" applyAlignment="1">
      <alignment horizontal="left" vertical="center" wrapText="1"/>
    </xf>
    <xf numFmtId="0" fontId="0" fillId="0" borderId="1" xfId="0" applyBorder="1" applyAlignment="1">
      <alignment horizontal="left" vertical="center"/>
    </xf>
    <xf numFmtId="0" fontId="2" fillId="9" borderId="1" xfId="0" applyFont="1" applyFill="1" applyBorder="1" applyAlignment="1">
      <alignment horizontal="center" vertical="center" wrapText="1"/>
    </xf>
    <xf numFmtId="0" fontId="4" fillId="0" borderId="0" xfId="0" applyFont="1" applyAlignment="1">
      <alignment horizontal="center"/>
    </xf>
    <xf numFmtId="0" fontId="23" fillId="0" borderId="0" xfId="0" applyFont="1"/>
    <xf numFmtId="14" fontId="23" fillId="0" borderId="0" xfId="0" applyNumberFormat="1" applyFont="1"/>
    <xf numFmtId="11" fontId="23" fillId="0" borderId="0" xfId="0" applyNumberFormat="1" applyFont="1"/>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2" fillId="9" borderId="1" xfId="0" applyFont="1" applyFill="1" applyBorder="1" applyAlignment="1">
      <alignment horizontal="center" vertical="center" wrapText="1"/>
    </xf>
    <xf numFmtId="0" fontId="12" fillId="0" borderId="1" xfId="0" applyFont="1" applyBorder="1" applyAlignment="1" applyProtection="1">
      <alignment horizontal="left" vertical="center" wrapText="1"/>
      <protection locked="0"/>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1-02/Benefit%20Cost%20Analysis%20Guidance%202021.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2021 Traffic Volume: </a:t>
          </a:r>
          <a:r>
            <a:rPr lang="en-US" sz="1100">
              <a:solidFill>
                <a:schemeClr val="dk1"/>
              </a:solidFill>
              <a:effectLst/>
              <a:latin typeface="+mn-lt"/>
              <a:ea typeface="+mn-ea"/>
              <a:cs typeface="+mn-cs"/>
            </a:rPr>
            <a:t>Enter estimated 2021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1259468</xdr:colOff>
      <xdr:row>27</xdr:row>
      <xdr:rowOff>189497</xdr:rowOff>
    </xdr:from>
    <xdr:to>
      <xdr:col>1</xdr:col>
      <xdr:colOff>418922</xdr:colOff>
      <xdr:row>31</xdr:row>
      <xdr:rowOff>166096</xdr:rowOff>
    </xdr:to>
    <xdr:pic>
      <xdr:nvPicPr>
        <xdr:cNvPr id="5" name="Picture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PicPr>
          <a:picLocks noChangeAspect="1"/>
        </xdr:cNvPicPr>
      </xdr:nvPicPr>
      <xdr:blipFill>
        <a:blip xmlns:r="http://schemas.openxmlformats.org/officeDocument/2006/relationships" r:embed="rId3"/>
        <a:stretch>
          <a:fillRect/>
        </a:stretch>
      </xdr:blipFill>
      <xdr:spPr>
        <a:xfrm>
          <a:off x="1259468" y="5332997"/>
          <a:ext cx="2169354" cy="738599"/>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7620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2021. The full resource guide is available online at:  </a:t>
          </a:r>
          <a:r>
            <a:rPr lang="en-US" sz="1100" u="sng">
              <a:solidFill>
                <a:schemeClr val="dk1"/>
              </a:solidFill>
              <a:effectLst/>
              <a:latin typeface="+mn-lt"/>
              <a:ea typeface="+mn-ea"/>
              <a:cs typeface="+mn-cs"/>
            </a:rPr>
            <a:t>https://www.transportation.gov/sites/dot.gov/files/2021-02/Benefit%20Cost%20Analysis%20Guidance%202021.pd</a:t>
          </a: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22" zoomScale="85" zoomScaleNormal="85" workbookViewId="0">
      <selection activeCell="N28" sqref="N28"/>
    </sheetView>
  </sheetViews>
  <sheetFormatPr defaultRowHeight="14.4" x14ac:dyDescent="0.3"/>
  <cols>
    <col min="1" max="1" width="45.109375" bestFit="1" customWidth="1"/>
    <col min="2" max="2" width="12.5546875" customWidth="1"/>
    <col min="3" max="3" width="5.33203125" customWidth="1"/>
    <col min="4" max="4" width="23.5546875" customWidth="1"/>
    <col min="5" max="5" width="15.33203125" bestFit="1" customWidth="1"/>
    <col min="6" max="6" width="13.33203125" customWidth="1"/>
    <col min="7" max="7" width="4.5546875" customWidth="1"/>
  </cols>
  <sheetData>
    <row r="7" spans="1:1" x14ac:dyDescent="0.3">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G1327"/>
  <sheetViews>
    <sheetView workbookViewId="0">
      <pane ySplit="1" topLeftCell="A2" activePane="bottomLeft" state="frozen"/>
      <selection activeCell="G1" sqref="G1"/>
      <selection pane="bottomLeft" activeCell="D6" sqref="D6"/>
    </sheetView>
  </sheetViews>
  <sheetFormatPr defaultRowHeight="14.4" x14ac:dyDescent="0.3"/>
  <cols>
    <col min="2" max="2" width="9.88671875" bestFit="1" customWidth="1"/>
    <col min="4" max="4" width="12.5546875" customWidth="1"/>
    <col min="10" max="10" width="9.33203125" bestFit="1" customWidth="1"/>
    <col min="15" max="15" width="72.6640625" customWidth="1"/>
    <col min="52" max="52" width="13.33203125" bestFit="1" customWidth="1"/>
  </cols>
  <sheetData>
    <row r="1" spans="1:59" x14ac:dyDescent="0.3">
      <c r="A1" s="189" t="s">
        <v>324</v>
      </c>
      <c r="B1" s="189" t="s">
        <v>325</v>
      </c>
      <c r="C1" s="189" t="s">
        <v>326</v>
      </c>
      <c r="D1" s="189" t="s">
        <v>327</v>
      </c>
      <c r="E1" s="189" t="s">
        <v>328</v>
      </c>
      <c r="F1" s="189" t="s">
        <v>329</v>
      </c>
      <c r="G1" s="189" t="s">
        <v>330</v>
      </c>
      <c r="H1" s="189" t="s">
        <v>331</v>
      </c>
      <c r="I1" s="189" t="s">
        <v>332</v>
      </c>
      <c r="J1" s="189" t="s">
        <v>333</v>
      </c>
      <c r="K1" s="189" t="s">
        <v>334</v>
      </c>
      <c r="L1" s="189" t="s">
        <v>335</v>
      </c>
      <c r="M1" s="189" t="s">
        <v>336</v>
      </c>
      <c r="N1" s="189" t="s">
        <v>337</v>
      </c>
      <c r="O1" s="189" t="s">
        <v>338</v>
      </c>
      <c r="P1" s="189" t="s">
        <v>339</v>
      </c>
      <c r="Q1" s="189" t="s">
        <v>106</v>
      </c>
      <c r="R1" s="189" t="s">
        <v>340</v>
      </c>
      <c r="S1" s="189" t="s">
        <v>341</v>
      </c>
      <c r="T1" s="189" t="s">
        <v>342</v>
      </c>
      <c r="U1" s="189" t="s">
        <v>343</v>
      </c>
      <c r="V1" s="189" t="s">
        <v>344</v>
      </c>
      <c r="W1" s="189" t="s">
        <v>345</v>
      </c>
      <c r="X1" s="189" t="s">
        <v>346</v>
      </c>
      <c r="Y1" s="189" t="s">
        <v>347</v>
      </c>
      <c r="Z1" s="189" t="s">
        <v>348</v>
      </c>
      <c r="AA1" s="189" t="s">
        <v>349</v>
      </c>
      <c r="AB1" s="189" t="s">
        <v>350</v>
      </c>
      <c r="AC1" s="189" t="s">
        <v>351</v>
      </c>
      <c r="AD1" s="189" t="s">
        <v>352</v>
      </c>
      <c r="AE1" s="189" t="s">
        <v>353</v>
      </c>
      <c r="AF1" s="189" t="s">
        <v>354</v>
      </c>
      <c r="AG1" s="189" t="s">
        <v>355</v>
      </c>
      <c r="AH1" s="189" t="s">
        <v>356</v>
      </c>
      <c r="AI1" s="189" t="s">
        <v>357</v>
      </c>
      <c r="AJ1" s="189" t="s">
        <v>358</v>
      </c>
      <c r="AK1" s="189" t="s">
        <v>359</v>
      </c>
      <c r="AL1" s="189" t="s">
        <v>360</v>
      </c>
      <c r="AM1" s="189" t="s">
        <v>361</v>
      </c>
      <c r="AN1" s="189" t="s">
        <v>362</v>
      </c>
      <c r="AO1" s="189" t="s">
        <v>363</v>
      </c>
      <c r="AP1" s="189" t="s">
        <v>364</v>
      </c>
      <c r="AQ1" s="189" t="s">
        <v>365</v>
      </c>
      <c r="AR1" s="189" t="s">
        <v>366</v>
      </c>
      <c r="AS1" s="189" t="s">
        <v>367</v>
      </c>
      <c r="AT1" s="189" t="s">
        <v>368</v>
      </c>
      <c r="AU1" s="189" t="s">
        <v>369</v>
      </c>
      <c r="AV1" s="189" t="s">
        <v>370</v>
      </c>
      <c r="AW1" s="189" t="s">
        <v>371</v>
      </c>
      <c r="AX1" s="189" t="s">
        <v>372</v>
      </c>
      <c r="AY1" s="189" t="s">
        <v>373</v>
      </c>
      <c r="AZ1" s="189" t="s">
        <v>374</v>
      </c>
      <c r="BA1" s="189" t="s">
        <v>375</v>
      </c>
      <c r="BB1" s="189" t="s">
        <v>376</v>
      </c>
      <c r="BC1" s="189" t="s">
        <v>377</v>
      </c>
      <c r="BD1" s="189" t="s">
        <v>378</v>
      </c>
    </row>
    <row r="2" spans="1:59" x14ac:dyDescent="0.3">
      <c r="A2" s="194">
        <v>879</v>
      </c>
      <c r="B2" s="194">
        <v>16186402</v>
      </c>
      <c r="C2" s="194">
        <v>2018</v>
      </c>
      <c r="D2" s="195">
        <v>43103</v>
      </c>
      <c r="E2" s="194">
        <v>7</v>
      </c>
      <c r="F2" s="194" t="s">
        <v>379</v>
      </c>
      <c r="G2" s="194" t="s">
        <v>380</v>
      </c>
      <c r="H2" s="194" t="s">
        <v>381</v>
      </c>
      <c r="I2" s="194" t="s">
        <v>382</v>
      </c>
      <c r="J2" s="194">
        <v>29.77816</v>
      </c>
      <c r="K2" s="194">
        <v>-95.271900000000002</v>
      </c>
      <c r="L2" s="194" t="s">
        <v>383</v>
      </c>
      <c r="M2" s="194" t="s">
        <v>384</v>
      </c>
      <c r="N2" s="194" t="s">
        <v>385</v>
      </c>
      <c r="O2" s="194" t="s">
        <v>386</v>
      </c>
      <c r="P2" s="194" t="s">
        <v>387</v>
      </c>
      <c r="Q2" s="194" t="s">
        <v>102</v>
      </c>
      <c r="R2" s="194" t="s">
        <v>388</v>
      </c>
      <c r="S2" s="194">
        <v>0</v>
      </c>
      <c r="T2" s="194">
        <v>0</v>
      </c>
      <c r="U2" s="194">
        <v>0</v>
      </c>
      <c r="V2" s="194">
        <v>0</v>
      </c>
      <c r="W2" s="194">
        <v>0</v>
      </c>
      <c r="X2" s="194">
        <v>2</v>
      </c>
      <c r="Y2" s="194">
        <v>0</v>
      </c>
      <c r="Z2" s="194">
        <v>0</v>
      </c>
      <c r="AA2" s="194">
        <v>0</v>
      </c>
      <c r="AB2" s="194">
        <v>0</v>
      </c>
      <c r="AC2" s="194">
        <v>0</v>
      </c>
      <c r="AD2" s="194">
        <v>2</v>
      </c>
      <c r="AE2" s="194">
        <v>0</v>
      </c>
      <c r="AF2" s="194">
        <v>0</v>
      </c>
      <c r="AG2" s="194">
        <v>0</v>
      </c>
      <c r="AH2" s="194">
        <v>0</v>
      </c>
      <c r="AI2" s="194">
        <v>0</v>
      </c>
      <c r="AJ2" s="194">
        <v>0</v>
      </c>
      <c r="AK2" s="194">
        <v>0</v>
      </c>
      <c r="AL2" s="194">
        <v>0</v>
      </c>
      <c r="AM2" s="194">
        <v>0</v>
      </c>
      <c r="AN2" s="194">
        <v>0</v>
      </c>
      <c r="AO2" s="194">
        <v>0</v>
      </c>
      <c r="AP2" s="194">
        <v>0</v>
      </c>
      <c r="AQ2" s="194">
        <v>0</v>
      </c>
      <c r="AR2" s="194">
        <v>0</v>
      </c>
      <c r="AS2" s="194">
        <v>0</v>
      </c>
      <c r="AT2" s="194">
        <v>0</v>
      </c>
      <c r="AU2" s="194" t="s">
        <v>52</v>
      </c>
      <c r="AV2" s="194" t="s">
        <v>389</v>
      </c>
      <c r="AW2" s="194" t="s">
        <v>390</v>
      </c>
      <c r="AX2" s="194" t="s">
        <v>391</v>
      </c>
      <c r="AY2" s="194">
        <v>77029</v>
      </c>
      <c r="AZ2" s="196">
        <v>48200000000</v>
      </c>
      <c r="BA2" s="194" t="s">
        <v>392</v>
      </c>
      <c r="BB2" s="194" t="s">
        <v>393</v>
      </c>
      <c r="BC2" s="194">
        <v>57339</v>
      </c>
      <c r="BD2" s="194">
        <v>3048</v>
      </c>
      <c r="BE2" s="194" t="s">
        <v>394</v>
      </c>
      <c r="BF2" s="194" t="s">
        <v>395</v>
      </c>
      <c r="BG2" s="194" t="s">
        <v>395</v>
      </c>
    </row>
    <row r="3" spans="1:59" x14ac:dyDescent="0.3">
      <c r="A3" s="194">
        <v>44820</v>
      </c>
      <c r="B3" s="194">
        <v>16377117</v>
      </c>
      <c r="C3" s="194">
        <v>2018</v>
      </c>
      <c r="D3" s="195">
        <v>43195</v>
      </c>
      <c r="E3" s="194">
        <v>12</v>
      </c>
      <c r="F3" s="194" t="s">
        <v>396</v>
      </c>
      <c r="G3" s="194" t="s">
        <v>380</v>
      </c>
      <c r="H3" s="194" t="s">
        <v>381</v>
      </c>
      <c r="I3" s="194" t="s">
        <v>382</v>
      </c>
      <c r="J3" s="194">
        <v>29.782319999999999</v>
      </c>
      <c r="K3" s="194">
        <v>-95.27</v>
      </c>
      <c r="L3" s="194" t="s">
        <v>383</v>
      </c>
      <c r="M3" s="194" t="s">
        <v>384</v>
      </c>
      <c r="N3" s="194" t="s">
        <v>397</v>
      </c>
      <c r="O3" s="194" t="s">
        <v>386</v>
      </c>
      <c r="P3" s="194" t="s">
        <v>387</v>
      </c>
      <c r="Q3" s="194" t="s">
        <v>106</v>
      </c>
      <c r="R3" s="194" t="s">
        <v>398</v>
      </c>
      <c r="S3" s="194">
        <v>0</v>
      </c>
      <c r="T3" s="194">
        <v>0</v>
      </c>
      <c r="U3" s="194">
        <v>0</v>
      </c>
      <c r="V3" s="194">
        <v>0</v>
      </c>
      <c r="W3" s="194">
        <v>0</v>
      </c>
      <c r="X3" s="194">
        <v>1</v>
      </c>
      <c r="Y3" s="194">
        <v>1</v>
      </c>
      <c r="Z3" s="194">
        <v>0</v>
      </c>
      <c r="AA3" s="194">
        <v>0</v>
      </c>
      <c r="AB3" s="194">
        <v>0</v>
      </c>
      <c r="AC3" s="194">
        <v>0</v>
      </c>
      <c r="AD3" s="194">
        <v>1</v>
      </c>
      <c r="AE3" s="194">
        <v>0</v>
      </c>
      <c r="AF3" s="194">
        <v>1</v>
      </c>
      <c r="AG3" s="194">
        <v>0</v>
      </c>
      <c r="AH3" s="194">
        <v>0</v>
      </c>
      <c r="AI3" s="194">
        <v>0</v>
      </c>
      <c r="AJ3" s="194">
        <v>0</v>
      </c>
      <c r="AK3" s="194">
        <v>0</v>
      </c>
      <c r="AL3" s="194">
        <v>0</v>
      </c>
      <c r="AM3" s="194">
        <v>0</v>
      </c>
      <c r="AN3" s="194">
        <v>0</v>
      </c>
      <c r="AO3" s="194">
        <v>0</v>
      </c>
      <c r="AP3" s="194">
        <v>0</v>
      </c>
      <c r="AQ3" s="194">
        <v>0</v>
      </c>
      <c r="AR3" s="194">
        <v>0</v>
      </c>
      <c r="AS3" s="194">
        <v>0</v>
      </c>
      <c r="AT3" s="194">
        <v>0</v>
      </c>
      <c r="AU3" s="194" t="s">
        <v>52</v>
      </c>
      <c r="AV3" s="194" t="s">
        <v>389</v>
      </c>
      <c r="AW3" s="194" t="s">
        <v>390</v>
      </c>
      <c r="AX3" s="194" t="s">
        <v>391</v>
      </c>
      <c r="AY3" s="194">
        <v>77029</v>
      </c>
      <c r="AZ3" s="196">
        <v>48200000000</v>
      </c>
      <c r="BA3" s="194" t="s">
        <v>392</v>
      </c>
      <c r="BB3" s="194" t="s">
        <v>393</v>
      </c>
      <c r="BC3" s="194">
        <v>57559</v>
      </c>
      <c r="BD3" s="194">
        <v>8664</v>
      </c>
      <c r="BE3" s="194" t="s">
        <v>395</v>
      </c>
      <c r="BF3" s="194" t="s">
        <v>395</v>
      </c>
      <c r="BG3" s="194" t="s">
        <v>395</v>
      </c>
    </row>
    <row r="4" spans="1:59" x14ac:dyDescent="0.3">
      <c r="A4" s="194">
        <v>99189</v>
      </c>
      <c r="B4" s="194">
        <v>16612942</v>
      </c>
      <c r="C4" s="194">
        <v>2018</v>
      </c>
      <c r="D4" s="195">
        <v>43352</v>
      </c>
      <c r="E4" s="194">
        <v>17</v>
      </c>
      <c r="F4" s="194" t="s">
        <v>399</v>
      </c>
      <c r="G4" s="194" t="s">
        <v>380</v>
      </c>
      <c r="H4" s="194" t="s">
        <v>381</v>
      </c>
      <c r="I4" s="194" t="s">
        <v>400</v>
      </c>
      <c r="J4" s="194">
        <v>29.784310000000001</v>
      </c>
      <c r="K4" s="194">
        <v>-95.265199999999993</v>
      </c>
      <c r="L4" s="194" t="s">
        <v>383</v>
      </c>
      <c r="M4" s="194" t="s">
        <v>384</v>
      </c>
      <c r="N4" s="194" t="s">
        <v>385</v>
      </c>
      <c r="O4" s="194" t="s">
        <v>386</v>
      </c>
      <c r="P4" s="194" t="s">
        <v>387</v>
      </c>
      <c r="Q4" s="194" t="s">
        <v>103</v>
      </c>
      <c r="R4" s="194" t="s">
        <v>401</v>
      </c>
      <c r="S4" s="194">
        <v>0</v>
      </c>
      <c r="T4" s="194">
        <v>0</v>
      </c>
      <c r="U4" s="194">
        <v>0</v>
      </c>
      <c r="V4" s="194">
        <v>0</v>
      </c>
      <c r="W4" s="194">
        <v>0</v>
      </c>
      <c r="X4" s="194">
        <v>2</v>
      </c>
      <c r="Y4" s="194">
        <v>0</v>
      </c>
      <c r="Z4" s="194">
        <v>0</v>
      </c>
      <c r="AA4" s="194">
        <v>0</v>
      </c>
      <c r="AB4" s="194">
        <v>0</v>
      </c>
      <c r="AC4" s="194">
        <v>0</v>
      </c>
      <c r="AD4" s="194">
        <v>2</v>
      </c>
      <c r="AE4" s="194">
        <v>0</v>
      </c>
      <c r="AF4" s="194">
        <v>0</v>
      </c>
      <c r="AG4" s="194">
        <v>0</v>
      </c>
      <c r="AH4" s="194">
        <v>0</v>
      </c>
      <c r="AI4" s="194">
        <v>0</v>
      </c>
      <c r="AJ4" s="194">
        <v>0</v>
      </c>
      <c r="AK4" s="194">
        <v>0</v>
      </c>
      <c r="AL4" s="194">
        <v>0</v>
      </c>
      <c r="AM4" s="194">
        <v>0</v>
      </c>
      <c r="AN4" s="194">
        <v>0</v>
      </c>
      <c r="AO4" s="194">
        <v>0</v>
      </c>
      <c r="AP4" s="194">
        <v>0</v>
      </c>
      <c r="AQ4" s="194">
        <v>0</v>
      </c>
      <c r="AR4" s="194">
        <v>0</v>
      </c>
      <c r="AS4" s="194">
        <v>0</v>
      </c>
      <c r="AT4" s="194">
        <v>0</v>
      </c>
      <c r="AU4" s="194" t="s">
        <v>52</v>
      </c>
      <c r="AV4" s="194" t="s">
        <v>389</v>
      </c>
      <c r="AW4" s="194" t="s">
        <v>390</v>
      </c>
      <c r="AX4" s="194" t="s">
        <v>391</v>
      </c>
      <c r="AY4" s="194">
        <v>77029</v>
      </c>
      <c r="AZ4" s="196">
        <v>48200000000</v>
      </c>
      <c r="BA4" s="194" t="s">
        <v>392</v>
      </c>
      <c r="BB4" s="194" t="s">
        <v>393</v>
      </c>
      <c r="BC4" s="194">
        <v>162939</v>
      </c>
      <c r="BD4" s="194">
        <v>8664</v>
      </c>
      <c r="BE4" s="194" t="s">
        <v>395</v>
      </c>
      <c r="BF4" s="194" t="s">
        <v>395</v>
      </c>
      <c r="BG4" s="194" t="s">
        <v>395</v>
      </c>
    </row>
    <row r="5" spans="1:59" x14ac:dyDescent="0.3">
      <c r="A5" s="194">
        <v>123427</v>
      </c>
      <c r="B5" s="194">
        <v>16724837</v>
      </c>
      <c r="C5" s="194">
        <v>2018</v>
      </c>
      <c r="D5" s="194" t="s">
        <v>402</v>
      </c>
      <c r="E5" s="194">
        <v>9</v>
      </c>
      <c r="F5" s="194" t="s">
        <v>396</v>
      </c>
      <c r="G5" s="194" t="s">
        <v>380</v>
      </c>
      <c r="H5" s="194" t="s">
        <v>381</v>
      </c>
      <c r="I5" s="194" t="s">
        <v>403</v>
      </c>
      <c r="J5" s="194">
        <v>29.783650000000002</v>
      </c>
      <c r="K5" s="194">
        <v>-95.267799999999994</v>
      </c>
      <c r="L5" s="194" t="s">
        <v>383</v>
      </c>
      <c r="M5" s="194" t="s">
        <v>384</v>
      </c>
      <c r="N5" s="194" t="s">
        <v>404</v>
      </c>
      <c r="O5" s="194" t="s">
        <v>405</v>
      </c>
      <c r="P5" s="194" t="s">
        <v>344</v>
      </c>
      <c r="Q5" s="194" t="s">
        <v>102</v>
      </c>
      <c r="R5" s="194" t="s">
        <v>406</v>
      </c>
      <c r="S5" s="194">
        <v>0</v>
      </c>
      <c r="T5" s="194">
        <v>0</v>
      </c>
      <c r="U5" s="194">
        <v>0</v>
      </c>
      <c r="V5" s="194">
        <v>2</v>
      </c>
      <c r="W5" s="194">
        <v>2</v>
      </c>
      <c r="X5" s="194">
        <v>1</v>
      </c>
      <c r="Y5" s="194">
        <v>0</v>
      </c>
      <c r="Z5" s="194">
        <v>0</v>
      </c>
      <c r="AA5" s="194">
        <v>0</v>
      </c>
      <c r="AB5" s="194">
        <v>0</v>
      </c>
      <c r="AC5" s="194">
        <v>2</v>
      </c>
      <c r="AD5" s="194">
        <v>1</v>
      </c>
      <c r="AE5" s="194">
        <v>2</v>
      </c>
      <c r="AF5" s="194">
        <v>0</v>
      </c>
      <c r="AG5" s="194">
        <v>0</v>
      </c>
      <c r="AH5" s="194">
        <v>0</v>
      </c>
      <c r="AI5" s="194">
        <v>0</v>
      </c>
      <c r="AJ5" s="194">
        <v>0</v>
      </c>
      <c r="AK5" s="194">
        <v>0</v>
      </c>
      <c r="AL5" s="194">
        <v>0</v>
      </c>
      <c r="AM5" s="194">
        <v>0</v>
      </c>
      <c r="AN5" s="194">
        <v>0</v>
      </c>
      <c r="AO5" s="194">
        <v>0</v>
      </c>
      <c r="AP5" s="194">
        <v>0</v>
      </c>
      <c r="AQ5" s="194">
        <v>0</v>
      </c>
      <c r="AR5" s="194">
        <v>0</v>
      </c>
      <c r="AS5" s="194">
        <v>0</v>
      </c>
      <c r="AT5" s="194">
        <v>0</v>
      </c>
      <c r="AU5" s="194" t="s">
        <v>52</v>
      </c>
      <c r="AV5" s="194" t="s">
        <v>389</v>
      </c>
      <c r="AW5" s="194" t="s">
        <v>390</v>
      </c>
      <c r="AX5" s="194" t="s">
        <v>391</v>
      </c>
      <c r="AY5" s="194">
        <v>77029</v>
      </c>
      <c r="AZ5" s="196">
        <v>48200000000</v>
      </c>
      <c r="BA5" s="194" t="s">
        <v>392</v>
      </c>
      <c r="BB5" s="194" t="s">
        <v>393</v>
      </c>
      <c r="BC5" s="194">
        <v>162719</v>
      </c>
      <c r="BD5" s="194">
        <v>8664</v>
      </c>
      <c r="BE5" s="194" t="s">
        <v>407</v>
      </c>
      <c r="BF5" s="194" t="s">
        <v>395</v>
      </c>
      <c r="BG5" s="194" t="s">
        <v>395</v>
      </c>
    </row>
    <row r="6" spans="1:59" x14ac:dyDescent="0.3">
      <c r="A6" s="194">
        <v>154087</v>
      </c>
      <c r="B6" s="194">
        <v>16865865</v>
      </c>
      <c r="C6" s="194">
        <v>2019</v>
      </c>
      <c r="D6" s="194" t="s">
        <v>402</v>
      </c>
      <c r="E6" s="194">
        <v>16</v>
      </c>
      <c r="F6" s="194" t="s">
        <v>396</v>
      </c>
      <c r="G6" s="194" t="s">
        <v>380</v>
      </c>
      <c r="H6" s="194" t="s">
        <v>381</v>
      </c>
      <c r="I6" s="194" t="s">
        <v>403</v>
      </c>
      <c r="J6" s="194">
        <v>29.78444</v>
      </c>
      <c r="K6" s="194">
        <v>-95.265299999999996</v>
      </c>
      <c r="L6" s="194" t="s">
        <v>383</v>
      </c>
      <c r="M6" s="194" t="s">
        <v>384</v>
      </c>
      <c r="N6" s="194" t="s">
        <v>408</v>
      </c>
      <c r="O6" s="194" t="s">
        <v>386</v>
      </c>
      <c r="P6" s="194" t="s">
        <v>344</v>
      </c>
      <c r="Q6" s="194" t="s">
        <v>103</v>
      </c>
      <c r="R6" s="194" t="s">
        <v>409</v>
      </c>
      <c r="S6" s="194">
        <v>0</v>
      </c>
      <c r="T6" s="194">
        <v>0</v>
      </c>
      <c r="U6" s="194">
        <v>0</v>
      </c>
      <c r="V6" s="194">
        <v>1</v>
      </c>
      <c r="W6" s="194">
        <v>1</v>
      </c>
      <c r="X6" s="194">
        <v>2</v>
      </c>
      <c r="Y6" s="194">
        <v>0</v>
      </c>
      <c r="Z6" s="194">
        <v>0</v>
      </c>
      <c r="AA6" s="194">
        <v>0</v>
      </c>
      <c r="AB6" s="194">
        <v>0</v>
      </c>
      <c r="AC6" s="194">
        <v>1</v>
      </c>
      <c r="AD6" s="194">
        <v>2</v>
      </c>
      <c r="AE6" s="194">
        <v>1</v>
      </c>
      <c r="AF6" s="194">
        <v>0</v>
      </c>
      <c r="AG6" s="194">
        <v>0</v>
      </c>
      <c r="AH6" s="194">
        <v>0</v>
      </c>
      <c r="AI6" s="194">
        <v>0</v>
      </c>
      <c r="AJ6" s="194">
        <v>0</v>
      </c>
      <c r="AK6" s="194">
        <v>0</v>
      </c>
      <c r="AL6" s="194">
        <v>0</v>
      </c>
      <c r="AM6" s="194">
        <v>0</v>
      </c>
      <c r="AN6" s="194">
        <v>0</v>
      </c>
      <c r="AO6" s="194">
        <v>0</v>
      </c>
      <c r="AP6" s="194">
        <v>0</v>
      </c>
      <c r="AQ6" s="194">
        <v>0</v>
      </c>
      <c r="AR6" s="194">
        <v>0</v>
      </c>
      <c r="AS6" s="194">
        <v>0</v>
      </c>
      <c r="AT6" s="194">
        <v>0</v>
      </c>
      <c r="AU6" s="194" t="s">
        <v>52</v>
      </c>
      <c r="AV6" s="194" t="s">
        <v>389</v>
      </c>
      <c r="AW6" s="194" t="s">
        <v>390</v>
      </c>
      <c r="AX6" s="194" t="s">
        <v>391</v>
      </c>
      <c r="AY6" s="194">
        <v>77029</v>
      </c>
      <c r="AZ6" s="196">
        <v>48200000000</v>
      </c>
      <c r="BA6" s="194" t="s">
        <v>392</v>
      </c>
      <c r="BB6" s="194" t="s">
        <v>393</v>
      </c>
      <c r="BC6" s="194">
        <v>162939</v>
      </c>
      <c r="BD6" s="194">
        <v>8664</v>
      </c>
      <c r="BE6" s="194" t="s">
        <v>395</v>
      </c>
      <c r="BF6" s="194" t="s">
        <v>395</v>
      </c>
      <c r="BG6" s="194" t="s">
        <v>395</v>
      </c>
    </row>
    <row r="7" spans="1:59" x14ac:dyDescent="0.3">
      <c r="A7" s="194">
        <v>266991</v>
      </c>
      <c r="B7" s="194">
        <v>17381550</v>
      </c>
      <c r="C7" s="194">
        <v>2019</v>
      </c>
      <c r="D7" s="194" t="s">
        <v>402</v>
      </c>
      <c r="E7" s="194">
        <v>9</v>
      </c>
      <c r="F7" s="194" t="s">
        <v>410</v>
      </c>
      <c r="G7" s="194" t="s">
        <v>380</v>
      </c>
      <c r="H7" s="194" t="s">
        <v>381</v>
      </c>
      <c r="I7" s="194" t="s">
        <v>403</v>
      </c>
      <c r="J7" s="194">
        <v>29.78444</v>
      </c>
      <c r="K7" s="194">
        <v>-95.265299999999996</v>
      </c>
      <c r="L7" s="194" t="s">
        <v>383</v>
      </c>
      <c r="M7" s="194" t="s">
        <v>384</v>
      </c>
      <c r="N7" s="194" t="s">
        <v>385</v>
      </c>
      <c r="O7" s="194" t="s">
        <v>386</v>
      </c>
      <c r="P7" s="194" t="s">
        <v>387</v>
      </c>
      <c r="Q7" s="194" t="s">
        <v>103</v>
      </c>
      <c r="R7" s="194" t="s">
        <v>411</v>
      </c>
      <c r="S7" s="194">
        <v>0</v>
      </c>
      <c r="T7" s="194">
        <v>0</v>
      </c>
      <c r="U7" s="194">
        <v>0</v>
      </c>
      <c r="V7" s="194">
        <v>0</v>
      </c>
      <c r="W7" s="194">
        <v>0</v>
      </c>
      <c r="X7" s="194">
        <v>3</v>
      </c>
      <c r="Y7" s="194">
        <v>0</v>
      </c>
      <c r="Z7" s="194">
        <v>0</v>
      </c>
      <c r="AA7" s="194">
        <v>0</v>
      </c>
      <c r="AB7" s="194">
        <v>0</v>
      </c>
      <c r="AC7" s="194">
        <v>0</v>
      </c>
      <c r="AD7" s="194">
        <v>3</v>
      </c>
      <c r="AE7" s="194">
        <v>0</v>
      </c>
      <c r="AF7" s="194">
        <v>0</v>
      </c>
      <c r="AG7" s="194">
        <v>0</v>
      </c>
      <c r="AH7" s="194">
        <v>0</v>
      </c>
      <c r="AI7" s="194">
        <v>0</v>
      </c>
      <c r="AJ7" s="194">
        <v>0</v>
      </c>
      <c r="AK7" s="194">
        <v>0</v>
      </c>
      <c r="AL7" s="194">
        <v>0</v>
      </c>
      <c r="AM7" s="194">
        <v>0</v>
      </c>
      <c r="AN7" s="194">
        <v>0</v>
      </c>
      <c r="AO7" s="194">
        <v>0</v>
      </c>
      <c r="AP7" s="194">
        <v>0</v>
      </c>
      <c r="AQ7" s="194">
        <v>0</v>
      </c>
      <c r="AR7" s="194">
        <v>0</v>
      </c>
      <c r="AS7" s="194">
        <v>0</v>
      </c>
      <c r="AT7" s="194">
        <v>0</v>
      </c>
      <c r="AU7" s="194" t="s">
        <v>52</v>
      </c>
      <c r="AV7" s="194" t="s">
        <v>389</v>
      </c>
      <c r="AW7" s="194" t="s">
        <v>390</v>
      </c>
      <c r="AX7" s="194" t="s">
        <v>391</v>
      </c>
      <c r="AY7" s="194">
        <v>77029</v>
      </c>
      <c r="AZ7" s="196">
        <v>48200000000</v>
      </c>
      <c r="BA7" s="194" t="s">
        <v>392</v>
      </c>
      <c r="BB7" s="194" t="s">
        <v>393</v>
      </c>
      <c r="BC7" s="194">
        <v>162939</v>
      </c>
      <c r="BD7" s="194">
        <v>8664</v>
      </c>
      <c r="BE7" s="194" t="s">
        <v>395</v>
      </c>
      <c r="BF7" s="194" t="s">
        <v>395</v>
      </c>
      <c r="BG7" s="194" t="s">
        <v>395</v>
      </c>
    </row>
    <row r="8" spans="1:59" x14ac:dyDescent="0.3">
      <c r="A8" s="194">
        <v>276254</v>
      </c>
      <c r="B8" s="194">
        <v>17422864</v>
      </c>
      <c r="C8" s="194">
        <v>2019</v>
      </c>
      <c r="D8" s="194" t="s">
        <v>402</v>
      </c>
      <c r="E8" s="194">
        <v>11</v>
      </c>
      <c r="F8" s="194" t="s">
        <v>412</v>
      </c>
      <c r="G8" s="194" t="s">
        <v>380</v>
      </c>
      <c r="H8" s="194" t="s">
        <v>381</v>
      </c>
      <c r="I8" s="194" t="s">
        <v>413</v>
      </c>
      <c r="J8" s="194">
        <v>29.78444</v>
      </c>
      <c r="K8" s="194">
        <v>-95.265299999999996</v>
      </c>
      <c r="L8" s="194" t="s">
        <v>383</v>
      </c>
      <c r="M8" s="194" t="s">
        <v>384</v>
      </c>
      <c r="N8" s="194" t="s">
        <v>397</v>
      </c>
      <c r="O8" s="194" t="s">
        <v>386</v>
      </c>
      <c r="P8" s="194" t="s">
        <v>344</v>
      </c>
      <c r="Q8" s="194" t="s">
        <v>102</v>
      </c>
      <c r="R8" s="194" t="s">
        <v>414</v>
      </c>
      <c r="S8" s="194">
        <v>0</v>
      </c>
      <c r="T8" s="194">
        <v>0</v>
      </c>
      <c r="U8" s="194">
        <v>0</v>
      </c>
      <c r="V8" s="194">
        <v>1</v>
      </c>
      <c r="W8" s="194">
        <v>1</v>
      </c>
      <c r="X8" s="194">
        <v>3</v>
      </c>
      <c r="Y8" s="194">
        <v>0</v>
      </c>
      <c r="Z8" s="194">
        <v>0</v>
      </c>
      <c r="AA8" s="194">
        <v>0</v>
      </c>
      <c r="AB8" s="194">
        <v>0</v>
      </c>
      <c r="AC8" s="194">
        <v>1</v>
      </c>
      <c r="AD8" s="194">
        <v>3</v>
      </c>
      <c r="AE8" s="194">
        <v>1</v>
      </c>
      <c r="AF8" s="194">
        <v>0</v>
      </c>
      <c r="AG8" s="194">
        <v>0</v>
      </c>
      <c r="AH8" s="194">
        <v>0</v>
      </c>
      <c r="AI8" s="194">
        <v>0</v>
      </c>
      <c r="AJ8" s="194">
        <v>0</v>
      </c>
      <c r="AK8" s="194">
        <v>0</v>
      </c>
      <c r="AL8" s="194">
        <v>0</v>
      </c>
      <c r="AM8" s="194">
        <v>0</v>
      </c>
      <c r="AN8" s="194">
        <v>0</v>
      </c>
      <c r="AO8" s="194">
        <v>0</v>
      </c>
      <c r="AP8" s="194">
        <v>0</v>
      </c>
      <c r="AQ8" s="194">
        <v>0</v>
      </c>
      <c r="AR8" s="194">
        <v>0</v>
      </c>
      <c r="AS8" s="194">
        <v>0</v>
      </c>
      <c r="AT8" s="194">
        <v>0</v>
      </c>
      <c r="AU8" s="194" t="s">
        <v>52</v>
      </c>
      <c r="AV8" s="194" t="s">
        <v>389</v>
      </c>
      <c r="AW8" s="194" t="s">
        <v>390</v>
      </c>
      <c r="AX8" s="194" t="s">
        <v>391</v>
      </c>
      <c r="AY8" s="194">
        <v>77029</v>
      </c>
      <c r="AZ8" s="196">
        <v>48200000000</v>
      </c>
      <c r="BA8" s="194" t="s">
        <v>392</v>
      </c>
      <c r="BB8" s="194" t="s">
        <v>393</v>
      </c>
      <c r="BC8" s="194">
        <v>162939</v>
      </c>
      <c r="BD8" s="194">
        <v>8664</v>
      </c>
      <c r="BE8" s="194" t="s">
        <v>395</v>
      </c>
      <c r="BF8" s="194" t="s">
        <v>395</v>
      </c>
      <c r="BG8" s="194" t="s">
        <v>395</v>
      </c>
    </row>
    <row r="9" spans="1:59" x14ac:dyDescent="0.3">
      <c r="A9" s="194">
        <v>300477</v>
      </c>
      <c r="B9" s="194">
        <v>17515178</v>
      </c>
      <c r="C9" s="194">
        <v>2020</v>
      </c>
      <c r="D9" s="195">
        <v>43839</v>
      </c>
      <c r="E9" s="194">
        <v>14</v>
      </c>
      <c r="F9" s="194" t="s">
        <v>396</v>
      </c>
      <c r="G9" s="194" t="s">
        <v>380</v>
      </c>
      <c r="H9" s="194" t="s">
        <v>381</v>
      </c>
      <c r="I9" s="194" t="s">
        <v>415</v>
      </c>
      <c r="J9" s="194">
        <v>29.78444</v>
      </c>
      <c r="K9" s="194">
        <v>-95.265299999999996</v>
      </c>
      <c r="L9" s="194" t="s">
        <v>416</v>
      </c>
      <c r="M9" s="194" t="s">
        <v>384</v>
      </c>
      <c r="N9" s="194" t="s">
        <v>385</v>
      </c>
      <c r="O9" s="194" t="s">
        <v>386</v>
      </c>
      <c r="P9" s="194" t="s">
        <v>387</v>
      </c>
      <c r="Q9" s="194" t="s">
        <v>102</v>
      </c>
      <c r="R9" s="194" t="s">
        <v>398</v>
      </c>
      <c r="S9" s="194">
        <v>0</v>
      </c>
      <c r="T9" s="194">
        <v>0</v>
      </c>
      <c r="U9" s="194">
        <v>0</v>
      </c>
      <c r="V9" s="194">
        <v>0</v>
      </c>
      <c r="W9" s="194">
        <v>0</v>
      </c>
      <c r="X9" s="194">
        <v>3</v>
      </c>
      <c r="Y9" s="194">
        <v>0</v>
      </c>
      <c r="Z9" s="194">
        <v>0</v>
      </c>
      <c r="AA9" s="194">
        <v>0</v>
      </c>
      <c r="AB9" s="194">
        <v>0</v>
      </c>
      <c r="AC9" s="194">
        <v>0</v>
      </c>
      <c r="AD9" s="194">
        <v>3</v>
      </c>
      <c r="AE9" s="194">
        <v>0</v>
      </c>
      <c r="AF9" s="194">
        <v>0</v>
      </c>
      <c r="AG9" s="194">
        <v>0</v>
      </c>
      <c r="AH9" s="194">
        <v>0</v>
      </c>
      <c r="AI9" s="194">
        <v>0</v>
      </c>
      <c r="AJ9" s="194">
        <v>0</v>
      </c>
      <c r="AK9" s="194">
        <v>0</v>
      </c>
      <c r="AL9" s="194">
        <v>0</v>
      </c>
      <c r="AM9" s="194">
        <v>0</v>
      </c>
      <c r="AN9" s="194">
        <v>0</v>
      </c>
      <c r="AO9" s="194">
        <v>0</v>
      </c>
      <c r="AP9" s="194">
        <v>0</v>
      </c>
      <c r="AQ9" s="194">
        <v>0</v>
      </c>
      <c r="AR9" s="194">
        <v>0</v>
      </c>
      <c r="AS9" s="194">
        <v>0</v>
      </c>
      <c r="AT9" s="194">
        <v>0</v>
      </c>
      <c r="AU9" s="194" t="s">
        <v>52</v>
      </c>
      <c r="AV9" s="194" t="s">
        <v>389</v>
      </c>
      <c r="AW9" s="194" t="s">
        <v>390</v>
      </c>
      <c r="AX9" s="194" t="s">
        <v>391</v>
      </c>
      <c r="AY9" s="194">
        <v>77029</v>
      </c>
      <c r="AZ9" s="196">
        <v>48200000000</v>
      </c>
      <c r="BA9" s="194" t="s">
        <v>392</v>
      </c>
      <c r="BB9" s="194" t="s">
        <v>393</v>
      </c>
      <c r="BC9" s="194">
        <v>162939</v>
      </c>
      <c r="BD9" s="194">
        <v>8664</v>
      </c>
      <c r="BE9" s="194" t="s">
        <v>395</v>
      </c>
      <c r="BF9" s="194" t="s">
        <v>395</v>
      </c>
      <c r="BG9" s="194" t="s">
        <v>395</v>
      </c>
    </row>
    <row r="10" spans="1:59" x14ac:dyDescent="0.3">
      <c r="A10" s="194">
        <v>329866</v>
      </c>
      <c r="B10" s="194">
        <v>17641403</v>
      </c>
      <c r="C10" s="194">
        <v>2020</v>
      </c>
      <c r="D10" s="194" t="s">
        <v>402</v>
      </c>
      <c r="E10" s="194">
        <v>22</v>
      </c>
      <c r="F10" s="194" t="s">
        <v>412</v>
      </c>
      <c r="G10" s="194" t="s">
        <v>380</v>
      </c>
      <c r="H10" s="194" t="s">
        <v>381</v>
      </c>
      <c r="I10" s="194" t="s">
        <v>413</v>
      </c>
      <c r="J10" s="194">
        <v>29.782319999999999</v>
      </c>
      <c r="K10" s="194">
        <v>-95.27</v>
      </c>
      <c r="L10" s="194" t="s">
        <v>383</v>
      </c>
      <c r="M10" s="194" t="s">
        <v>417</v>
      </c>
      <c r="N10" s="194" t="s">
        <v>397</v>
      </c>
      <c r="O10" s="194" t="s">
        <v>418</v>
      </c>
      <c r="P10" s="194" t="s">
        <v>387</v>
      </c>
      <c r="Q10" s="194" t="s">
        <v>106</v>
      </c>
      <c r="R10" s="194" t="s">
        <v>419</v>
      </c>
      <c r="S10" s="194">
        <v>0</v>
      </c>
      <c r="T10" s="194">
        <v>0</v>
      </c>
      <c r="U10" s="194">
        <v>0</v>
      </c>
      <c r="V10" s="194">
        <v>0</v>
      </c>
      <c r="W10" s="194">
        <v>0</v>
      </c>
      <c r="X10" s="194">
        <v>1</v>
      </c>
      <c r="Y10" s="194">
        <v>0</v>
      </c>
      <c r="Z10" s="194">
        <v>0</v>
      </c>
      <c r="AA10" s="194">
        <v>0</v>
      </c>
      <c r="AB10" s="194">
        <v>0</v>
      </c>
      <c r="AC10" s="194">
        <v>0</v>
      </c>
      <c r="AD10" s="194">
        <v>1</v>
      </c>
      <c r="AE10" s="194">
        <v>0</v>
      </c>
      <c r="AF10" s="194">
        <v>0</v>
      </c>
      <c r="AG10" s="194">
        <v>0</v>
      </c>
      <c r="AH10" s="194">
        <v>0</v>
      </c>
      <c r="AI10" s="194">
        <v>0</v>
      </c>
      <c r="AJ10" s="194">
        <v>0</v>
      </c>
      <c r="AK10" s="194">
        <v>0</v>
      </c>
      <c r="AL10" s="194">
        <v>0</v>
      </c>
      <c r="AM10" s="194">
        <v>0</v>
      </c>
      <c r="AN10" s="194">
        <v>0</v>
      </c>
      <c r="AO10" s="194">
        <v>0</v>
      </c>
      <c r="AP10" s="194">
        <v>0</v>
      </c>
      <c r="AQ10" s="194">
        <v>0</v>
      </c>
      <c r="AR10" s="194">
        <v>0</v>
      </c>
      <c r="AS10" s="194">
        <v>0</v>
      </c>
      <c r="AT10" s="194">
        <v>0</v>
      </c>
      <c r="AU10" s="194" t="s">
        <v>52</v>
      </c>
      <c r="AV10" s="194" t="s">
        <v>389</v>
      </c>
      <c r="AW10" s="194" t="s">
        <v>390</v>
      </c>
      <c r="AX10" s="194" t="s">
        <v>391</v>
      </c>
      <c r="AY10" s="194">
        <v>77029</v>
      </c>
      <c r="AZ10" s="196">
        <v>48200000000</v>
      </c>
      <c r="BA10" s="194" t="s">
        <v>392</v>
      </c>
      <c r="BB10" s="194" t="s">
        <v>393</v>
      </c>
      <c r="BC10" s="194">
        <v>57559</v>
      </c>
      <c r="BD10" s="194">
        <v>8664</v>
      </c>
      <c r="BE10" s="194" t="s">
        <v>395</v>
      </c>
      <c r="BF10" s="194" t="s">
        <v>395</v>
      </c>
      <c r="BG10" s="194" t="s">
        <v>395</v>
      </c>
    </row>
    <row r="11" spans="1:59" x14ac:dyDescent="0.3">
      <c r="A11" s="194">
        <v>332938</v>
      </c>
      <c r="B11" s="194">
        <v>17654553</v>
      </c>
      <c r="C11" s="194">
        <v>2020</v>
      </c>
      <c r="D11" s="195">
        <v>43927</v>
      </c>
      <c r="E11" s="194">
        <v>17</v>
      </c>
      <c r="F11" s="194" t="s">
        <v>420</v>
      </c>
      <c r="G11" s="194" t="s">
        <v>380</v>
      </c>
      <c r="H11" s="194" t="s">
        <v>381</v>
      </c>
      <c r="I11" s="194" t="s">
        <v>403</v>
      </c>
      <c r="J11" s="194">
        <v>29.782160000000001</v>
      </c>
      <c r="K11" s="194">
        <v>-95.270200000000003</v>
      </c>
      <c r="L11" s="194" t="s">
        <v>421</v>
      </c>
      <c r="M11" s="194" t="s">
        <v>384</v>
      </c>
      <c r="N11" s="194" t="s">
        <v>385</v>
      </c>
      <c r="O11" s="194" t="s">
        <v>418</v>
      </c>
      <c r="P11" s="194" t="s">
        <v>419</v>
      </c>
      <c r="Q11" s="194" t="s">
        <v>102</v>
      </c>
      <c r="R11" s="194" t="s">
        <v>422</v>
      </c>
      <c r="S11" s="194">
        <v>0</v>
      </c>
      <c r="T11" s="194">
        <v>0</v>
      </c>
      <c r="U11" s="194">
        <v>0</v>
      </c>
      <c r="V11" s="194">
        <v>0</v>
      </c>
      <c r="W11" s="194">
        <v>0</v>
      </c>
      <c r="X11" s="194">
        <v>0</v>
      </c>
      <c r="Y11" s="194">
        <v>1</v>
      </c>
      <c r="Z11" s="194">
        <v>0</v>
      </c>
      <c r="AA11" s="194">
        <v>0</v>
      </c>
      <c r="AB11" s="194">
        <v>0</v>
      </c>
      <c r="AC11" s="194">
        <v>0</v>
      </c>
      <c r="AD11" s="194">
        <v>0</v>
      </c>
      <c r="AE11" s="194">
        <v>0</v>
      </c>
      <c r="AF11" s="194">
        <v>1</v>
      </c>
      <c r="AG11" s="194">
        <v>0</v>
      </c>
      <c r="AH11" s="194">
        <v>0</v>
      </c>
      <c r="AI11" s="194">
        <v>0</v>
      </c>
      <c r="AJ11" s="194">
        <v>0</v>
      </c>
      <c r="AK11" s="194">
        <v>0</v>
      </c>
      <c r="AL11" s="194">
        <v>0</v>
      </c>
      <c r="AM11" s="194">
        <v>0</v>
      </c>
      <c r="AN11" s="194">
        <v>0</v>
      </c>
      <c r="AO11" s="194">
        <v>0</v>
      </c>
      <c r="AP11" s="194">
        <v>0</v>
      </c>
      <c r="AQ11" s="194">
        <v>0</v>
      </c>
      <c r="AR11" s="194">
        <v>0</v>
      </c>
      <c r="AS11" s="194">
        <v>0</v>
      </c>
      <c r="AT11" s="194">
        <v>0</v>
      </c>
      <c r="AU11" s="194" t="s">
        <v>52</v>
      </c>
      <c r="AV11" s="194" t="s">
        <v>389</v>
      </c>
      <c r="AW11" s="194" t="s">
        <v>390</v>
      </c>
      <c r="AX11" s="194" t="s">
        <v>391</v>
      </c>
      <c r="AY11" s="194">
        <v>77029</v>
      </c>
      <c r="AZ11" s="196">
        <v>48200000000</v>
      </c>
      <c r="BA11" s="194" t="s">
        <v>392</v>
      </c>
      <c r="BB11" s="194" t="s">
        <v>393</v>
      </c>
      <c r="BC11" s="194">
        <v>57559</v>
      </c>
      <c r="BD11" s="194">
        <v>8664</v>
      </c>
      <c r="BE11" s="194" t="s">
        <v>395</v>
      </c>
      <c r="BF11" s="194" t="s">
        <v>395</v>
      </c>
      <c r="BG11" s="194" t="s">
        <v>395</v>
      </c>
    </row>
    <row r="12" spans="1:59" x14ac:dyDescent="0.3">
      <c r="A12" s="194">
        <v>556865</v>
      </c>
      <c r="B12" s="194">
        <v>18562485</v>
      </c>
      <c r="C12" s="194">
        <v>2021</v>
      </c>
      <c r="D12" s="194" t="s">
        <v>402</v>
      </c>
      <c r="E12" s="194">
        <v>12</v>
      </c>
      <c r="F12" s="194" t="s">
        <v>412</v>
      </c>
      <c r="G12" s="194" t="s">
        <v>380</v>
      </c>
      <c r="H12" s="194" t="s">
        <v>381</v>
      </c>
      <c r="I12" s="194" t="s">
        <v>423</v>
      </c>
      <c r="J12" s="194">
        <v>29.783619999999999</v>
      </c>
      <c r="K12" s="194">
        <v>-95.267899999999997</v>
      </c>
      <c r="L12" s="194" t="s">
        <v>383</v>
      </c>
      <c r="M12" s="194" t="s">
        <v>384</v>
      </c>
      <c r="N12" s="194" t="s">
        <v>385</v>
      </c>
      <c r="O12" s="194" t="s">
        <v>418</v>
      </c>
      <c r="P12" s="194" t="s">
        <v>387</v>
      </c>
      <c r="Q12" s="194" t="s">
        <v>102</v>
      </c>
      <c r="R12" s="194" t="s">
        <v>424</v>
      </c>
      <c r="S12" s="194">
        <v>0</v>
      </c>
      <c r="T12" s="194">
        <v>0</v>
      </c>
      <c r="U12" s="194">
        <v>0</v>
      </c>
      <c r="V12" s="194">
        <v>0</v>
      </c>
      <c r="W12" s="194">
        <v>0</v>
      </c>
      <c r="X12" s="194">
        <v>1</v>
      </c>
      <c r="Y12" s="194">
        <v>0</v>
      </c>
      <c r="Z12" s="194">
        <v>0</v>
      </c>
      <c r="AA12" s="194">
        <v>0</v>
      </c>
      <c r="AB12" s="194">
        <v>0</v>
      </c>
      <c r="AC12" s="194">
        <v>0</v>
      </c>
      <c r="AD12" s="194">
        <v>1</v>
      </c>
      <c r="AE12" s="194">
        <v>0</v>
      </c>
      <c r="AF12" s="194">
        <v>0</v>
      </c>
      <c r="AG12" s="194">
        <v>0</v>
      </c>
      <c r="AH12" s="194">
        <v>0</v>
      </c>
      <c r="AI12" s="194">
        <v>0</v>
      </c>
      <c r="AJ12" s="194">
        <v>0</v>
      </c>
      <c r="AK12" s="194">
        <v>0</v>
      </c>
      <c r="AL12" s="194">
        <v>0</v>
      </c>
      <c r="AM12" s="194">
        <v>0</v>
      </c>
      <c r="AN12" s="194">
        <v>0</v>
      </c>
      <c r="AO12" s="194">
        <v>0</v>
      </c>
      <c r="AP12" s="194">
        <v>0</v>
      </c>
      <c r="AQ12" s="194">
        <v>0</v>
      </c>
      <c r="AR12" s="194">
        <v>0</v>
      </c>
      <c r="AS12" s="194">
        <v>0</v>
      </c>
      <c r="AT12" s="194">
        <v>0</v>
      </c>
      <c r="AU12" s="194" t="s">
        <v>52</v>
      </c>
      <c r="AV12" s="194" t="s">
        <v>389</v>
      </c>
      <c r="AW12" s="194" t="s">
        <v>390</v>
      </c>
      <c r="AX12" s="194" t="s">
        <v>391</v>
      </c>
      <c r="AY12" s="194">
        <v>77029</v>
      </c>
      <c r="AZ12" s="196">
        <v>48200000000</v>
      </c>
      <c r="BA12" s="194" t="s">
        <v>392</v>
      </c>
      <c r="BB12" s="194" t="s">
        <v>393</v>
      </c>
      <c r="BC12" s="194">
        <v>162719</v>
      </c>
      <c r="BD12" s="194">
        <v>8664</v>
      </c>
      <c r="BE12" s="194" t="s">
        <v>395</v>
      </c>
      <c r="BF12" s="194" t="s">
        <v>395</v>
      </c>
      <c r="BG12" s="194" t="s">
        <v>395</v>
      </c>
    </row>
    <row r="13" spans="1:59" x14ac:dyDescent="0.3">
      <c r="A13" s="194">
        <v>659054</v>
      </c>
      <c r="B13" s="194">
        <v>18967607</v>
      </c>
      <c r="C13" s="194">
        <v>2022</v>
      </c>
      <c r="D13" s="194" t="s">
        <v>402</v>
      </c>
      <c r="E13" s="194">
        <v>3</v>
      </c>
      <c r="F13" s="194" t="s">
        <v>420</v>
      </c>
      <c r="G13" s="194" t="s">
        <v>380</v>
      </c>
      <c r="H13" s="194" t="s">
        <v>381</v>
      </c>
      <c r="I13" s="194" t="s">
        <v>415</v>
      </c>
      <c r="J13" s="194">
        <v>29.784079999999999</v>
      </c>
      <c r="K13" s="194">
        <v>-95.266499999999994</v>
      </c>
      <c r="L13" s="194" t="s">
        <v>383</v>
      </c>
      <c r="M13" s="194" t="s">
        <v>425</v>
      </c>
      <c r="N13" s="194" t="s">
        <v>385</v>
      </c>
      <c r="O13" s="194" t="s">
        <v>418</v>
      </c>
      <c r="P13" s="194" t="s">
        <v>387</v>
      </c>
      <c r="Q13" s="194" t="s">
        <v>102</v>
      </c>
      <c r="R13" s="194" t="s">
        <v>388</v>
      </c>
      <c r="S13" s="194">
        <v>0</v>
      </c>
      <c r="T13" s="194">
        <v>0</v>
      </c>
      <c r="U13" s="194">
        <v>0</v>
      </c>
      <c r="V13" s="194">
        <v>0</v>
      </c>
      <c r="W13" s="194">
        <v>0</v>
      </c>
      <c r="X13" s="194">
        <v>1</v>
      </c>
      <c r="Y13" s="194">
        <v>0</v>
      </c>
      <c r="Z13" s="194">
        <v>0</v>
      </c>
      <c r="AA13" s="194">
        <v>0</v>
      </c>
      <c r="AB13" s="194">
        <v>0</v>
      </c>
      <c r="AC13" s="194">
        <v>0</v>
      </c>
      <c r="AD13" s="194">
        <v>1</v>
      </c>
      <c r="AE13" s="194">
        <v>0</v>
      </c>
      <c r="AF13" s="194">
        <v>0</v>
      </c>
      <c r="AG13" s="194">
        <v>0</v>
      </c>
      <c r="AH13" s="194">
        <v>0</v>
      </c>
      <c r="AI13" s="194">
        <v>0</v>
      </c>
      <c r="AJ13" s="194">
        <v>0</v>
      </c>
      <c r="AK13" s="194">
        <v>0</v>
      </c>
      <c r="AL13" s="194">
        <v>0</v>
      </c>
      <c r="AM13" s="194">
        <v>0</v>
      </c>
      <c r="AN13" s="194">
        <v>0</v>
      </c>
      <c r="AO13" s="194">
        <v>0</v>
      </c>
      <c r="AP13" s="194">
        <v>0</v>
      </c>
      <c r="AQ13" s="194">
        <v>0</v>
      </c>
      <c r="AR13" s="194">
        <v>0</v>
      </c>
      <c r="AS13" s="194">
        <v>0</v>
      </c>
      <c r="AT13" s="194">
        <v>0</v>
      </c>
      <c r="AU13" s="194" t="s">
        <v>52</v>
      </c>
      <c r="AV13" s="194" t="s">
        <v>389</v>
      </c>
      <c r="AW13" s="194" t="s">
        <v>390</v>
      </c>
      <c r="AX13" s="194" t="s">
        <v>391</v>
      </c>
      <c r="AY13" s="194">
        <v>77029</v>
      </c>
      <c r="AZ13" s="196">
        <v>48200000000</v>
      </c>
      <c r="BA13" s="194" t="s">
        <v>392</v>
      </c>
      <c r="BB13" s="194" t="s">
        <v>393</v>
      </c>
      <c r="BC13" s="194">
        <v>162939</v>
      </c>
      <c r="BD13" s="194">
        <v>8664</v>
      </c>
      <c r="BE13" s="194" t="s">
        <v>395</v>
      </c>
      <c r="BF13" s="194" t="s">
        <v>395</v>
      </c>
      <c r="BG13" s="194" t="s">
        <v>395</v>
      </c>
    </row>
    <row r="14" spans="1:59" x14ac:dyDescent="0.3">
      <c r="A14" s="194">
        <v>702110</v>
      </c>
      <c r="B14" s="194">
        <v>19139623</v>
      </c>
      <c r="C14" s="194">
        <v>2022</v>
      </c>
      <c r="D14" s="194" t="s">
        <v>402</v>
      </c>
      <c r="E14" s="194">
        <v>11</v>
      </c>
      <c r="F14" s="194" t="s">
        <v>412</v>
      </c>
      <c r="G14" s="194" t="s">
        <v>380</v>
      </c>
      <c r="H14" s="194" t="s">
        <v>381</v>
      </c>
      <c r="I14" s="194" t="s">
        <v>423</v>
      </c>
      <c r="J14" s="194">
        <v>29.78444</v>
      </c>
      <c r="K14" s="194">
        <v>-95.265299999999996</v>
      </c>
      <c r="L14" s="194" t="s">
        <v>416</v>
      </c>
      <c r="M14" s="194" t="s">
        <v>384</v>
      </c>
      <c r="N14" s="194" t="s">
        <v>426</v>
      </c>
      <c r="O14" s="194" t="s">
        <v>386</v>
      </c>
      <c r="P14" s="194" t="s">
        <v>427</v>
      </c>
      <c r="Q14" s="194" t="s">
        <v>103</v>
      </c>
      <c r="R14" s="194" t="s">
        <v>428</v>
      </c>
      <c r="S14" s="194">
        <v>0</v>
      </c>
      <c r="T14" s="194">
        <v>1</v>
      </c>
      <c r="U14" s="194">
        <v>0</v>
      </c>
      <c r="V14" s="194">
        <v>0</v>
      </c>
      <c r="W14" s="194">
        <v>1</v>
      </c>
      <c r="X14" s="194">
        <v>4</v>
      </c>
      <c r="Y14" s="194">
        <v>0</v>
      </c>
      <c r="Z14" s="194">
        <v>0</v>
      </c>
      <c r="AA14" s="194">
        <v>1</v>
      </c>
      <c r="AB14" s="194">
        <v>0</v>
      </c>
      <c r="AC14" s="194">
        <v>0</v>
      </c>
      <c r="AD14" s="194">
        <v>4</v>
      </c>
      <c r="AE14" s="194">
        <v>1</v>
      </c>
      <c r="AF14" s="194">
        <v>0</v>
      </c>
      <c r="AG14" s="194">
        <v>0</v>
      </c>
      <c r="AH14" s="194">
        <v>0</v>
      </c>
      <c r="AI14" s="194">
        <v>0</v>
      </c>
      <c r="AJ14" s="194">
        <v>0</v>
      </c>
      <c r="AK14" s="194">
        <v>0</v>
      </c>
      <c r="AL14" s="194">
        <v>0</v>
      </c>
      <c r="AM14" s="194">
        <v>0</v>
      </c>
      <c r="AN14" s="194">
        <v>0</v>
      </c>
      <c r="AO14" s="194">
        <v>0</v>
      </c>
      <c r="AP14" s="194">
        <v>0</v>
      </c>
      <c r="AQ14" s="194">
        <v>0</v>
      </c>
      <c r="AR14" s="194">
        <v>0</v>
      </c>
      <c r="AS14" s="194">
        <v>0</v>
      </c>
      <c r="AT14" s="194">
        <v>0</v>
      </c>
      <c r="AU14" s="194" t="s">
        <v>52</v>
      </c>
      <c r="AV14" s="194" t="s">
        <v>389</v>
      </c>
      <c r="AW14" s="194" t="s">
        <v>390</v>
      </c>
      <c r="AX14" s="194" t="s">
        <v>391</v>
      </c>
      <c r="AY14" s="194">
        <v>77029</v>
      </c>
      <c r="AZ14" s="196">
        <v>48200000000</v>
      </c>
      <c r="BA14" s="194" t="s">
        <v>392</v>
      </c>
      <c r="BB14" s="194" t="s">
        <v>393</v>
      </c>
      <c r="BC14" s="194">
        <v>162939</v>
      </c>
      <c r="BD14" s="194">
        <v>8664</v>
      </c>
      <c r="BE14" s="194" t="s">
        <v>395</v>
      </c>
      <c r="BF14" s="194" t="s">
        <v>395</v>
      </c>
      <c r="BG14" s="194" t="s">
        <v>395</v>
      </c>
    </row>
    <row r="15" spans="1:59" x14ac:dyDescent="0.3">
      <c r="A15" s="194">
        <v>715236</v>
      </c>
      <c r="B15" s="194">
        <v>19194696</v>
      </c>
      <c r="C15" s="194">
        <v>2022</v>
      </c>
      <c r="D15" s="194" t="s">
        <v>402</v>
      </c>
      <c r="E15" s="194">
        <v>8</v>
      </c>
      <c r="F15" s="194" t="s">
        <v>410</v>
      </c>
      <c r="G15" s="194" t="s">
        <v>380</v>
      </c>
      <c r="H15" s="194" t="s">
        <v>381</v>
      </c>
      <c r="I15" s="194" t="s">
        <v>400</v>
      </c>
      <c r="J15" s="194">
        <v>29.782219999999999</v>
      </c>
      <c r="K15" s="194">
        <v>-95.269900000000007</v>
      </c>
      <c r="L15" s="194" t="s">
        <v>383</v>
      </c>
      <c r="M15" s="194" t="s">
        <v>417</v>
      </c>
      <c r="N15" s="194" t="s">
        <v>385</v>
      </c>
      <c r="O15" s="194" t="s">
        <v>386</v>
      </c>
      <c r="P15" s="194" t="s">
        <v>387</v>
      </c>
      <c r="Q15" s="194" t="s">
        <v>102</v>
      </c>
      <c r="R15" s="194" t="s">
        <v>388</v>
      </c>
      <c r="S15" s="194">
        <v>0</v>
      </c>
      <c r="T15" s="194">
        <v>0</v>
      </c>
      <c r="U15" s="194">
        <v>0</v>
      </c>
      <c r="V15" s="194">
        <v>0</v>
      </c>
      <c r="W15" s="194">
        <v>0</v>
      </c>
      <c r="X15" s="194">
        <v>2</v>
      </c>
      <c r="Y15" s="194">
        <v>0</v>
      </c>
      <c r="Z15" s="194">
        <v>0</v>
      </c>
      <c r="AA15" s="194">
        <v>0</v>
      </c>
      <c r="AB15" s="194">
        <v>0</v>
      </c>
      <c r="AC15" s="194">
        <v>0</v>
      </c>
      <c r="AD15" s="194">
        <v>2</v>
      </c>
      <c r="AE15" s="194">
        <v>0</v>
      </c>
      <c r="AF15" s="194">
        <v>0</v>
      </c>
      <c r="AG15" s="194">
        <v>0</v>
      </c>
      <c r="AH15" s="194">
        <v>0</v>
      </c>
      <c r="AI15" s="194">
        <v>0</v>
      </c>
      <c r="AJ15" s="194">
        <v>0</v>
      </c>
      <c r="AK15" s="194">
        <v>0</v>
      </c>
      <c r="AL15" s="194">
        <v>0</v>
      </c>
      <c r="AM15" s="194">
        <v>0</v>
      </c>
      <c r="AN15" s="194">
        <v>0</v>
      </c>
      <c r="AO15" s="194">
        <v>0</v>
      </c>
      <c r="AP15" s="194">
        <v>0</v>
      </c>
      <c r="AQ15" s="194">
        <v>0</v>
      </c>
      <c r="AR15" s="194">
        <v>0</v>
      </c>
      <c r="AS15" s="194">
        <v>0</v>
      </c>
      <c r="AT15" s="194">
        <v>0</v>
      </c>
      <c r="AU15" s="194" t="s">
        <v>52</v>
      </c>
      <c r="AV15" s="194" t="s">
        <v>389</v>
      </c>
      <c r="AW15" s="194" t="s">
        <v>390</v>
      </c>
      <c r="AX15" s="194" t="s">
        <v>391</v>
      </c>
      <c r="AY15" s="194">
        <v>77029</v>
      </c>
      <c r="AZ15" s="196">
        <v>48200000000</v>
      </c>
      <c r="BA15" s="194" t="s">
        <v>392</v>
      </c>
      <c r="BB15" s="194" t="s">
        <v>393</v>
      </c>
      <c r="BC15" s="194">
        <v>57559</v>
      </c>
      <c r="BD15" s="194">
        <v>8664</v>
      </c>
      <c r="BE15" s="194" t="s">
        <v>407</v>
      </c>
      <c r="BF15" s="194" t="s">
        <v>395</v>
      </c>
      <c r="BG15" s="194" t="s">
        <v>395</v>
      </c>
    </row>
    <row r="16" spans="1:59" x14ac:dyDescent="0.3">
      <c r="A16" s="194">
        <v>742997</v>
      </c>
      <c r="B16" s="194">
        <v>19304552</v>
      </c>
      <c r="C16" s="194">
        <v>2022</v>
      </c>
      <c r="D16" s="194" t="s">
        <v>402</v>
      </c>
      <c r="E16" s="194">
        <v>16</v>
      </c>
      <c r="F16" s="194" t="s">
        <v>410</v>
      </c>
      <c r="G16" s="194" t="s">
        <v>429</v>
      </c>
      <c r="H16" s="194" t="s">
        <v>381</v>
      </c>
      <c r="I16" s="194" t="s">
        <v>403</v>
      </c>
      <c r="J16" s="194">
        <v>29.77778</v>
      </c>
      <c r="K16" s="194">
        <v>-95.271799999999999</v>
      </c>
      <c r="L16" s="194" t="s">
        <v>383</v>
      </c>
      <c r="M16" s="194" t="s">
        <v>384</v>
      </c>
      <c r="N16" s="194" t="s">
        <v>397</v>
      </c>
      <c r="O16" s="194" t="s">
        <v>418</v>
      </c>
      <c r="P16" s="194" t="s">
        <v>387</v>
      </c>
      <c r="Q16" s="194" t="s">
        <v>106</v>
      </c>
      <c r="R16" s="194" t="s">
        <v>430</v>
      </c>
      <c r="S16" s="194">
        <v>0</v>
      </c>
      <c r="T16" s="194">
        <v>0</v>
      </c>
      <c r="U16" s="194">
        <v>0</v>
      </c>
      <c r="V16" s="194">
        <v>0</v>
      </c>
      <c r="W16" s="194">
        <v>0</v>
      </c>
      <c r="X16" s="194">
        <v>5</v>
      </c>
      <c r="Y16" s="194">
        <v>0</v>
      </c>
      <c r="Z16" s="194">
        <v>0</v>
      </c>
      <c r="AA16" s="194">
        <v>0</v>
      </c>
      <c r="AB16" s="194">
        <v>0</v>
      </c>
      <c r="AC16" s="194">
        <v>0</v>
      </c>
      <c r="AD16" s="194">
        <v>5</v>
      </c>
      <c r="AE16" s="194">
        <v>0</v>
      </c>
      <c r="AF16" s="194">
        <v>0</v>
      </c>
      <c r="AG16" s="194">
        <v>0</v>
      </c>
      <c r="AH16" s="194">
        <v>0</v>
      </c>
      <c r="AI16" s="194">
        <v>0</v>
      </c>
      <c r="AJ16" s="194">
        <v>0</v>
      </c>
      <c r="AK16" s="194">
        <v>0</v>
      </c>
      <c r="AL16" s="194">
        <v>0</v>
      </c>
      <c r="AM16" s="194">
        <v>0</v>
      </c>
      <c r="AN16" s="194">
        <v>0</v>
      </c>
      <c r="AO16" s="194">
        <v>0</v>
      </c>
      <c r="AP16" s="194">
        <v>0</v>
      </c>
      <c r="AQ16" s="194">
        <v>0</v>
      </c>
      <c r="AR16" s="194">
        <v>0</v>
      </c>
      <c r="AS16" s="194">
        <v>0</v>
      </c>
      <c r="AT16" s="194">
        <v>0</v>
      </c>
      <c r="AU16" s="194" t="s">
        <v>52</v>
      </c>
      <c r="AV16" s="194" t="s">
        <v>389</v>
      </c>
      <c r="AW16" s="194" t="s">
        <v>390</v>
      </c>
      <c r="AX16" s="194" t="s">
        <v>391</v>
      </c>
      <c r="AY16" s="194">
        <v>77029</v>
      </c>
      <c r="AZ16" s="196">
        <v>48200000000</v>
      </c>
      <c r="BA16" s="194" t="s">
        <v>392</v>
      </c>
      <c r="BB16" s="194" t="s">
        <v>393</v>
      </c>
      <c r="BC16" s="194">
        <v>57339</v>
      </c>
      <c r="BD16" s="194">
        <v>8612</v>
      </c>
      <c r="BE16" s="194" t="s">
        <v>395</v>
      </c>
      <c r="BF16" s="194" t="s">
        <v>395</v>
      </c>
      <c r="BG16" s="194" t="s">
        <v>395</v>
      </c>
    </row>
    <row r="17" spans="1:59" x14ac:dyDescent="0.3">
      <c r="A17" s="194">
        <v>745028</v>
      </c>
      <c r="B17" s="194">
        <v>19313019</v>
      </c>
      <c r="C17" s="194">
        <v>2022</v>
      </c>
      <c r="D17" s="194" t="s">
        <v>402</v>
      </c>
      <c r="E17" s="194">
        <v>9</v>
      </c>
      <c r="F17" s="194" t="s">
        <v>412</v>
      </c>
      <c r="G17" s="194" t="s">
        <v>380</v>
      </c>
      <c r="H17" s="194" t="s">
        <v>381</v>
      </c>
      <c r="I17" s="194" t="s">
        <v>403</v>
      </c>
      <c r="J17" s="194">
        <v>29.782319999999999</v>
      </c>
      <c r="K17" s="194">
        <v>-95.27</v>
      </c>
      <c r="L17" s="194" t="s">
        <v>416</v>
      </c>
      <c r="M17" s="194" t="s">
        <v>384</v>
      </c>
      <c r="N17" s="194" t="s">
        <v>408</v>
      </c>
      <c r="O17" s="194" t="s">
        <v>386</v>
      </c>
      <c r="P17" s="194" t="s">
        <v>419</v>
      </c>
      <c r="Q17" s="194" t="s">
        <v>102</v>
      </c>
      <c r="R17" s="194" t="s">
        <v>431</v>
      </c>
      <c r="S17" s="194">
        <v>0</v>
      </c>
      <c r="T17" s="194">
        <v>0</v>
      </c>
      <c r="U17" s="194">
        <v>0</v>
      </c>
      <c r="V17" s="194">
        <v>0</v>
      </c>
      <c r="W17" s="194">
        <v>0</v>
      </c>
      <c r="X17" s="194">
        <v>0</v>
      </c>
      <c r="Y17" s="194">
        <v>2</v>
      </c>
      <c r="Z17" s="194">
        <v>0</v>
      </c>
      <c r="AA17" s="194">
        <v>0</v>
      </c>
      <c r="AB17" s="194">
        <v>0</v>
      </c>
      <c r="AC17" s="194">
        <v>0</v>
      </c>
      <c r="AD17" s="194">
        <v>0</v>
      </c>
      <c r="AE17" s="194">
        <v>0</v>
      </c>
      <c r="AF17" s="194">
        <v>2</v>
      </c>
      <c r="AG17" s="194">
        <v>0</v>
      </c>
      <c r="AH17" s="194">
        <v>0</v>
      </c>
      <c r="AI17" s="194">
        <v>0</v>
      </c>
      <c r="AJ17" s="194">
        <v>0</v>
      </c>
      <c r="AK17" s="194">
        <v>0</v>
      </c>
      <c r="AL17" s="194">
        <v>0</v>
      </c>
      <c r="AM17" s="194">
        <v>0</v>
      </c>
      <c r="AN17" s="194">
        <v>0</v>
      </c>
      <c r="AO17" s="194">
        <v>0</v>
      </c>
      <c r="AP17" s="194">
        <v>0</v>
      </c>
      <c r="AQ17" s="194">
        <v>0</v>
      </c>
      <c r="AR17" s="194">
        <v>0</v>
      </c>
      <c r="AS17" s="194">
        <v>0</v>
      </c>
      <c r="AT17" s="194">
        <v>0</v>
      </c>
      <c r="AU17" s="194" t="s">
        <v>52</v>
      </c>
      <c r="AV17" s="194" t="s">
        <v>389</v>
      </c>
      <c r="AW17" s="194" t="s">
        <v>390</v>
      </c>
      <c r="AX17" s="194" t="s">
        <v>391</v>
      </c>
      <c r="AY17" s="194">
        <v>77029</v>
      </c>
      <c r="AZ17" s="196">
        <v>48200000000</v>
      </c>
      <c r="BA17" s="194" t="s">
        <v>392</v>
      </c>
      <c r="BB17" s="194" t="s">
        <v>393</v>
      </c>
      <c r="BC17" s="194">
        <v>57559</v>
      </c>
      <c r="BD17" s="194">
        <v>8664</v>
      </c>
      <c r="BE17" s="194" t="s">
        <v>395</v>
      </c>
      <c r="BF17" s="194" t="s">
        <v>395</v>
      </c>
      <c r="BG17" s="194" t="s">
        <v>395</v>
      </c>
    </row>
    <row r="18" spans="1:59" x14ac:dyDescent="0.3">
      <c r="D18" s="60"/>
    </row>
    <row r="19" spans="1:59" x14ac:dyDescent="0.3">
      <c r="D19" s="60"/>
    </row>
    <row r="20" spans="1:59" x14ac:dyDescent="0.3">
      <c r="D20" s="60"/>
    </row>
    <row r="21" spans="1:59" x14ac:dyDescent="0.3">
      <c r="D21" s="60"/>
    </row>
    <row r="22" spans="1:59" x14ac:dyDescent="0.3">
      <c r="D22" s="60"/>
    </row>
    <row r="23" spans="1:59" x14ac:dyDescent="0.3">
      <c r="D23" s="60"/>
    </row>
    <row r="24" spans="1:59" x14ac:dyDescent="0.3">
      <c r="D24" s="60"/>
    </row>
    <row r="25" spans="1:59" x14ac:dyDescent="0.3">
      <c r="D25" s="60"/>
    </row>
    <row r="26" spans="1:59" x14ac:dyDescent="0.3">
      <c r="D26" s="60"/>
    </row>
    <row r="27" spans="1:59" x14ac:dyDescent="0.3">
      <c r="D27" s="60"/>
    </row>
    <row r="28" spans="1:59" x14ac:dyDescent="0.3">
      <c r="D28" s="60"/>
    </row>
    <row r="29" spans="1:59" x14ac:dyDescent="0.3">
      <c r="D29" s="60"/>
    </row>
    <row r="30" spans="1:59" x14ac:dyDescent="0.3">
      <c r="D30" s="60"/>
    </row>
    <row r="31" spans="1:59" x14ac:dyDescent="0.3">
      <c r="D31" s="60"/>
    </row>
    <row r="32" spans="1:59" x14ac:dyDescent="0.3">
      <c r="D32" s="60"/>
    </row>
    <row r="33" spans="4:4" x14ac:dyDescent="0.3">
      <c r="D33" s="60"/>
    </row>
    <row r="34" spans="4:4" x14ac:dyDescent="0.3">
      <c r="D34" s="60"/>
    </row>
    <row r="35" spans="4:4" x14ac:dyDescent="0.3">
      <c r="D35" s="60"/>
    </row>
    <row r="36" spans="4:4" x14ac:dyDescent="0.3">
      <c r="D36" s="60"/>
    </row>
    <row r="37" spans="4:4" x14ac:dyDescent="0.3">
      <c r="D37" s="60"/>
    </row>
    <row r="38" spans="4:4" x14ac:dyDescent="0.3">
      <c r="D38" s="60"/>
    </row>
    <row r="39" spans="4:4" x14ac:dyDescent="0.3">
      <c r="D39" s="60"/>
    </row>
    <row r="40" spans="4:4" x14ac:dyDescent="0.3">
      <c r="D40" s="60"/>
    </row>
    <row r="41" spans="4:4" x14ac:dyDescent="0.3">
      <c r="D41" s="60"/>
    </row>
    <row r="42" spans="4:4" x14ac:dyDescent="0.3">
      <c r="D42" s="60"/>
    </row>
    <row r="43" spans="4:4" x14ac:dyDescent="0.3">
      <c r="D43" s="60"/>
    </row>
    <row r="44" spans="4:4" x14ac:dyDescent="0.3">
      <c r="D44" s="60"/>
    </row>
    <row r="45" spans="4:4" x14ac:dyDescent="0.3">
      <c r="D45" s="60"/>
    </row>
    <row r="46" spans="4:4" x14ac:dyDescent="0.3">
      <c r="D46" s="60"/>
    </row>
    <row r="47" spans="4:4" x14ac:dyDescent="0.3">
      <c r="D47" s="60"/>
    </row>
    <row r="48" spans="4:4" x14ac:dyDescent="0.3">
      <c r="D48" s="60"/>
    </row>
    <row r="49" spans="4:4" x14ac:dyDescent="0.3">
      <c r="D49" s="60"/>
    </row>
    <row r="50" spans="4:4" x14ac:dyDescent="0.3">
      <c r="D50" s="60"/>
    </row>
    <row r="51" spans="4:4" x14ac:dyDescent="0.3">
      <c r="D51" s="60"/>
    </row>
    <row r="52" spans="4:4" x14ac:dyDescent="0.3">
      <c r="D52" s="60"/>
    </row>
    <row r="53" spans="4:4" x14ac:dyDescent="0.3">
      <c r="D53" s="60"/>
    </row>
    <row r="54" spans="4:4" x14ac:dyDescent="0.3">
      <c r="D54" s="60"/>
    </row>
    <row r="55" spans="4:4" x14ac:dyDescent="0.3">
      <c r="D55" s="60"/>
    </row>
    <row r="56" spans="4:4" x14ac:dyDescent="0.3">
      <c r="D56" s="60"/>
    </row>
    <row r="57" spans="4:4" x14ac:dyDescent="0.3">
      <c r="D57" s="60"/>
    </row>
    <row r="58" spans="4:4" x14ac:dyDescent="0.3">
      <c r="D58" s="60"/>
    </row>
    <row r="59" spans="4:4" x14ac:dyDescent="0.3">
      <c r="D59" s="60"/>
    </row>
    <row r="60" spans="4:4" x14ac:dyDescent="0.3">
      <c r="D60" s="60"/>
    </row>
    <row r="61" spans="4:4" x14ac:dyDescent="0.3">
      <c r="D61" s="60"/>
    </row>
    <row r="62" spans="4:4" x14ac:dyDescent="0.3">
      <c r="D62" s="60"/>
    </row>
    <row r="63" spans="4:4" x14ac:dyDescent="0.3">
      <c r="D63" s="60"/>
    </row>
    <row r="64" spans="4:4" x14ac:dyDescent="0.3">
      <c r="D64" s="60"/>
    </row>
    <row r="65" spans="4:4" x14ac:dyDescent="0.3">
      <c r="D65" s="60"/>
    </row>
    <row r="66" spans="4:4" x14ac:dyDescent="0.3">
      <c r="D66" s="60"/>
    </row>
    <row r="67" spans="4:4" x14ac:dyDescent="0.3">
      <c r="D67" s="60"/>
    </row>
    <row r="68" spans="4:4" x14ac:dyDescent="0.3">
      <c r="D68" s="60"/>
    </row>
    <row r="69" spans="4:4" x14ac:dyDescent="0.3">
      <c r="D69" s="60"/>
    </row>
    <row r="70" spans="4:4" x14ac:dyDescent="0.3">
      <c r="D70" s="60"/>
    </row>
    <row r="71" spans="4:4" x14ac:dyDescent="0.3">
      <c r="D71" s="60"/>
    </row>
    <row r="72" spans="4:4" x14ac:dyDescent="0.3">
      <c r="D72" s="60"/>
    </row>
    <row r="73" spans="4:4" x14ac:dyDescent="0.3">
      <c r="D73" s="60"/>
    </row>
    <row r="74" spans="4:4" x14ac:dyDescent="0.3">
      <c r="D74" s="60"/>
    </row>
    <row r="75" spans="4:4" x14ac:dyDescent="0.3">
      <c r="D75" s="60"/>
    </row>
    <row r="76" spans="4:4" x14ac:dyDescent="0.3">
      <c r="D76" s="60"/>
    </row>
    <row r="77" spans="4:4" x14ac:dyDescent="0.3">
      <c r="D77" s="60"/>
    </row>
    <row r="78" spans="4:4" x14ac:dyDescent="0.3">
      <c r="D78" s="60"/>
    </row>
    <row r="79" spans="4:4" x14ac:dyDescent="0.3">
      <c r="D79" s="60"/>
    </row>
    <row r="80" spans="4:4" x14ac:dyDescent="0.3">
      <c r="D80" s="60"/>
    </row>
    <row r="81" spans="4:4" x14ac:dyDescent="0.3">
      <c r="D81" s="60"/>
    </row>
    <row r="82" spans="4:4" x14ac:dyDescent="0.3">
      <c r="D82" s="60"/>
    </row>
    <row r="83" spans="4:4" x14ac:dyDescent="0.3">
      <c r="D83" s="60"/>
    </row>
    <row r="84" spans="4:4" x14ac:dyDescent="0.3">
      <c r="D84" s="60"/>
    </row>
    <row r="85" spans="4:4" x14ac:dyDescent="0.3">
      <c r="D85" s="60"/>
    </row>
    <row r="86" spans="4:4" x14ac:dyDescent="0.3">
      <c r="D86" s="60"/>
    </row>
    <row r="87" spans="4:4" x14ac:dyDescent="0.3">
      <c r="D87" s="60"/>
    </row>
    <row r="88" spans="4:4" x14ac:dyDescent="0.3">
      <c r="D88" s="60"/>
    </row>
    <row r="89" spans="4:4" x14ac:dyDescent="0.3">
      <c r="D89" s="60"/>
    </row>
    <row r="90" spans="4:4" x14ac:dyDescent="0.3">
      <c r="D90" s="60"/>
    </row>
    <row r="91" spans="4:4" x14ac:dyDescent="0.3">
      <c r="D91" s="60"/>
    </row>
    <row r="92" spans="4:4" x14ac:dyDescent="0.3">
      <c r="D92" s="60"/>
    </row>
    <row r="93" spans="4:4" x14ac:dyDescent="0.3">
      <c r="D93" s="60"/>
    </row>
    <row r="94" spans="4:4" x14ac:dyDescent="0.3">
      <c r="D94" s="60"/>
    </row>
    <row r="95" spans="4:4" x14ac:dyDescent="0.3">
      <c r="D95" s="60"/>
    </row>
    <row r="96" spans="4:4" x14ac:dyDescent="0.3">
      <c r="D96" s="60"/>
    </row>
    <row r="97" spans="4:4" x14ac:dyDescent="0.3">
      <c r="D97" s="60"/>
    </row>
    <row r="98" spans="4:4" x14ac:dyDescent="0.3">
      <c r="D98" s="60"/>
    </row>
    <row r="99" spans="4:4" x14ac:dyDescent="0.3">
      <c r="D99" s="60"/>
    </row>
    <row r="100" spans="4:4" x14ac:dyDescent="0.3">
      <c r="D100" s="60"/>
    </row>
    <row r="101" spans="4:4" x14ac:dyDescent="0.3">
      <c r="D101" s="60"/>
    </row>
    <row r="102" spans="4:4" x14ac:dyDescent="0.3">
      <c r="D102" s="60"/>
    </row>
    <row r="103" spans="4:4" x14ac:dyDescent="0.3">
      <c r="D103" s="60"/>
    </row>
    <row r="104" spans="4:4" x14ac:dyDescent="0.3">
      <c r="D104" s="60"/>
    </row>
    <row r="105" spans="4:4" x14ac:dyDescent="0.3">
      <c r="D105" s="60"/>
    </row>
    <row r="106" spans="4:4" x14ac:dyDescent="0.3">
      <c r="D106" s="60"/>
    </row>
    <row r="107" spans="4:4" x14ac:dyDescent="0.3">
      <c r="D107" s="60"/>
    </row>
    <row r="108" spans="4:4" x14ac:dyDescent="0.3">
      <c r="D108" s="60"/>
    </row>
    <row r="109" spans="4:4" x14ac:dyDescent="0.3">
      <c r="D109" s="60"/>
    </row>
    <row r="110" spans="4:4" x14ac:dyDescent="0.3">
      <c r="D110" s="60"/>
    </row>
    <row r="111" spans="4:4" x14ac:dyDescent="0.3">
      <c r="D111" s="60"/>
    </row>
    <row r="112" spans="4:4" x14ac:dyDescent="0.3">
      <c r="D112" s="60"/>
    </row>
    <row r="113" spans="4:4" x14ac:dyDescent="0.3">
      <c r="D113" s="60"/>
    </row>
    <row r="114" spans="4:4" x14ac:dyDescent="0.3">
      <c r="D114" s="60"/>
    </row>
    <row r="115" spans="4:4" x14ac:dyDescent="0.3">
      <c r="D115" s="60"/>
    </row>
    <row r="116" spans="4:4" x14ac:dyDescent="0.3">
      <c r="D116" s="60"/>
    </row>
    <row r="117" spans="4:4" x14ac:dyDescent="0.3">
      <c r="D117" s="60"/>
    </row>
    <row r="118" spans="4:4" x14ac:dyDescent="0.3">
      <c r="D118" s="60"/>
    </row>
    <row r="119" spans="4:4" x14ac:dyDescent="0.3">
      <c r="D119" s="60"/>
    </row>
    <row r="120" spans="4:4" x14ac:dyDescent="0.3">
      <c r="D120" s="60"/>
    </row>
    <row r="121" spans="4:4" x14ac:dyDescent="0.3">
      <c r="D121" s="60"/>
    </row>
    <row r="122" spans="4:4" x14ac:dyDescent="0.3">
      <c r="D122" s="60"/>
    </row>
    <row r="123" spans="4:4" x14ac:dyDescent="0.3">
      <c r="D123" s="60"/>
    </row>
    <row r="124" spans="4:4" x14ac:dyDescent="0.3">
      <c r="D124" s="60"/>
    </row>
    <row r="125" spans="4:4" x14ac:dyDescent="0.3">
      <c r="D125" s="60"/>
    </row>
    <row r="126" spans="4:4" x14ac:dyDescent="0.3">
      <c r="D126" s="60"/>
    </row>
    <row r="127" spans="4:4" x14ac:dyDescent="0.3">
      <c r="D127" s="60"/>
    </row>
    <row r="128" spans="4:4" x14ac:dyDescent="0.3">
      <c r="D128" s="60"/>
    </row>
    <row r="129" spans="4:4" x14ac:dyDescent="0.3">
      <c r="D129" s="60"/>
    </row>
    <row r="130" spans="4:4" x14ac:dyDescent="0.3">
      <c r="D130" s="60"/>
    </row>
    <row r="131" spans="4:4" x14ac:dyDescent="0.3">
      <c r="D131" s="60"/>
    </row>
    <row r="132" spans="4:4" x14ac:dyDescent="0.3">
      <c r="D132" s="60"/>
    </row>
    <row r="133" spans="4:4" x14ac:dyDescent="0.3">
      <c r="D133" s="60"/>
    </row>
    <row r="134" spans="4:4" x14ac:dyDescent="0.3">
      <c r="D134" s="60"/>
    </row>
    <row r="135" spans="4:4" x14ac:dyDescent="0.3">
      <c r="D135" s="60"/>
    </row>
    <row r="136" spans="4:4" x14ac:dyDescent="0.3">
      <c r="D136" s="60"/>
    </row>
    <row r="137" spans="4:4" x14ac:dyDescent="0.3">
      <c r="D137" s="60"/>
    </row>
    <row r="138" spans="4:4" x14ac:dyDescent="0.3">
      <c r="D138" s="60"/>
    </row>
    <row r="139" spans="4:4" x14ac:dyDescent="0.3">
      <c r="D139" s="60"/>
    </row>
    <row r="140" spans="4:4" x14ac:dyDescent="0.3">
      <c r="D140" s="60"/>
    </row>
    <row r="141" spans="4:4" x14ac:dyDescent="0.3">
      <c r="D141" s="60"/>
    </row>
    <row r="142" spans="4:4" x14ac:dyDescent="0.3">
      <c r="D142" s="60"/>
    </row>
    <row r="143" spans="4:4" x14ac:dyDescent="0.3">
      <c r="D143" s="60"/>
    </row>
    <row r="144" spans="4:4" x14ac:dyDescent="0.3">
      <c r="D144" s="60"/>
    </row>
    <row r="145" spans="4:4" x14ac:dyDescent="0.3">
      <c r="D145" s="60"/>
    </row>
    <row r="146" spans="4:4" x14ac:dyDescent="0.3">
      <c r="D146" s="60"/>
    </row>
    <row r="147" spans="4:4" x14ac:dyDescent="0.3">
      <c r="D147" s="60"/>
    </row>
    <row r="148" spans="4:4" x14ac:dyDescent="0.3">
      <c r="D148" s="60"/>
    </row>
    <row r="149" spans="4:4" x14ac:dyDescent="0.3">
      <c r="D149" s="60"/>
    </row>
    <row r="150" spans="4:4" x14ac:dyDescent="0.3">
      <c r="D150" s="60"/>
    </row>
    <row r="151" spans="4:4" x14ac:dyDescent="0.3">
      <c r="D151" s="60"/>
    </row>
    <row r="152" spans="4:4" x14ac:dyDescent="0.3">
      <c r="D152" s="60"/>
    </row>
    <row r="153" spans="4:4" x14ac:dyDescent="0.3">
      <c r="D153" s="60"/>
    </row>
    <row r="154" spans="4:4" x14ac:dyDescent="0.3">
      <c r="D154" s="60"/>
    </row>
    <row r="155" spans="4:4" x14ac:dyDescent="0.3">
      <c r="D155" s="60"/>
    </row>
    <row r="156" spans="4:4" x14ac:dyDescent="0.3">
      <c r="D156" s="60"/>
    </row>
    <row r="157" spans="4:4" x14ac:dyDescent="0.3">
      <c r="D157" s="60"/>
    </row>
    <row r="158" spans="4:4" x14ac:dyDescent="0.3">
      <c r="D158" s="60"/>
    </row>
    <row r="159" spans="4:4" x14ac:dyDescent="0.3">
      <c r="D159" s="60"/>
    </row>
    <row r="160" spans="4:4" x14ac:dyDescent="0.3">
      <c r="D160" s="60"/>
    </row>
    <row r="161" spans="4:4" x14ac:dyDescent="0.3">
      <c r="D161" s="60"/>
    </row>
    <row r="162" spans="4:4" x14ac:dyDescent="0.3">
      <c r="D162" s="60"/>
    </row>
    <row r="163" spans="4:4" x14ac:dyDescent="0.3">
      <c r="D163" s="60"/>
    </row>
    <row r="164" spans="4:4" x14ac:dyDescent="0.3">
      <c r="D164" s="60"/>
    </row>
    <row r="165" spans="4:4" x14ac:dyDescent="0.3">
      <c r="D165" s="60"/>
    </row>
    <row r="166" spans="4:4" x14ac:dyDescent="0.3">
      <c r="D166" s="60"/>
    </row>
    <row r="167" spans="4:4" x14ac:dyDescent="0.3">
      <c r="D167" s="60"/>
    </row>
    <row r="168" spans="4:4" x14ac:dyDescent="0.3">
      <c r="D168" s="60"/>
    </row>
    <row r="169" spans="4:4" x14ac:dyDescent="0.3">
      <c r="D169" s="60"/>
    </row>
    <row r="170" spans="4:4" x14ac:dyDescent="0.3">
      <c r="D170" s="60"/>
    </row>
    <row r="171" spans="4:4" x14ac:dyDescent="0.3">
      <c r="D171" s="60"/>
    </row>
    <row r="172" spans="4:4" x14ac:dyDescent="0.3">
      <c r="D172" s="60"/>
    </row>
    <row r="173" spans="4:4" x14ac:dyDescent="0.3">
      <c r="D173" s="60"/>
    </row>
    <row r="174" spans="4:4" x14ac:dyDescent="0.3">
      <c r="D174" s="60"/>
    </row>
    <row r="175" spans="4:4" x14ac:dyDescent="0.3">
      <c r="D175" s="60"/>
    </row>
    <row r="176" spans="4:4" x14ac:dyDescent="0.3">
      <c r="D176" s="60"/>
    </row>
    <row r="177" spans="4:4" x14ac:dyDescent="0.3">
      <c r="D177" s="60"/>
    </row>
    <row r="178" spans="4:4" x14ac:dyDescent="0.3">
      <c r="D178" s="60"/>
    </row>
    <row r="179" spans="4:4" x14ac:dyDescent="0.3">
      <c r="D179" s="60"/>
    </row>
    <row r="180" spans="4:4" x14ac:dyDescent="0.3">
      <c r="D180" s="60"/>
    </row>
    <row r="181" spans="4:4" x14ac:dyDescent="0.3">
      <c r="D181" s="60"/>
    </row>
    <row r="182" spans="4:4" x14ac:dyDescent="0.3">
      <c r="D182" s="60"/>
    </row>
    <row r="183" spans="4:4" x14ac:dyDescent="0.3">
      <c r="D183" s="60"/>
    </row>
    <row r="184" spans="4:4" x14ac:dyDescent="0.3">
      <c r="D184" s="60"/>
    </row>
    <row r="185" spans="4:4" x14ac:dyDescent="0.3">
      <c r="D185" s="60"/>
    </row>
    <row r="186" spans="4:4" x14ac:dyDescent="0.3">
      <c r="D186" s="60"/>
    </row>
    <row r="187" spans="4:4" x14ac:dyDescent="0.3">
      <c r="D187" s="60"/>
    </row>
    <row r="188" spans="4:4" x14ac:dyDescent="0.3">
      <c r="D188" s="60"/>
    </row>
    <row r="189" spans="4:4" x14ac:dyDescent="0.3">
      <c r="D189" s="60"/>
    </row>
    <row r="190" spans="4:4" x14ac:dyDescent="0.3">
      <c r="D190" s="60"/>
    </row>
    <row r="191" spans="4:4" x14ac:dyDescent="0.3">
      <c r="D191" s="60"/>
    </row>
    <row r="192" spans="4:4" x14ac:dyDescent="0.3">
      <c r="D192" s="60"/>
    </row>
    <row r="193" spans="4:4" x14ac:dyDescent="0.3">
      <c r="D193" s="60"/>
    </row>
    <row r="194" spans="4:4" x14ac:dyDescent="0.3">
      <c r="D194" s="60"/>
    </row>
    <row r="195" spans="4:4" x14ac:dyDescent="0.3">
      <c r="D195" s="60"/>
    </row>
    <row r="196" spans="4:4" x14ac:dyDescent="0.3">
      <c r="D196" s="60"/>
    </row>
    <row r="197" spans="4:4" x14ac:dyDescent="0.3">
      <c r="D197" s="60"/>
    </row>
    <row r="198" spans="4:4" x14ac:dyDescent="0.3">
      <c r="D198" s="60"/>
    </row>
    <row r="199" spans="4:4" x14ac:dyDescent="0.3">
      <c r="D199" s="60"/>
    </row>
    <row r="200" spans="4:4" x14ac:dyDescent="0.3">
      <c r="D200" s="60"/>
    </row>
    <row r="201" spans="4:4" x14ac:dyDescent="0.3">
      <c r="D201" s="60"/>
    </row>
    <row r="202" spans="4:4" x14ac:dyDescent="0.3">
      <c r="D202" s="60"/>
    </row>
    <row r="203" spans="4:4" x14ac:dyDescent="0.3">
      <c r="D203" s="60"/>
    </row>
    <row r="204" spans="4:4" x14ac:dyDescent="0.3">
      <c r="D204" s="60"/>
    </row>
    <row r="205" spans="4:4" x14ac:dyDescent="0.3">
      <c r="D205" s="60"/>
    </row>
    <row r="206" spans="4:4" x14ac:dyDescent="0.3">
      <c r="D206" s="60"/>
    </row>
    <row r="207" spans="4:4" x14ac:dyDescent="0.3">
      <c r="D207" s="60"/>
    </row>
    <row r="208" spans="4:4" x14ac:dyDescent="0.3">
      <c r="D208" s="60"/>
    </row>
    <row r="209" spans="4:4" x14ac:dyDescent="0.3">
      <c r="D209" s="60"/>
    </row>
    <row r="210" spans="4:4" x14ac:dyDescent="0.3">
      <c r="D210" s="60"/>
    </row>
    <row r="211" spans="4:4" x14ac:dyDescent="0.3">
      <c r="D211" s="60"/>
    </row>
    <row r="212" spans="4:4" x14ac:dyDescent="0.3">
      <c r="D212" s="60"/>
    </row>
    <row r="213" spans="4:4" x14ac:dyDescent="0.3">
      <c r="D213" s="60"/>
    </row>
    <row r="214" spans="4:4" x14ac:dyDescent="0.3">
      <c r="D214" s="60"/>
    </row>
    <row r="215" spans="4:4" x14ac:dyDescent="0.3">
      <c r="D215" s="60"/>
    </row>
    <row r="216" spans="4:4" x14ac:dyDescent="0.3">
      <c r="D216" s="60"/>
    </row>
    <row r="217" spans="4:4" x14ac:dyDescent="0.3">
      <c r="D217" s="60"/>
    </row>
    <row r="218" spans="4:4" x14ac:dyDescent="0.3">
      <c r="D218" s="60"/>
    </row>
    <row r="219" spans="4:4" x14ac:dyDescent="0.3">
      <c r="D219" s="60"/>
    </row>
    <row r="220" spans="4:4" x14ac:dyDescent="0.3">
      <c r="D220" s="60"/>
    </row>
    <row r="221" spans="4:4" x14ac:dyDescent="0.3">
      <c r="D221" s="60"/>
    </row>
    <row r="222" spans="4:4" x14ac:dyDescent="0.3">
      <c r="D222" s="60"/>
    </row>
    <row r="223" spans="4:4" x14ac:dyDescent="0.3">
      <c r="D223" s="60"/>
    </row>
    <row r="224" spans="4:4" x14ac:dyDescent="0.3">
      <c r="D224" s="60"/>
    </row>
    <row r="225" spans="4:4" x14ac:dyDescent="0.3">
      <c r="D225" s="60"/>
    </row>
    <row r="226" spans="4:4" x14ac:dyDescent="0.3">
      <c r="D226" s="60"/>
    </row>
    <row r="227" spans="4:4" x14ac:dyDescent="0.3">
      <c r="D227" s="60"/>
    </row>
    <row r="228" spans="4:4" x14ac:dyDescent="0.3">
      <c r="D228" s="60"/>
    </row>
    <row r="229" spans="4:4" x14ac:dyDescent="0.3">
      <c r="D229" s="60"/>
    </row>
    <row r="230" spans="4:4" x14ac:dyDescent="0.3">
      <c r="D230" s="60"/>
    </row>
    <row r="231" spans="4:4" x14ac:dyDescent="0.3">
      <c r="D231" s="60"/>
    </row>
    <row r="232" spans="4:4" x14ac:dyDescent="0.3">
      <c r="D232" s="60"/>
    </row>
    <row r="233" spans="4:4" x14ac:dyDescent="0.3">
      <c r="D233" s="60"/>
    </row>
    <row r="234" spans="4:4" x14ac:dyDescent="0.3">
      <c r="D234" s="60"/>
    </row>
    <row r="235" spans="4:4" x14ac:dyDescent="0.3">
      <c r="D235" s="60"/>
    </row>
    <row r="236" spans="4:4" x14ac:dyDescent="0.3">
      <c r="D236" s="60"/>
    </row>
    <row r="237" spans="4:4" x14ac:dyDescent="0.3">
      <c r="D237" s="60"/>
    </row>
    <row r="238" spans="4:4" x14ac:dyDescent="0.3">
      <c r="D238" s="60"/>
    </row>
    <row r="239" spans="4:4" x14ac:dyDescent="0.3">
      <c r="D239" s="60"/>
    </row>
    <row r="240" spans="4:4" x14ac:dyDescent="0.3">
      <c r="D240" s="60"/>
    </row>
    <row r="1327" ht="13.95" customHeight="1" x14ac:dyDescent="0.3"/>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2"/>
  <sheetViews>
    <sheetView topLeftCell="C1" workbookViewId="0">
      <selection activeCell="D2" sqref="D2"/>
    </sheetView>
  </sheetViews>
  <sheetFormatPr defaultRowHeight="14.4" x14ac:dyDescent="0.3"/>
  <cols>
    <col min="24" max="24" width="13.6640625" customWidth="1"/>
    <col min="25" max="25" width="18.88671875" customWidth="1"/>
    <col min="26" max="26" width="17.6640625" customWidth="1"/>
    <col min="27" max="27" width="16.109375" customWidth="1"/>
  </cols>
  <sheetData>
    <row r="1" spans="1:27" x14ac:dyDescent="0.3">
      <c r="A1" t="s">
        <v>324</v>
      </c>
      <c r="B1" t="s">
        <v>377</v>
      </c>
      <c r="C1" t="s">
        <v>432</v>
      </c>
      <c r="D1" t="s">
        <v>433</v>
      </c>
      <c r="E1" t="s">
        <v>434</v>
      </c>
      <c r="F1" t="s">
        <v>435</v>
      </c>
      <c r="G1" t="s">
        <v>436</v>
      </c>
      <c r="H1" t="s">
        <v>437</v>
      </c>
      <c r="I1" t="s">
        <v>438</v>
      </c>
      <c r="J1" t="s">
        <v>439</v>
      </c>
      <c r="K1" t="s">
        <v>117</v>
      </c>
      <c r="L1" t="s">
        <v>440</v>
      </c>
      <c r="M1" t="s">
        <v>441</v>
      </c>
      <c r="N1" t="s">
        <v>442</v>
      </c>
      <c r="O1" t="s">
        <v>443</v>
      </c>
      <c r="P1" t="s">
        <v>444</v>
      </c>
      <c r="Q1" t="s">
        <v>445</v>
      </c>
      <c r="R1" t="s">
        <v>446</v>
      </c>
      <c r="S1" t="s">
        <v>447</v>
      </c>
      <c r="T1" t="s">
        <v>448</v>
      </c>
      <c r="U1" t="s">
        <v>449</v>
      </c>
      <c r="V1" t="s">
        <v>450</v>
      </c>
      <c r="W1" t="s">
        <v>451</v>
      </c>
      <c r="X1" t="s">
        <v>452</v>
      </c>
      <c r="Y1" t="s">
        <v>453</v>
      </c>
      <c r="Z1" t="s">
        <v>454</v>
      </c>
      <c r="AA1" t="s">
        <v>455</v>
      </c>
    </row>
    <row r="2" spans="1:27" x14ac:dyDescent="0.3">
      <c r="A2">
        <v>1</v>
      </c>
      <c r="B2">
        <v>1</v>
      </c>
      <c r="C2">
        <v>1</v>
      </c>
      <c r="D2">
        <v>1</v>
      </c>
      <c r="E2">
        <v>1</v>
      </c>
      <c r="F2">
        <v>1</v>
      </c>
      <c r="G2">
        <v>1</v>
      </c>
      <c r="H2">
        <v>1</v>
      </c>
      <c r="I2">
        <v>1</v>
      </c>
      <c r="J2">
        <v>1</v>
      </c>
      <c r="K2">
        <v>1</v>
      </c>
      <c r="L2">
        <v>1</v>
      </c>
      <c r="M2">
        <v>1</v>
      </c>
      <c r="N2">
        <v>1</v>
      </c>
      <c r="O2">
        <v>1</v>
      </c>
      <c r="P2">
        <v>1</v>
      </c>
      <c r="Q2">
        <v>1</v>
      </c>
      <c r="R2">
        <v>1</v>
      </c>
      <c r="S2">
        <v>1</v>
      </c>
      <c r="T2">
        <v>1</v>
      </c>
      <c r="U2">
        <v>1</v>
      </c>
      <c r="V2">
        <v>1</v>
      </c>
      <c r="W2">
        <v>1</v>
      </c>
      <c r="X2">
        <v>1</v>
      </c>
      <c r="Y2">
        <v>1</v>
      </c>
      <c r="Z2">
        <v>1</v>
      </c>
      <c r="AA2">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E17" sqref="E17"/>
    </sheetView>
  </sheetViews>
  <sheetFormatPr defaultRowHeight="14.4" x14ac:dyDescent="0.3"/>
  <cols>
    <col min="1" max="1" width="3.109375" customWidth="1"/>
    <col min="2" max="2" width="13.6640625" customWidth="1"/>
    <col min="3" max="3" width="12" bestFit="1" customWidth="1"/>
    <col min="4" max="4" width="11.33203125" bestFit="1" customWidth="1"/>
  </cols>
  <sheetData>
    <row r="2" spans="2:13" x14ac:dyDescent="0.3">
      <c r="C2" s="61" t="s">
        <v>456</v>
      </c>
      <c r="D2" s="61" t="s">
        <v>456</v>
      </c>
    </row>
    <row r="3" spans="2:13" x14ac:dyDescent="0.3">
      <c r="B3" s="59" t="s">
        <v>188</v>
      </c>
      <c r="C3" s="61" t="s">
        <v>457</v>
      </c>
      <c r="D3" s="62" t="s">
        <v>458</v>
      </c>
      <c r="E3" s="58"/>
      <c r="M3" s="58"/>
    </row>
    <row r="4" spans="2:13" x14ac:dyDescent="0.3">
      <c r="B4" s="67" t="s">
        <v>191</v>
      </c>
      <c r="C4" s="61">
        <v>1.6465250156540216E-2</v>
      </c>
      <c r="D4" s="62">
        <v>3.5990313013993261E-2</v>
      </c>
      <c r="E4" s="58"/>
    </row>
    <row r="5" spans="2:13" x14ac:dyDescent="0.3">
      <c r="B5" s="67" t="s">
        <v>194</v>
      </c>
      <c r="C5" s="61">
        <v>1.5615221198574572E-2</v>
      </c>
      <c r="D5" s="62">
        <v>2.4287640268739003E-2</v>
      </c>
      <c r="E5" s="58"/>
    </row>
    <row r="6" spans="2:13" x14ac:dyDescent="0.3">
      <c r="B6" s="67" t="s">
        <v>195</v>
      </c>
      <c r="C6" s="61">
        <v>3.195266160252231E-2</v>
      </c>
      <c r="D6" s="62">
        <v>2.6990658283985388E-2</v>
      </c>
      <c r="E6" s="58"/>
    </row>
    <row r="7" spans="2:13" x14ac:dyDescent="0.3">
      <c r="B7" s="67" t="s">
        <v>196</v>
      </c>
      <c r="C7" s="61">
        <v>1.9699867662153519E-2</v>
      </c>
      <c r="D7" s="62">
        <v>1.3066379160471426E-2</v>
      </c>
      <c r="E7" s="58"/>
    </row>
    <row r="8" spans="2:13" x14ac:dyDescent="0.3">
      <c r="B8" s="67" t="s">
        <v>52</v>
      </c>
      <c r="C8" s="61">
        <v>1.9512302850000194E-2</v>
      </c>
      <c r="D8" s="62">
        <v>1.2024674308902259E-2</v>
      </c>
      <c r="E8" s="58"/>
    </row>
    <row r="9" spans="2:13" x14ac:dyDescent="0.3">
      <c r="B9" s="67" t="s">
        <v>198</v>
      </c>
      <c r="C9" s="61">
        <v>1.782356260884985E-2</v>
      </c>
      <c r="D9" s="62">
        <v>2.9745043736646361E-2</v>
      </c>
      <c r="E9" s="58"/>
    </row>
    <row r="10" spans="2:13" x14ac:dyDescent="0.3">
      <c r="B10" s="67" t="s">
        <v>200</v>
      </c>
      <c r="C10" s="61">
        <v>2.508906394952868E-2</v>
      </c>
      <c r="D10" s="62">
        <v>2.4222517026481549E-2</v>
      </c>
      <c r="E10" s="58"/>
    </row>
    <row r="11" spans="2:13" x14ac:dyDescent="0.3">
      <c r="B11" s="67" t="s">
        <v>202</v>
      </c>
      <c r="C11" s="61">
        <v>2.4045854892342022E-2</v>
      </c>
      <c r="D11" s="62">
        <v>4.1038431317052267E-2</v>
      </c>
      <c r="E11" s="58"/>
    </row>
    <row r="12" spans="2:13" x14ac:dyDescent="0.3">
      <c r="C12" s="114"/>
      <c r="D12" s="49"/>
      <c r="E12" s="58"/>
    </row>
    <row r="13" spans="2:13" x14ac:dyDescent="0.3">
      <c r="B13" s="232" t="s">
        <v>456</v>
      </c>
      <c r="C13" s="232"/>
    </row>
    <row r="14" spans="2:13" x14ac:dyDescent="0.3">
      <c r="B14" s="67" t="s">
        <v>459</v>
      </c>
      <c r="C14" s="112">
        <f>'Inputs &amp; Outputs'!$C$40</f>
        <v>3237</v>
      </c>
    </row>
    <row r="15" spans="2:13" ht="28.8" x14ac:dyDescent="0.3">
      <c r="B15" s="52" t="s">
        <v>460</v>
      </c>
      <c r="C15" s="112">
        <f>'Inputs &amp; Outputs'!$C$41</f>
        <v>3541</v>
      </c>
    </row>
    <row r="16" spans="2:13" x14ac:dyDescent="0.3">
      <c r="B16" s="67" t="s">
        <v>456</v>
      </c>
      <c r="C16" s="113">
        <f>(($C$15/$C$14)^(1/(Year_Open_to_Traffic?-2021))-1)</f>
        <v>1.1283458146682523E-2</v>
      </c>
    </row>
  </sheetData>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4.4" x14ac:dyDescent="0.3"/>
  <cols>
    <col min="1" max="1" width="38.88671875" customWidth="1"/>
    <col min="2" max="2" width="12.5546875" customWidth="1"/>
    <col min="3" max="3" width="5.33203125" customWidth="1"/>
    <col min="4" max="4" width="33.5546875" bestFit="1" customWidth="1"/>
    <col min="5" max="5" width="13.33203125" customWidth="1"/>
    <col min="6" max="6" width="4.5546875" customWidth="1"/>
    <col min="8" max="8" width="2.109375" hidden="1" customWidth="1"/>
    <col min="9" max="9" width="18.6640625" bestFit="1" customWidth="1"/>
    <col min="10" max="10" width="38.33203125" bestFit="1" customWidth="1"/>
  </cols>
  <sheetData>
    <row r="3" spans="1:10" x14ac:dyDescent="0.3">
      <c r="A3" s="5" t="s">
        <v>0</v>
      </c>
      <c r="D3" s="5" t="s">
        <v>1</v>
      </c>
      <c r="E3" s="6" t="s">
        <v>2</v>
      </c>
      <c r="G3" s="12" t="s">
        <v>3</v>
      </c>
      <c r="H3" s="12"/>
      <c r="I3" s="12" t="s">
        <v>4</v>
      </c>
      <c r="J3" s="12" t="s">
        <v>5</v>
      </c>
    </row>
    <row r="4" spans="1:10" x14ac:dyDescent="0.3">
      <c r="A4" s="3" t="s">
        <v>6</v>
      </c>
      <c r="B4" s="4"/>
      <c r="D4" s="3" t="s">
        <v>7</v>
      </c>
      <c r="E4" s="4">
        <v>2015</v>
      </c>
      <c r="G4" s="10">
        <f>E4</f>
        <v>2015</v>
      </c>
      <c r="H4" s="10">
        <f>IF(G4&lt;2041,1,0)</f>
        <v>1</v>
      </c>
      <c r="I4" s="19">
        <f>IF($G4&lt;($G$4+$E$5),$E$17,0)*H4</f>
        <v>0</v>
      </c>
      <c r="J4" s="28" t="e">
        <f>I4*$B$18*$B$19/10^3</f>
        <v>#REF!</v>
      </c>
    </row>
    <row r="5" spans="1:10" x14ac:dyDescent="0.3">
      <c r="A5" s="3" t="s">
        <v>8</v>
      </c>
      <c r="B5" s="4"/>
      <c r="D5" s="3" t="s">
        <v>9</v>
      </c>
      <c r="E5" s="7">
        <v>10</v>
      </c>
      <c r="G5" s="11">
        <f t="shared" ref="G5:G29" si="0">G4+1</f>
        <v>2016</v>
      </c>
      <c r="H5" s="11">
        <f t="shared" ref="H5:H29" si="1">IF(G5&lt;2041,1,0)</f>
        <v>1</v>
      </c>
      <c r="I5" s="19">
        <f t="shared" ref="I5:I29" si="2">IF($G5&lt;($G$4+$E$5),$E$17,0)*H5</f>
        <v>0</v>
      </c>
      <c r="J5" s="35" t="e">
        <f t="shared" ref="J5:J24" si="3">I5*$B$18*$B$19/10^3</f>
        <v>#REF!</v>
      </c>
    </row>
    <row r="6" spans="1:10" x14ac:dyDescent="0.3">
      <c r="A6" s="3" t="s">
        <v>10</v>
      </c>
      <c r="B6" s="4">
        <v>1</v>
      </c>
      <c r="D6" s="197" t="s">
        <v>11</v>
      </c>
      <c r="E6" s="198"/>
      <c r="G6" s="10">
        <f t="shared" si="0"/>
        <v>2017</v>
      </c>
      <c r="H6" s="10">
        <f t="shared" si="1"/>
        <v>1</v>
      </c>
      <c r="I6" s="19">
        <f t="shared" si="2"/>
        <v>0</v>
      </c>
      <c r="J6" s="28" t="e">
        <f t="shared" si="3"/>
        <v>#REF!</v>
      </c>
    </row>
    <row r="7" spans="1:10" x14ac:dyDescent="0.3">
      <c r="A7" s="3" t="s">
        <v>12</v>
      </c>
      <c r="B7" s="20"/>
      <c r="D7" s="3" t="s">
        <v>13</v>
      </c>
      <c r="E7" s="7"/>
      <c r="G7" s="11">
        <f t="shared" si="0"/>
        <v>2018</v>
      </c>
      <c r="H7" s="11">
        <f t="shared" si="1"/>
        <v>1</v>
      </c>
      <c r="I7" s="19">
        <f t="shared" si="2"/>
        <v>0</v>
      </c>
      <c r="J7" s="35" t="e">
        <f t="shared" si="3"/>
        <v>#REF!</v>
      </c>
    </row>
    <row r="8" spans="1:10" x14ac:dyDescent="0.3">
      <c r="A8" s="3" t="s">
        <v>14</v>
      </c>
      <c r="B8" s="20"/>
      <c r="D8" s="3" t="s">
        <v>15</v>
      </c>
      <c r="E8" s="38">
        <v>1.1499999999999999</v>
      </c>
      <c r="G8" s="10">
        <f t="shared" si="0"/>
        <v>2019</v>
      </c>
      <c r="H8" s="10">
        <f t="shared" si="1"/>
        <v>1</v>
      </c>
      <c r="I8" s="19">
        <f t="shared" si="2"/>
        <v>0</v>
      </c>
      <c r="J8" s="28" t="e">
        <f t="shared" si="3"/>
        <v>#REF!</v>
      </c>
    </row>
    <row r="9" spans="1:10" x14ac:dyDescent="0.3">
      <c r="G9" s="11">
        <f t="shared" si="0"/>
        <v>2020</v>
      </c>
      <c r="H9" s="11">
        <f t="shared" si="1"/>
        <v>1</v>
      </c>
      <c r="I9" s="19">
        <f t="shared" si="2"/>
        <v>0</v>
      </c>
      <c r="J9" s="35" t="e">
        <f t="shared" si="3"/>
        <v>#REF!</v>
      </c>
    </row>
    <row r="10" spans="1:10" x14ac:dyDescent="0.3">
      <c r="A10" s="9" t="s">
        <v>16</v>
      </c>
      <c r="G10" s="10">
        <f t="shared" si="0"/>
        <v>2021</v>
      </c>
      <c r="H10" s="10">
        <f t="shared" si="1"/>
        <v>1</v>
      </c>
      <c r="I10" s="19">
        <f t="shared" si="2"/>
        <v>0</v>
      </c>
      <c r="J10" s="28" t="e">
        <f t="shared" si="3"/>
        <v>#REF!</v>
      </c>
    </row>
    <row r="11" spans="1:10" x14ac:dyDescent="0.3">
      <c r="A11" s="8" t="s">
        <v>17</v>
      </c>
      <c r="B11" s="36" t="e">
        <f>NPV($B$17,J4:J29)/(1+$B$17)^(E4-B16+1)</f>
        <v>#REF!</v>
      </c>
      <c r="G11" s="11">
        <f t="shared" si="0"/>
        <v>2022</v>
      </c>
      <c r="H11" s="11">
        <f t="shared" si="1"/>
        <v>1</v>
      </c>
      <c r="I11" s="19">
        <f t="shared" si="2"/>
        <v>0</v>
      </c>
      <c r="J11" s="35" t="e">
        <f t="shared" si="3"/>
        <v>#REF!</v>
      </c>
    </row>
    <row r="12" spans="1:10" x14ac:dyDescent="0.3">
      <c r="A12" s="8" t="s">
        <v>18</v>
      </c>
      <c r="B12" s="34" t="e">
        <f>B11/B7</f>
        <v>#REF!</v>
      </c>
      <c r="G12" s="10">
        <f t="shared" si="0"/>
        <v>2023</v>
      </c>
      <c r="H12" s="10">
        <f t="shared" si="1"/>
        <v>1</v>
      </c>
      <c r="I12" s="19">
        <f t="shared" si="2"/>
        <v>0</v>
      </c>
      <c r="J12" s="28" t="e">
        <f t="shared" si="3"/>
        <v>#REF!</v>
      </c>
    </row>
    <row r="13" spans="1:10" x14ac:dyDescent="0.3">
      <c r="G13" s="11">
        <f t="shared" si="0"/>
        <v>2024</v>
      </c>
      <c r="H13" s="11">
        <f t="shared" si="1"/>
        <v>1</v>
      </c>
      <c r="I13" s="19">
        <f t="shared" si="2"/>
        <v>0</v>
      </c>
      <c r="J13" s="35" t="e">
        <f t="shared" si="3"/>
        <v>#REF!</v>
      </c>
    </row>
    <row r="14" spans="1:10" x14ac:dyDescent="0.3">
      <c r="G14" s="10">
        <f>G13+1</f>
        <v>2025</v>
      </c>
      <c r="H14" s="10">
        <f t="shared" si="1"/>
        <v>1</v>
      </c>
      <c r="I14" s="19">
        <f t="shared" si="2"/>
        <v>0</v>
      </c>
      <c r="J14" s="28" t="e">
        <f t="shared" si="3"/>
        <v>#REF!</v>
      </c>
    </row>
    <row r="15" spans="1:10" x14ac:dyDescent="0.3">
      <c r="A15" s="13" t="s">
        <v>19</v>
      </c>
      <c r="G15" s="11">
        <f t="shared" si="0"/>
        <v>2026</v>
      </c>
      <c r="H15" s="11">
        <f t="shared" si="1"/>
        <v>1</v>
      </c>
      <c r="I15" s="19">
        <f t="shared" si="2"/>
        <v>0</v>
      </c>
      <c r="J15" s="35" t="e">
        <f t="shared" si="3"/>
        <v>#REF!</v>
      </c>
    </row>
    <row r="16" spans="1:10" x14ac:dyDescent="0.3">
      <c r="A16" s="14" t="s">
        <v>20</v>
      </c>
      <c r="B16" s="14">
        <f>'Assumed Values'!C5</f>
        <v>2021</v>
      </c>
      <c r="D16" s="13" t="s">
        <v>21</v>
      </c>
      <c r="E16" s="21" t="s">
        <v>2</v>
      </c>
      <c r="G16" s="10">
        <f t="shared" si="0"/>
        <v>2027</v>
      </c>
      <c r="H16" s="10">
        <f t="shared" si="1"/>
        <v>1</v>
      </c>
      <c r="I16" s="19">
        <f t="shared" si="2"/>
        <v>0</v>
      </c>
      <c r="J16" s="28" t="e">
        <f t="shared" si="3"/>
        <v>#REF!</v>
      </c>
    </row>
    <row r="17" spans="1:10" x14ac:dyDescent="0.3">
      <c r="A17" s="14" t="s">
        <v>22</v>
      </c>
      <c r="B17" s="15">
        <f>'Assumed Values'!C6</f>
        <v>7.0000000000000007E-2</v>
      </c>
      <c r="D17" s="17" t="s">
        <v>23</v>
      </c>
      <c r="E17" s="18">
        <f>E7/E8</f>
        <v>0</v>
      </c>
      <c r="G17" s="11">
        <f t="shared" si="0"/>
        <v>2028</v>
      </c>
      <c r="H17" s="11">
        <f t="shared" si="1"/>
        <v>1</v>
      </c>
      <c r="I17" s="19">
        <f t="shared" si="2"/>
        <v>0</v>
      </c>
      <c r="J17" s="35" t="e">
        <f t="shared" si="3"/>
        <v>#REF!</v>
      </c>
    </row>
    <row r="18" spans="1:10" x14ac:dyDescent="0.3">
      <c r="A18" s="14" t="s">
        <v>24</v>
      </c>
      <c r="B18" s="14">
        <f>IF(B6=2,2.1, 1.1)</f>
        <v>1.1000000000000001</v>
      </c>
      <c r="G18" s="10">
        <f t="shared" si="0"/>
        <v>2029</v>
      </c>
      <c r="H18" s="10">
        <f t="shared" si="1"/>
        <v>1</v>
      </c>
      <c r="I18" s="19">
        <f t="shared" si="2"/>
        <v>0</v>
      </c>
      <c r="J18" s="28" t="e">
        <f t="shared" si="3"/>
        <v>#REF!</v>
      </c>
    </row>
    <row r="19" spans="1:10" x14ac:dyDescent="0.3">
      <c r="A19" s="14" t="s">
        <v>25</v>
      </c>
      <c r="B19" s="16" t="e">
        <f>'Assumed Values'!C15</f>
        <v>#REF!</v>
      </c>
      <c r="G19" s="11">
        <f t="shared" si="0"/>
        <v>2030</v>
      </c>
      <c r="H19" s="11">
        <f t="shared" si="1"/>
        <v>1</v>
      </c>
      <c r="I19" s="19">
        <f t="shared" si="2"/>
        <v>0</v>
      </c>
      <c r="J19" s="35" t="e">
        <f t="shared" si="3"/>
        <v>#REF!</v>
      </c>
    </row>
    <row r="20" spans="1:10" x14ac:dyDescent="0.3">
      <c r="A20" s="14" t="s">
        <v>26</v>
      </c>
      <c r="B20" s="14">
        <v>260</v>
      </c>
      <c r="G20" s="10">
        <f t="shared" si="0"/>
        <v>2031</v>
      </c>
      <c r="H20" s="10">
        <f t="shared" si="1"/>
        <v>1</v>
      </c>
      <c r="I20" s="19">
        <f t="shared" si="2"/>
        <v>0</v>
      </c>
      <c r="J20" s="28" t="e">
        <f t="shared" si="3"/>
        <v>#REF!</v>
      </c>
    </row>
    <row r="21" spans="1:10" x14ac:dyDescent="0.3">
      <c r="G21" s="11">
        <f t="shared" si="0"/>
        <v>2032</v>
      </c>
      <c r="H21" s="11">
        <f t="shared" si="1"/>
        <v>1</v>
      </c>
      <c r="I21" s="19">
        <f t="shared" si="2"/>
        <v>0</v>
      </c>
      <c r="J21" s="35" t="e">
        <f t="shared" si="3"/>
        <v>#REF!</v>
      </c>
    </row>
    <row r="22" spans="1:10" x14ac:dyDescent="0.3">
      <c r="G22" s="10">
        <f t="shared" si="0"/>
        <v>2033</v>
      </c>
      <c r="H22" s="10">
        <f t="shared" si="1"/>
        <v>1</v>
      </c>
      <c r="I22" s="19">
        <f t="shared" si="2"/>
        <v>0</v>
      </c>
      <c r="J22" s="28" t="e">
        <f t="shared" si="3"/>
        <v>#REF!</v>
      </c>
    </row>
    <row r="23" spans="1:10" x14ac:dyDescent="0.3">
      <c r="G23" s="11">
        <f t="shared" si="0"/>
        <v>2034</v>
      </c>
      <c r="H23" s="11">
        <f t="shared" si="1"/>
        <v>1</v>
      </c>
      <c r="I23" s="19">
        <f t="shared" si="2"/>
        <v>0</v>
      </c>
      <c r="J23" s="35" t="e">
        <f t="shared" si="3"/>
        <v>#REF!</v>
      </c>
    </row>
    <row r="24" spans="1:10" x14ac:dyDescent="0.3">
      <c r="G24" s="10">
        <f t="shared" si="0"/>
        <v>2035</v>
      </c>
      <c r="H24" s="10">
        <f t="shared" si="1"/>
        <v>1</v>
      </c>
      <c r="I24" s="19">
        <f t="shared" si="2"/>
        <v>0</v>
      </c>
      <c r="J24" s="28" t="e">
        <f t="shared" si="3"/>
        <v>#REF!</v>
      </c>
    </row>
    <row r="25" spans="1:10" x14ac:dyDescent="0.3">
      <c r="G25" s="11">
        <f t="shared" si="0"/>
        <v>2036</v>
      </c>
      <c r="H25" s="11">
        <f t="shared" si="1"/>
        <v>1</v>
      </c>
      <c r="I25" s="19">
        <f t="shared" si="2"/>
        <v>0</v>
      </c>
      <c r="J25" s="35" t="e">
        <f t="shared" ref="J25:J29" si="4">I25*$B$18*$B$19/10^3</f>
        <v>#REF!</v>
      </c>
    </row>
    <row r="26" spans="1:10" x14ac:dyDescent="0.3">
      <c r="G26" s="10">
        <f t="shared" si="0"/>
        <v>2037</v>
      </c>
      <c r="H26" s="10">
        <f t="shared" si="1"/>
        <v>1</v>
      </c>
      <c r="I26" s="19">
        <f t="shared" si="2"/>
        <v>0</v>
      </c>
      <c r="J26" s="28" t="e">
        <f t="shared" si="4"/>
        <v>#REF!</v>
      </c>
    </row>
    <row r="27" spans="1:10" x14ac:dyDescent="0.3">
      <c r="G27" s="11">
        <f t="shared" si="0"/>
        <v>2038</v>
      </c>
      <c r="H27" s="11">
        <f t="shared" si="1"/>
        <v>1</v>
      </c>
      <c r="I27" s="19">
        <f t="shared" si="2"/>
        <v>0</v>
      </c>
      <c r="J27" s="35" t="e">
        <f t="shared" si="4"/>
        <v>#REF!</v>
      </c>
    </row>
    <row r="28" spans="1:10" x14ac:dyDescent="0.3">
      <c r="G28" s="10">
        <f t="shared" si="0"/>
        <v>2039</v>
      </c>
      <c r="H28" s="10">
        <f t="shared" si="1"/>
        <v>1</v>
      </c>
      <c r="I28" s="19">
        <f t="shared" si="2"/>
        <v>0</v>
      </c>
      <c r="J28" s="28" t="e">
        <f t="shared" si="4"/>
        <v>#REF!</v>
      </c>
    </row>
    <row r="29" spans="1:10" x14ac:dyDescent="0.3">
      <c r="A29" s="22"/>
      <c r="G29" s="11">
        <f t="shared" si="0"/>
        <v>2040</v>
      </c>
      <c r="H29" s="11">
        <f t="shared" si="1"/>
        <v>1</v>
      </c>
      <c r="I29" s="19">
        <f t="shared" si="2"/>
        <v>0</v>
      </c>
      <c r="J29" s="35" t="e">
        <f t="shared" si="4"/>
        <v>#REF!</v>
      </c>
    </row>
    <row r="51" spans="1:1" x14ac:dyDescent="0.3">
      <c r="A51" t="s">
        <v>27</v>
      </c>
    </row>
    <row r="52" spans="1:1" x14ac:dyDescent="0.3">
      <c r="A52" t="s">
        <v>28</v>
      </c>
    </row>
    <row r="53" spans="1:1" x14ac:dyDescent="0.3">
      <c r="A53" t="s">
        <v>29</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4.4" x14ac:dyDescent="0.3"/>
  <cols>
    <col min="1" max="1" width="54.33203125" customWidth="1"/>
    <col min="2" max="2" width="12.5546875" customWidth="1"/>
    <col min="3" max="3" width="5.33203125" customWidth="1"/>
    <col min="4" max="4" width="37.44140625" bestFit="1" customWidth="1"/>
    <col min="5" max="5" width="13.33203125" customWidth="1"/>
    <col min="6" max="6" width="4.5546875" customWidth="1"/>
    <col min="8" max="8" width="26.44140625" bestFit="1" customWidth="1"/>
    <col min="9" max="9" width="34.5546875" bestFit="1" customWidth="1"/>
    <col min="10" max="10" width="24.109375" bestFit="1" customWidth="1"/>
    <col min="11" max="11" width="33.44140625" bestFit="1" customWidth="1"/>
  </cols>
  <sheetData>
    <row r="3" spans="1:11" x14ac:dyDescent="0.3">
      <c r="A3" s="5" t="s">
        <v>0</v>
      </c>
      <c r="D3" s="5" t="s">
        <v>30</v>
      </c>
      <c r="E3" s="6" t="s">
        <v>2</v>
      </c>
      <c r="G3" s="12" t="s">
        <v>3</v>
      </c>
      <c r="H3" s="12" t="s">
        <v>31</v>
      </c>
      <c r="I3" s="12" t="s">
        <v>32</v>
      </c>
      <c r="J3" s="12" t="s">
        <v>33</v>
      </c>
      <c r="K3" s="12" t="s">
        <v>34</v>
      </c>
    </row>
    <row r="4" spans="1:11" x14ac:dyDescent="0.3">
      <c r="A4" s="3" t="s">
        <v>6</v>
      </c>
      <c r="B4" s="4"/>
      <c r="D4" s="3" t="s">
        <v>7</v>
      </c>
      <c r="E4" s="4">
        <v>2015</v>
      </c>
      <c r="G4" s="10">
        <f>E4</f>
        <v>2015</v>
      </c>
      <c r="H4" s="31">
        <f t="shared" ref="H4:H24" si="0">IF($G4&lt;($G$4+$E$5),$E$17,0)</f>
        <v>0</v>
      </c>
      <c r="I4" s="30" t="e">
        <f>H4*$B$20/10^3</f>
        <v>#REF!</v>
      </c>
      <c r="J4" s="31">
        <f t="shared" ref="J4:J24" si="1">IF($G4&lt;($G$4+$E$5),$E$18,0)</f>
        <v>0</v>
      </c>
      <c r="K4" s="30" t="e">
        <f>J4*$B$21/10^3</f>
        <v>#REF!</v>
      </c>
    </row>
    <row r="5" spans="1:11" x14ac:dyDescent="0.3">
      <c r="A5" s="3" t="s">
        <v>8</v>
      </c>
      <c r="B5" s="4"/>
      <c r="D5" s="3" t="s">
        <v>9</v>
      </c>
      <c r="E5" s="7">
        <v>10</v>
      </c>
      <c r="G5" s="11">
        <f t="shared" ref="G5:G29" si="2">G4+1</f>
        <v>2016</v>
      </c>
      <c r="H5" s="31">
        <f t="shared" si="0"/>
        <v>0</v>
      </c>
      <c r="I5" s="32" t="e">
        <f t="shared" ref="I5:I24" si="3">H5*$B$20/10^3</f>
        <v>#REF!</v>
      </c>
      <c r="J5" s="31">
        <f t="shared" si="1"/>
        <v>0</v>
      </c>
      <c r="K5" s="32" t="e">
        <f t="shared" ref="K5:K24" si="4">J5*$B$21/10^3</f>
        <v>#REF!</v>
      </c>
    </row>
    <row r="6" spans="1:11" x14ac:dyDescent="0.3">
      <c r="A6" s="3" t="s">
        <v>35</v>
      </c>
      <c r="B6" s="4">
        <v>2</v>
      </c>
      <c r="D6" s="197" t="s">
        <v>11</v>
      </c>
      <c r="E6" s="198"/>
      <c r="G6" s="10">
        <f t="shared" si="2"/>
        <v>2017</v>
      </c>
      <c r="H6" s="31">
        <f t="shared" si="0"/>
        <v>0</v>
      </c>
      <c r="I6" s="30" t="e">
        <f t="shared" si="3"/>
        <v>#REF!</v>
      </c>
      <c r="J6" s="31">
        <f t="shared" si="1"/>
        <v>0</v>
      </c>
      <c r="K6" s="30" t="e">
        <f t="shared" si="4"/>
        <v>#REF!</v>
      </c>
    </row>
    <row r="7" spans="1:11" x14ac:dyDescent="0.3">
      <c r="A7" s="3" t="s">
        <v>12</v>
      </c>
      <c r="B7" s="20"/>
      <c r="D7" s="3" t="s">
        <v>36</v>
      </c>
      <c r="E7" s="7"/>
      <c r="G7" s="11">
        <f t="shared" si="2"/>
        <v>2018</v>
      </c>
      <c r="H7" s="31">
        <f t="shared" si="0"/>
        <v>0</v>
      </c>
      <c r="I7" s="32" t="e">
        <f t="shared" si="3"/>
        <v>#REF!</v>
      </c>
      <c r="J7" s="31">
        <f t="shared" si="1"/>
        <v>0</v>
      </c>
      <c r="K7" s="32" t="e">
        <f t="shared" si="4"/>
        <v>#REF!</v>
      </c>
    </row>
    <row r="8" spans="1:11" x14ac:dyDescent="0.3">
      <c r="A8" s="3" t="s">
        <v>14</v>
      </c>
      <c r="B8" s="20"/>
      <c r="D8" s="197" t="s">
        <v>37</v>
      </c>
      <c r="E8" s="198"/>
      <c r="G8" s="10">
        <f t="shared" si="2"/>
        <v>2019</v>
      </c>
      <c r="H8" s="31">
        <f t="shared" si="0"/>
        <v>0</v>
      </c>
      <c r="I8" s="30" t="e">
        <f t="shared" si="3"/>
        <v>#REF!</v>
      </c>
      <c r="J8" s="31">
        <f t="shared" si="1"/>
        <v>0</v>
      </c>
      <c r="K8" s="30" t="e">
        <f t="shared" si="4"/>
        <v>#REF!</v>
      </c>
    </row>
    <row r="9" spans="1:11" x14ac:dyDescent="0.3">
      <c r="D9" s="3" t="s">
        <v>38</v>
      </c>
      <c r="E9" s="7"/>
      <c r="G9" s="11">
        <f t="shared" si="2"/>
        <v>2020</v>
      </c>
      <c r="H9" s="31">
        <f t="shared" si="0"/>
        <v>0</v>
      </c>
      <c r="I9" s="32" t="e">
        <f t="shared" si="3"/>
        <v>#REF!</v>
      </c>
      <c r="J9" s="31">
        <f t="shared" si="1"/>
        <v>0</v>
      </c>
      <c r="K9" s="32" t="e">
        <f t="shared" si="4"/>
        <v>#REF!</v>
      </c>
    </row>
    <row r="10" spans="1:11" x14ac:dyDescent="0.3">
      <c r="A10" s="9" t="s">
        <v>16</v>
      </c>
      <c r="D10" s="3" t="s">
        <v>39</v>
      </c>
      <c r="E10" s="7"/>
      <c r="G10" s="10">
        <f t="shared" si="2"/>
        <v>2021</v>
      </c>
      <c r="H10" s="31">
        <f t="shared" si="0"/>
        <v>0</v>
      </c>
      <c r="I10" s="30" t="e">
        <f t="shared" si="3"/>
        <v>#REF!</v>
      </c>
      <c r="J10" s="31">
        <f t="shared" si="1"/>
        <v>0</v>
      </c>
      <c r="K10" s="30" t="e">
        <f t="shared" si="4"/>
        <v>#REF!</v>
      </c>
    </row>
    <row r="11" spans="1:11" x14ac:dyDescent="0.3">
      <c r="A11" s="8" t="s">
        <v>40</v>
      </c>
      <c r="B11" s="33" t="e">
        <f>(NPV($B$17,K4:K24)+NPV($B$17,I4:I24))/(1+$B$17)^2</f>
        <v>#REF!</v>
      </c>
      <c r="G11" s="11">
        <f t="shared" si="2"/>
        <v>2022</v>
      </c>
      <c r="H11" s="31">
        <f t="shared" si="0"/>
        <v>0</v>
      </c>
      <c r="I11" s="32" t="e">
        <f t="shared" si="3"/>
        <v>#REF!</v>
      </c>
      <c r="J11" s="31">
        <f t="shared" si="1"/>
        <v>0</v>
      </c>
      <c r="K11" s="32" t="e">
        <f t="shared" si="4"/>
        <v>#REF!</v>
      </c>
    </row>
    <row r="12" spans="1:11" x14ac:dyDescent="0.3">
      <c r="A12" s="8" t="s">
        <v>18</v>
      </c>
      <c r="B12" s="34" t="e">
        <f>B11/B7</f>
        <v>#REF!</v>
      </c>
      <c r="G12" s="10">
        <f t="shared" si="2"/>
        <v>2023</v>
      </c>
      <c r="H12" s="31">
        <f t="shared" si="0"/>
        <v>0</v>
      </c>
      <c r="I12" s="30" t="e">
        <f t="shared" si="3"/>
        <v>#REF!</v>
      </c>
      <c r="J12" s="31">
        <f t="shared" si="1"/>
        <v>0</v>
      </c>
      <c r="K12" s="30" t="e">
        <f t="shared" si="4"/>
        <v>#REF!</v>
      </c>
    </row>
    <row r="13" spans="1:11" x14ac:dyDescent="0.3">
      <c r="A13" s="8" t="s">
        <v>41</v>
      </c>
      <c r="B13" s="33" t="e">
        <f>B7*(B17/(1-(1+B17)^(-E5))/(SUM(H4:H29)+SUM(J4:J29)))</f>
        <v>#DIV/0!</v>
      </c>
      <c r="G13" s="11">
        <f t="shared" si="2"/>
        <v>2024</v>
      </c>
      <c r="H13" s="31">
        <f t="shared" si="0"/>
        <v>0</v>
      </c>
      <c r="I13" s="32" t="e">
        <f t="shared" si="3"/>
        <v>#REF!</v>
      </c>
      <c r="J13" s="31">
        <f t="shared" si="1"/>
        <v>0</v>
      </c>
      <c r="K13" s="32" t="e">
        <f t="shared" si="4"/>
        <v>#REF!</v>
      </c>
    </row>
    <row r="14" spans="1:11" x14ac:dyDescent="0.3">
      <c r="G14" s="10">
        <f>G13+1</f>
        <v>2025</v>
      </c>
      <c r="H14" s="31">
        <f t="shared" si="0"/>
        <v>0</v>
      </c>
      <c r="I14" s="30" t="e">
        <f t="shared" si="3"/>
        <v>#REF!</v>
      </c>
      <c r="J14" s="31">
        <f t="shared" si="1"/>
        <v>0</v>
      </c>
      <c r="K14" s="30" t="e">
        <f t="shared" si="4"/>
        <v>#REF!</v>
      </c>
    </row>
    <row r="15" spans="1:11" x14ac:dyDescent="0.3">
      <c r="A15" s="13" t="s">
        <v>19</v>
      </c>
      <c r="G15" s="11">
        <f t="shared" si="2"/>
        <v>2026</v>
      </c>
      <c r="H15" s="31">
        <f t="shared" si="0"/>
        <v>0</v>
      </c>
      <c r="I15" s="32" t="e">
        <f t="shared" si="3"/>
        <v>#REF!</v>
      </c>
      <c r="J15" s="31">
        <f t="shared" si="1"/>
        <v>0</v>
      </c>
      <c r="K15" s="32" t="e">
        <f t="shared" si="4"/>
        <v>#REF!</v>
      </c>
    </row>
    <row r="16" spans="1:11" x14ac:dyDescent="0.3">
      <c r="A16" s="14" t="s">
        <v>20</v>
      </c>
      <c r="B16" s="14">
        <v>2015</v>
      </c>
      <c r="D16" s="13" t="s">
        <v>21</v>
      </c>
      <c r="E16" s="21" t="s">
        <v>2</v>
      </c>
      <c r="G16" s="10">
        <f t="shared" si="2"/>
        <v>2027</v>
      </c>
      <c r="H16" s="31">
        <f t="shared" si="0"/>
        <v>0</v>
      </c>
      <c r="I16" s="30" t="e">
        <f t="shared" si="3"/>
        <v>#REF!</v>
      </c>
      <c r="J16" s="31">
        <f t="shared" si="1"/>
        <v>0</v>
      </c>
      <c r="K16" s="30" t="e">
        <f t="shared" si="4"/>
        <v>#REF!</v>
      </c>
    </row>
    <row r="17" spans="1:11" x14ac:dyDescent="0.3">
      <c r="A17" s="14" t="s">
        <v>22</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3">
      <c r="A18" s="14" t="s">
        <v>42</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3">
      <c r="A19" s="14" t="s">
        <v>43</v>
      </c>
      <c r="B19" s="37">
        <f>IF($B$6=2,'Assumed Values'!C22,0)</f>
        <v>0.19106300000000001</v>
      </c>
      <c r="G19" s="11">
        <f t="shared" si="2"/>
        <v>2030</v>
      </c>
      <c r="H19" s="31">
        <f t="shared" si="0"/>
        <v>0</v>
      </c>
      <c r="I19" s="32" t="e">
        <f t="shared" si="3"/>
        <v>#REF!</v>
      </c>
      <c r="J19" s="31">
        <f t="shared" si="1"/>
        <v>0</v>
      </c>
      <c r="K19" s="32" t="e">
        <f t="shared" si="4"/>
        <v>#REF!</v>
      </c>
    </row>
    <row r="20" spans="1:11" x14ac:dyDescent="0.3">
      <c r="A20" s="14" t="s">
        <v>44</v>
      </c>
      <c r="B20" s="29" t="e">
        <f>'Assumed Values'!C19</f>
        <v>#REF!</v>
      </c>
      <c r="G20" s="10">
        <f t="shared" si="2"/>
        <v>2031</v>
      </c>
      <c r="H20" s="31">
        <f t="shared" si="0"/>
        <v>0</v>
      </c>
      <c r="I20" s="30" t="e">
        <f t="shared" si="3"/>
        <v>#REF!</v>
      </c>
      <c r="J20" s="31">
        <f t="shared" si="1"/>
        <v>0</v>
      </c>
      <c r="K20" s="30" t="e">
        <f t="shared" si="4"/>
        <v>#REF!</v>
      </c>
    </row>
    <row r="21" spans="1:11" x14ac:dyDescent="0.3">
      <c r="A21" s="14" t="s">
        <v>45</v>
      </c>
      <c r="B21" s="29" t="e">
        <f>'Assumed Values'!C20</f>
        <v>#REF!</v>
      </c>
      <c r="G21" s="11">
        <f t="shared" si="2"/>
        <v>2032</v>
      </c>
      <c r="H21" s="31">
        <f t="shared" si="0"/>
        <v>0</v>
      </c>
      <c r="I21" s="32" t="e">
        <f t="shared" si="3"/>
        <v>#REF!</v>
      </c>
      <c r="J21" s="31">
        <f t="shared" si="1"/>
        <v>0</v>
      </c>
      <c r="K21" s="32" t="e">
        <f t="shared" si="4"/>
        <v>#REF!</v>
      </c>
    </row>
    <row r="22" spans="1:11" x14ac:dyDescent="0.3">
      <c r="A22" s="14" t="s">
        <v>26</v>
      </c>
      <c r="B22" s="14">
        <v>260</v>
      </c>
      <c r="G22" s="10">
        <f t="shared" si="2"/>
        <v>2033</v>
      </c>
      <c r="H22" s="31">
        <f t="shared" si="0"/>
        <v>0</v>
      </c>
      <c r="I22" s="30" t="e">
        <f t="shared" si="3"/>
        <v>#REF!</v>
      </c>
      <c r="J22" s="31">
        <f t="shared" si="1"/>
        <v>0</v>
      </c>
      <c r="K22" s="30" t="e">
        <f t="shared" si="4"/>
        <v>#REF!</v>
      </c>
    </row>
    <row r="23" spans="1:11" x14ac:dyDescent="0.3">
      <c r="G23" s="11">
        <f t="shared" si="2"/>
        <v>2034</v>
      </c>
      <c r="H23" s="31">
        <f t="shared" si="0"/>
        <v>0</v>
      </c>
      <c r="I23" s="32" t="e">
        <f t="shared" si="3"/>
        <v>#REF!</v>
      </c>
      <c r="J23" s="31">
        <f t="shared" si="1"/>
        <v>0</v>
      </c>
      <c r="K23" s="32" t="e">
        <f t="shared" si="4"/>
        <v>#REF!</v>
      </c>
    </row>
    <row r="24" spans="1:11" x14ac:dyDescent="0.3">
      <c r="G24" s="10">
        <f t="shared" si="2"/>
        <v>2035</v>
      </c>
      <c r="H24" s="31">
        <f t="shared" si="0"/>
        <v>0</v>
      </c>
      <c r="I24" s="30" t="e">
        <f t="shared" si="3"/>
        <v>#REF!</v>
      </c>
      <c r="J24" s="31">
        <f t="shared" si="1"/>
        <v>0</v>
      </c>
      <c r="K24" s="30" t="e">
        <f t="shared" si="4"/>
        <v>#REF!</v>
      </c>
    </row>
    <row r="25" spans="1:11" x14ac:dyDescent="0.3">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3">
      <c r="G26" s="10">
        <f t="shared" si="2"/>
        <v>2037</v>
      </c>
      <c r="H26" s="31">
        <f t="shared" si="5"/>
        <v>0</v>
      </c>
      <c r="I26" s="30" t="e">
        <f t="shared" si="6"/>
        <v>#REF!</v>
      </c>
      <c r="J26" s="31">
        <f t="shared" si="7"/>
        <v>0</v>
      </c>
      <c r="K26" s="30" t="e">
        <f t="shared" si="8"/>
        <v>#REF!</v>
      </c>
    </row>
    <row r="27" spans="1:11" x14ac:dyDescent="0.3">
      <c r="G27" s="11">
        <f t="shared" si="2"/>
        <v>2038</v>
      </c>
      <c r="H27" s="31">
        <f t="shared" si="5"/>
        <v>0</v>
      </c>
      <c r="I27" s="32" t="e">
        <f t="shared" si="6"/>
        <v>#REF!</v>
      </c>
      <c r="J27" s="31">
        <f t="shared" si="7"/>
        <v>0</v>
      </c>
      <c r="K27" s="32" t="e">
        <f t="shared" si="8"/>
        <v>#REF!</v>
      </c>
    </row>
    <row r="28" spans="1:11" x14ac:dyDescent="0.3">
      <c r="G28" s="10">
        <f t="shared" si="2"/>
        <v>2039</v>
      </c>
      <c r="H28" s="31">
        <f t="shared" si="5"/>
        <v>0</v>
      </c>
      <c r="I28" s="30" t="e">
        <f t="shared" si="6"/>
        <v>#REF!</v>
      </c>
      <c r="J28" s="31">
        <f t="shared" si="7"/>
        <v>0</v>
      </c>
      <c r="K28" s="30" t="e">
        <f t="shared" si="8"/>
        <v>#REF!</v>
      </c>
    </row>
    <row r="29" spans="1:11" x14ac:dyDescent="0.3">
      <c r="G29" s="11">
        <f t="shared" si="2"/>
        <v>2040</v>
      </c>
      <c r="H29" s="31">
        <f>IF($G29&lt;($G$4+$E$5),$E$17,0)</f>
        <v>0</v>
      </c>
      <c r="I29" s="32" t="e">
        <f t="shared" si="6"/>
        <v>#REF!</v>
      </c>
      <c r="J29" s="31">
        <f>IF($G29&lt;($G$4+$E$5),$E$18,0)</f>
        <v>0</v>
      </c>
      <c r="K29" s="32" t="e">
        <f t="shared" si="8"/>
        <v>#REF!</v>
      </c>
    </row>
    <row r="31" spans="1:11" x14ac:dyDescent="0.3">
      <c r="A31" s="22"/>
    </row>
    <row r="53" spans="1:1" x14ac:dyDescent="0.3">
      <c r="A53" t="s">
        <v>27</v>
      </c>
    </row>
    <row r="54" spans="1:1" x14ac:dyDescent="0.3">
      <c r="A54" t="s">
        <v>28</v>
      </c>
    </row>
    <row r="55" spans="1:1" x14ac:dyDescent="0.3">
      <c r="A55" t="s">
        <v>29</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abSelected="1" topLeftCell="A14" zoomScale="85" zoomScaleNormal="85" workbookViewId="0">
      <selection activeCell="C27" sqref="C27"/>
    </sheetView>
  </sheetViews>
  <sheetFormatPr defaultColWidth="9.109375" defaultRowHeight="14.4" x14ac:dyDescent="0.3"/>
  <cols>
    <col min="1" max="1" width="9.109375" style="87"/>
    <col min="2" max="2" width="46.6640625" style="87" customWidth="1"/>
    <col min="3" max="3" width="25.5546875" style="87" customWidth="1"/>
    <col min="4" max="4" width="6" style="87" customWidth="1"/>
    <col min="5" max="5" width="5.88671875" style="87" customWidth="1"/>
    <col min="6" max="6" width="23.88671875" style="87" customWidth="1"/>
    <col min="7" max="7" width="19.109375" style="87" customWidth="1"/>
    <col min="8" max="8" width="14.109375" style="87" customWidth="1"/>
    <col min="9" max="9" width="13.6640625" style="87" customWidth="1"/>
    <col min="10" max="10" width="12" style="87" customWidth="1"/>
    <col min="11" max="12" width="9.109375" style="87"/>
    <col min="13" max="13" width="11.5546875" style="87" bestFit="1" customWidth="1"/>
    <col min="14" max="16384" width="9.109375" style="87"/>
  </cols>
  <sheetData>
    <row r="2" spans="2:19" ht="18" x14ac:dyDescent="0.3">
      <c r="B2" s="115" t="s">
        <v>46</v>
      </c>
      <c r="C2" s="116"/>
      <c r="D2" s="116"/>
      <c r="E2" s="116"/>
      <c r="F2" s="116"/>
    </row>
    <row r="4" spans="2:19" x14ac:dyDescent="0.3">
      <c r="B4" s="202" t="s">
        <v>0</v>
      </c>
      <c r="C4" s="203"/>
      <c r="E4" s="117"/>
      <c r="F4" s="87" t="s">
        <v>47</v>
      </c>
    </row>
    <row r="5" spans="2:19" x14ac:dyDescent="0.3">
      <c r="B5" s="117" t="s">
        <v>48</v>
      </c>
      <c r="C5" s="118" t="s">
        <v>49</v>
      </c>
      <c r="D5" s="119"/>
      <c r="E5" s="120"/>
      <c r="F5" s="87" t="s">
        <v>50</v>
      </c>
    </row>
    <row r="6" spans="2:19" x14ac:dyDescent="0.3">
      <c r="B6" s="117" t="s">
        <v>51</v>
      </c>
      <c r="C6" s="121" t="s">
        <v>52</v>
      </c>
      <c r="E6" s="122"/>
      <c r="F6" s="87" t="s">
        <v>53</v>
      </c>
    </row>
    <row r="7" spans="2:19" x14ac:dyDescent="0.3">
      <c r="B7" s="117" t="s">
        <v>54</v>
      </c>
      <c r="C7" s="121" t="s">
        <v>55</v>
      </c>
    </row>
    <row r="8" spans="2:19" x14ac:dyDescent="0.3">
      <c r="B8" s="117" t="s">
        <v>56</v>
      </c>
      <c r="C8" s="121" t="s">
        <v>49</v>
      </c>
    </row>
    <row r="9" spans="2:19" x14ac:dyDescent="0.3">
      <c r="B9" s="117" t="s">
        <v>57</v>
      </c>
      <c r="C9" s="121" t="s">
        <v>58</v>
      </c>
      <c r="E9" s="123" t="s">
        <v>59</v>
      </c>
    </row>
    <row r="10" spans="2:19" x14ac:dyDescent="0.3">
      <c r="B10" s="117" t="s">
        <v>60</v>
      </c>
      <c r="C10" s="121" t="s">
        <v>61</v>
      </c>
    </row>
    <row r="11" spans="2:19" x14ac:dyDescent="0.3">
      <c r="B11" s="117" t="s">
        <v>62</v>
      </c>
      <c r="C11" s="121">
        <v>0.69</v>
      </c>
      <c r="D11" s="124"/>
      <c r="N11" s="201"/>
      <c r="O11" s="201"/>
      <c r="P11" s="201"/>
      <c r="Q11" s="201"/>
      <c r="R11" s="201"/>
      <c r="S11" s="201"/>
    </row>
    <row r="12" spans="2:19" ht="28.8" x14ac:dyDescent="0.3">
      <c r="B12" s="125" t="s">
        <v>63</v>
      </c>
      <c r="C12" s="121">
        <v>1204</v>
      </c>
    </row>
    <row r="13" spans="2:19" x14ac:dyDescent="0.3">
      <c r="B13" s="117" t="s">
        <v>64</v>
      </c>
      <c r="C13" s="121"/>
    </row>
    <row r="15" spans="2:19" x14ac:dyDescent="0.3">
      <c r="B15" s="202" t="s">
        <v>65</v>
      </c>
      <c r="C15" s="203"/>
    </row>
    <row r="16" spans="2:19" x14ac:dyDescent="0.3">
      <c r="B16" s="117" t="s">
        <v>66</v>
      </c>
      <c r="C16" s="139">
        <v>2029</v>
      </c>
      <c r="D16" s="119"/>
      <c r="F16" s="126"/>
      <c r="M16" s="124"/>
    </row>
    <row r="17" spans="2:14" ht="28.8" x14ac:dyDescent="0.3">
      <c r="B17" s="127" t="s">
        <v>67</v>
      </c>
      <c r="C17" s="128" t="s">
        <v>261</v>
      </c>
    </row>
    <row r="18" spans="2:14" x14ac:dyDescent="0.3">
      <c r="B18" s="120" t="s">
        <v>69</v>
      </c>
      <c r="C18" s="136">
        <f>VLOOKUP($C$17,'CRF Lookup Table'!$B$3:$F$74,2,FALSE)</f>
        <v>136</v>
      </c>
    </row>
    <row r="19" spans="2:14" s="88" customFormat="1" ht="28.8" x14ac:dyDescent="0.3">
      <c r="B19" s="129" t="s">
        <v>70</v>
      </c>
      <c r="C19" s="137" t="str">
        <f>VLOOKUP($C$17,'CRF Lookup Table'!$B$3:$F$74,5,FALSE)</f>
        <v>Non-Intersection related (Roadway Related)</v>
      </c>
      <c r="D19" s="130"/>
      <c r="M19" s="87"/>
      <c r="N19" s="87"/>
    </row>
    <row r="20" spans="2:14" x14ac:dyDescent="0.3">
      <c r="B20" s="120" t="s">
        <v>71</v>
      </c>
      <c r="C20" s="140">
        <f>VLOOKUP($C$17,'CRF Lookup Table'!$B$3:$F$74,3,FALSE)</f>
        <v>0.35</v>
      </c>
    </row>
    <row r="21" spans="2:14" x14ac:dyDescent="0.3">
      <c r="B21" s="120" t="s">
        <v>72</v>
      </c>
      <c r="C21" s="136">
        <f>VLOOKUP($C$17,'CRF Lookup Table'!$B$3:$F$74,4,FALSE)</f>
        <v>5</v>
      </c>
    </row>
    <row r="22" spans="2:14" ht="28.8" x14ac:dyDescent="0.3">
      <c r="B22" s="127" t="s">
        <v>73</v>
      </c>
      <c r="C22" s="128" t="s">
        <v>313</v>
      </c>
    </row>
    <row r="23" spans="2:14" x14ac:dyDescent="0.3">
      <c r="B23" s="120" t="s">
        <v>69</v>
      </c>
      <c r="C23" s="136">
        <f>VLOOKUP(C22,'CRF Lookup Table'!$B$3:$F$74,2,FALSE)</f>
        <v>534</v>
      </c>
    </row>
    <row r="24" spans="2:14" s="88" customFormat="1" ht="28.8" x14ac:dyDescent="0.3">
      <c r="B24" s="129" t="s">
        <v>70</v>
      </c>
      <c r="C24" s="137" t="str">
        <f>VLOOKUP($C$22,'CRF Lookup Table'!$B$3:$F$74,5,FALSE)</f>
        <v>Non-Intersection related (Roadway Related)</v>
      </c>
      <c r="D24" s="130"/>
      <c r="M24" s="87"/>
      <c r="N24" s="87"/>
    </row>
    <row r="25" spans="2:14" x14ac:dyDescent="0.3">
      <c r="B25" s="120" t="s">
        <v>71</v>
      </c>
      <c r="C25" s="140">
        <f>VLOOKUP($C$22,'CRF Lookup Table'!$B$3:$F$74,3,FALSE)</f>
        <v>0.17</v>
      </c>
    </row>
    <row r="26" spans="2:14" x14ac:dyDescent="0.3">
      <c r="B26" s="120" t="s">
        <v>72</v>
      </c>
      <c r="C26" s="136">
        <f>VLOOKUP($C$22,'CRF Lookup Table'!$B$3:$F$74,4,FALSE)</f>
        <v>4</v>
      </c>
    </row>
    <row r="27" spans="2:14" x14ac:dyDescent="0.3">
      <c r="B27" s="127" t="s">
        <v>75</v>
      </c>
      <c r="C27" s="128" t="s">
        <v>271</v>
      </c>
    </row>
    <row r="28" spans="2:14" x14ac:dyDescent="0.3">
      <c r="B28" s="120" t="s">
        <v>69</v>
      </c>
      <c r="C28" s="136">
        <f>VLOOKUP($C$27,'CRF Lookup Table'!$B$3:$F$74,2,FALSE)</f>
        <v>209</v>
      </c>
    </row>
    <row r="29" spans="2:14" s="88" customFormat="1" ht="28.8" x14ac:dyDescent="0.3">
      <c r="B29" s="129" t="s">
        <v>70</v>
      </c>
      <c r="C29" s="137" t="str">
        <f>VLOOKUP($C$27,'CRF Lookup Table'!$B$3:$F$74,5,FALSE)</f>
        <v>Non-Intersection related (Roadway Related)</v>
      </c>
      <c r="D29" s="130"/>
      <c r="F29" s="131"/>
      <c r="M29" s="87"/>
      <c r="N29" s="87"/>
    </row>
    <row r="30" spans="2:14" x14ac:dyDescent="0.3">
      <c r="B30" s="120" t="s">
        <v>71</v>
      </c>
      <c r="C30" s="140">
        <f>VLOOKUP($C$27,'CRF Lookup Table'!$B$3:$F$74,3,FALSE)</f>
        <v>0.5</v>
      </c>
    </row>
    <row r="31" spans="2:14" x14ac:dyDescent="0.3">
      <c r="B31" s="120" t="s">
        <v>72</v>
      </c>
      <c r="C31" s="136">
        <f>VLOOKUP($C$27,'CRF Lookup Table'!$B$3:$F$74,4,FALSE)</f>
        <v>20</v>
      </c>
    </row>
    <row r="32" spans="2:14" x14ac:dyDescent="0.3">
      <c r="B32" s="127" t="s">
        <v>77</v>
      </c>
      <c r="C32" s="128" t="s">
        <v>116</v>
      </c>
    </row>
    <row r="33" spans="2:14" x14ac:dyDescent="0.3">
      <c r="B33" s="120" t="s">
        <v>69</v>
      </c>
      <c r="C33" s="136">
        <f>VLOOKUP($C$32,'CRF Lookup Table'!B4:G75,2,FALSE)</f>
        <v>0</v>
      </c>
    </row>
    <row r="34" spans="2:14" s="88" customFormat="1" ht="25.8" x14ac:dyDescent="0.3">
      <c r="B34" s="129" t="s">
        <v>70</v>
      </c>
      <c r="C34" s="137" t="str">
        <f>VLOOKUP($C$32,'CRF Lookup Table'!B4:G75,5,FALSE)</f>
        <v>Blank</v>
      </c>
      <c r="D34" s="130"/>
      <c r="F34" s="131"/>
      <c r="M34" s="87"/>
      <c r="N34" s="87"/>
    </row>
    <row r="35" spans="2:14" x14ac:dyDescent="0.3">
      <c r="B35" s="120" t="s">
        <v>71</v>
      </c>
      <c r="C35" s="140">
        <f>VLOOKUP($C$32,'CRF Lookup Table'!$B$3:$F$74,3,FALSE)</f>
        <v>0</v>
      </c>
    </row>
    <row r="36" spans="2:14" x14ac:dyDescent="0.3">
      <c r="B36" s="120" t="s">
        <v>72</v>
      </c>
      <c r="C36" s="136">
        <f>VLOOKUP($C$32,'CRF Lookup Table'!B4:G74,4,FALSE)</f>
        <v>0</v>
      </c>
    </row>
    <row r="39" spans="2:14" x14ac:dyDescent="0.3">
      <c r="B39" s="202" t="s">
        <v>79</v>
      </c>
      <c r="C39" s="203"/>
      <c r="D39" s="132"/>
    </row>
    <row r="40" spans="2:14" x14ac:dyDescent="0.3">
      <c r="B40" s="117" t="s">
        <v>80</v>
      </c>
      <c r="C40" s="135">
        <v>3237</v>
      </c>
      <c r="H40" s="124"/>
    </row>
    <row r="41" spans="2:14" x14ac:dyDescent="0.3">
      <c r="B41" s="117" t="s">
        <v>81</v>
      </c>
      <c r="C41" s="135">
        <v>3541</v>
      </c>
    </row>
    <row r="42" spans="2:14" x14ac:dyDescent="0.3">
      <c r="B42" s="120" t="s">
        <v>82</v>
      </c>
      <c r="C42" s="138">
        <v>2</v>
      </c>
    </row>
    <row r="43" spans="2:14" ht="28.8" x14ac:dyDescent="0.3">
      <c r="B43" s="133" t="s">
        <v>83</v>
      </c>
      <c r="C43" s="138">
        <v>5</v>
      </c>
    </row>
    <row r="44" spans="2:14" x14ac:dyDescent="0.3">
      <c r="H44" s="124"/>
    </row>
    <row r="46" spans="2:14" ht="18" x14ac:dyDescent="0.3">
      <c r="B46" s="115" t="s">
        <v>84</v>
      </c>
      <c r="C46" s="116"/>
      <c r="D46" s="116"/>
      <c r="E46" s="116"/>
      <c r="F46" s="116"/>
    </row>
    <row r="48" spans="2:14" x14ac:dyDescent="0.3">
      <c r="B48" s="199" t="s">
        <v>85</v>
      </c>
      <c r="C48" s="200"/>
    </row>
    <row r="49" spans="2:4" x14ac:dyDescent="0.3">
      <c r="B49" s="122" t="s">
        <v>86</v>
      </c>
      <c r="C49" s="68">
        <f>Calculations!X37</f>
        <v>158.95910140357699</v>
      </c>
      <c r="D49" s="134"/>
    </row>
  </sheetData>
  <mergeCells count="6">
    <mergeCell ref="B48:C48"/>
    <mergeCell ref="N11:P11"/>
    <mergeCell ref="Q11:S11"/>
    <mergeCell ref="B4:C4"/>
    <mergeCell ref="B15:C15"/>
    <mergeCell ref="B39:C39"/>
  </mergeCells>
  <dataValidations count="1">
    <dataValidation type="list" allowBlank="1" showInputMessage="1" showErrorMessage="1" sqref="D6:D7" xr:uid="{00000000-0002-0000-0300-000000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E82BF87A-3ACB-499E-B14A-B2D01385F60A}">
          <x14:formula1>
            <xm:f>Calculations!$I$7:$I$139</xm:f>
          </x14:formula1>
          <xm:sqref>C16</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85" zoomScaleNormal="85" workbookViewId="0">
      <selection activeCell="C5" sqref="C5"/>
    </sheetView>
  </sheetViews>
  <sheetFormatPr defaultColWidth="8.88671875" defaultRowHeight="14.4" x14ac:dyDescent="0.3"/>
  <cols>
    <col min="1" max="1" width="8.88671875" style="76"/>
    <col min="2" max="2" width="27.6640625" style="76" bestFit="1" customWidth="1"/>
    <col min="3" max="3" width="15" style="76" customWidth="1"/>
    <col min="4" max="4" width="17.109375" style="76" customWidth="1"/>
    <col min="5" max="5" width="16.44140625" style="76" bestFit="1" customWidth="1"/>
    <col min="6" max="6" width="21.5546875" style="76" customWidth="1"/>
    <col min="7" max="7" width="2.88671875" style="76" customWidth="1"/>
    <col min="8" max="8" width="27.5546875" style="76" customWidth="1"/>
    <col min="9" max="9" width="14.109375" style="76" customWidth="1"/>
    <col min="10" max="10" width="15.109375" style="76" bestFit="1" customWidth="1"/>
    <col min="11" max="11" width="16.44140625" style="76" bestFit="1" customWidth="1"/>
    <col min="12" max="12" width="23.109375" style="76" customWidth="1"/>
    <col min="13" max="13" width="9.6640625" style="76" customWidth="1"/>
    <col min="14" max="14" width="30.109375" style="76" customWidth="1"/>
    <col min="15" max="15" width="12" style="76" customWidth="1"/>
    <col min="16" max="17" width="15.33203125" style="76" customWidth="1"/>
    <col min="18" max="18" width="26.88671875" style="76" customWidth="1"/>
    <col min="19" max="19" width="5.109375" style="76" customWidth="1"/>
    <col min="20" max="20" width="4.88671875" style="76" customWidth="1"/>
    <col min="21" max="21" width="23.5546875" style="76" bestFit="1" customWidth="1"/>
    <col min="22" max="22" width="19.44140625" style="76" bestFit="1" customWidth="1"/>
    <col min="23" max="16384" width="8.88671875" style="76"/>
  </cols>
  <sheetData>
    <row r="1" spans="1:22" ht="33.75" customHeight="1" x14ac:dyDescent="0.3">
      <c r="A1"/>
      <c r="B1" s="91"/>
      <c r="C1" s="208" t="s">
        <v>87</v>
      </c>
      <c r="D1" s="208"/>
      <c r="E1" s="86"/>
      <c r="F1" s="209" t="s">
        <v>50</v>
      </c>
      <c r="G1" s="209"/>
      <c r="H1" s="209"/>
      <c r="I1"/>
      <c r="J1"/>
      <c r="K1"/>
      <c r="L1"/>
      <c r="M1"/>
      <c r="N1"/>
      <c r="O1"/>
      <c r="P1"/>
      <c r="Q1"/>
      <c r="R1"/>
      <c r="S1"/>
      <c r="T1"/>
      <c r="U1"/>
      <c r="V1"/>
    </row>
    <row r="2" spans="1:22" x14ac:dyDescent="0.3">
      <c r="A2"/>
      <c r="B2"/>
      <c r="C2"/>
      <c r="D2"/>
      <c r="E2"/>
      <c r="F2"/>
      <c r="G2"/>
      <c r="H2"/>
      <c r="I2"/>
      <c r="J2"/>
      <c r="K2"/>
      <c r="L2"/>
      <c r="M2"/>
      <c r="N2"/>
      <c r="O2"/>
      <c r="P2"/>
      <c r="Q2"/>
      <c r="R2"/>
      <c r="S2"/>
      <c r="T2"/>
      <c r="U2"/>
      <c r="V2"/>
    </row>
    <row r="3" spans="1:22" x14ac:dyDescent="0.3">
      <c r="A3"/>
      <c r="B3" s="204" t="s">
        <v>88</v>
      </c>
      <c r="C3" s="205"/>
      <c r="D3" s="205"/>
      <c r="E3" s="205"/>
      <c r="F3" s="206"/>
      <c r="G3"/>
      <c r="H3" s="204" t="s">
        <v>89</v>
      </c>
      <c r="I3" s="205"/>
      <c r="J3" s="205"/>
      <c r="K3" s="205"/>
      <c r="L3" s="206"/>
      <c r="M3"/>
      <c r="N3" s="204" t="s">
        <v>90</v>
      </c>
      <c r="O3" s="205"/>
      <c r="P3" s="205"/>
      <c r="Q3" s="205"/>
      <c r="R3" s="206"/>
      <c r="S3"/>
      <c r="T3"/>
      <c r="U3"/>
      <c r="V3"/>
    </row>
    <row r="4" spans="1:22" s="89" customFormat="1" ht="57.6" x14ac:dyDescent="0.3">
      <c r="A4" s="92"/>
      <c r="B4" s="93" t="s">
        <v>91</v>
      </c>
      <c r="C4" s="94" t="s">
        <v>92</v>
      </c>
      <c r="D4" s="93" t="s">
        <v>93</v>
      </c>
      <c r="E4" s="93" t="s">
        <v>94</v>
      </c>
      <c r="F4" s="93" t="s">
        <v>95</v>
      </c>
      <c r="G4" s="92"/>
      <c r="H4" s="93" t="s">
        <v>91</v>
      </c>
      <c r="I4" s="94" t="s">
        <v>96</v>
      </c>
      <c r="J4" s="93" t="s">
        <v>93</v>
      </c>
      <c r="K4" s="93" t="s">
        <v>94</v>
      </c>
      <c r="L4" s="93" t="s">
        <v>95</v>
      </c>
      <c r="M4" s="92"/>
      <c r="N4" s="93" t="s">
        <v>91</v>
      </c>
      <c r="O4" s="94" t="s">
        <v>97</v>
      </c>
      <c r="P4" s="93" t="s">
        <v>93</v>
      </c>
      <c r="Q4" s="93" t="s">
        <v>94</v>
      </c>
      <c r="R4" s="93" t="s">
        <v>98</v>
      </c>
      <c r="S4" s="92"/>
      <c r="T4" s="92"/>
      <c r="U4" s="93" t="s">
        <v>99</v>
      </c>
      <c r="V4" s="93" t="s">
        <v>100</v>
      </c>
    </row>
    <row r="5" spans="1:22" x14ac:dyDescent="0.3">
      <c r="A5"/>
      <c r="B5" s="91" t="s">
        <v>101</v>
      </c>
      <c r="C5" s="66">
        <f>(SUMIFS('Raw Crash data'!Z:Z,'Raw Crash data'!Q:Q,$U$5)+SUMIFS('Raw Crash data'!Z:Z,'Raw Crash data'!Q:Q,$U$6))</f>
        <v>0</v>
      </c>
      <c r="D5" s="69">
        <f>C5/5</f>
        <v>0</v>
      </c>
      <c r="E5" s="70">
        <f>(100000000*$C5)/(365*5*'Inputs &amp; Outputs'!$C$40*'Inputs &amp; Outputs'!$C$11)</f>
        <v>0</v>
      </c>
      <c r="F5" s="70">
        <f>(E5*('Inputs &amp; Outputs'!$C$41*'Inputs &amp; Outputs'!$C$11*365))/100000000</f>
        <v>0</v>
      </c>
      <c r="G5"/>
      <c r="H5" s="91" t="s">
        <v>101</v>
      </c>
      <c r="I5" s="66">
        <f>SUMIFS('Raw Crash data'!Z:Z,'Raw Crash data'!Q:Q,$V$5)+SUMIFS('Raw Crash data'!Z:Z,'Raw Crash data'!Q:Q,$V$6)</f>
        <v>0</v>
      </c>
      <c r="J5" s="69">
        <f>I5/5</f>
        <v>0</v>
      </c>
      <c r="K5" s="70">
        <f>(100000000*$I5)/(365*5*'Inputs &amp; Outputs'!$C$40*'Inputs &amp; Outputs'!$C$11)</f>
        <v>0</v>
      </c>
      <c r="L5" s="70">
        <f>($K5*(('Inputs &amp; Outputs'!$C$41*'Inputs &amp; Outputs'!$C$11*365)/100000000))</f>
        <v>0</v>
      </c>
      <c r="M5"/>
      <c r="N5" s="91" t="s">
        <v>101</v>
      </c>
      <c r="O5" s="66">
        <f>C5+I5</f>
        <v>0</v>
      </c>
      <c r="P5" s="69">
        <f>O5/5</f>
        <v>0</v>
      </c>
      <c r="Q5" s="70">
        <f>(100000000*$O5)/(365*5*'Inputs &amp; Outputs'!$C$40*'Inputs &amp; Outputs'!$C$11)</f>
        <v>0</v>
      </c>
      <c r="R5" s="70">
        <f>($Q5*(('Inputs &amp; Outputs'!$C$41*'Inputs &amp; Outputs'!$C$11*365)/100000000))</f>
        <v>0</v>
      </c>
      <c r="S5"/>
      <c r="T5"/>
      <c r="U5" s="67" t="s">
        <v>102</v>
      </c>
      <c r="V5" s="67" t="s">
        <v>103</v>
      </c>
    </row>
    <row r="6" spans="1:22" x14ac:dyDescent="0.3">
      <c r="A6"/>
      <c r="B6" s="91" t="s">
        <v>104</v>
      </c>
      <c r="C6" s="66">
        <f>(SUMIFS('Raw Crash data'!AA:AA,'Raw Crash data'!Q:Q,$U$5)+SUMIFS('Raw Crash data'!AA:AA,'Raw Crash data'!Q:Q,$U$6))</f>
        <v>0</v>
      </c>
      <c r="D6" s="69">
        <f>C6/5</f>
        <v>0</v>
      </c>
      <c r="E6" s="70">
        <f>(100000000*$C6)/(365*5*'Inputs &amp; Outputs'!$C$40*'Inputs &amp; Outputs'!$C$11)</f>
        <v>0</v>
      </c>
      <c r="F6" s="70">
        <f>(E6*('Inputs &amp; Outputs'!$C$41*'Inputs &amp; Outputs'!$C$11*365))/100000000</f>
        <v>0</v>
      </c>
      <c r="G6"/>
      <c r="H6" s="91" t="s">
        <v>104</v>
      </c>
      <c r="I6" s="66">
        <f>(SUMIFS('Raw Crash data'!AA:AA,'Raw Crash data'!Q:Q,$V$5)+SUMIFS('Raw Crash data'!AA:AA,'Raw Crash data'!Q:Q,$V$8))</f>
        <v>1</v>
      </c>
      <c r="J6" s="69">
        <f>I6/5</f>
        <v>0.2</v>
      </c>
      <c r="K6" s="70">
        <f>(100000000*$I6)/(365*5*'Inputs &amp; Outputs'!$C$40*'Inputs &amp; Outputs'!$C$11)</f>
        <v>24.532699604637148</v>
      </c>
      <c r="L6" s="70">
        <f>($K6*(('Inputs &amp; Outputs'!$C$41*'Inputs &amp; Outputs'!$C$11*365)/100000000))</f>
        <v>0.21878282360210072</v>
      </c>
      <c r="M6"/>
      <c r="N6" s="91" t="s">
        <v>104</v>
      </c>
      <c r="O6" s="66">
        <f t="shared" ref="O6:O30" si="0">C6+I6</f>
        <v>1</v>
      </c>
      <c r="P6" s="69">
        <f>O6/5</f>
        <v>0.2</v>
      </c>
      <c r="Q6" s="70">
        <f>(100000000*$O6)/(365*5*'Inputs &amp; Outputs'!$C$40*'Inputs &amp; Outputs'!$C$11)</f>
        <v>24.532699604637148</v>
      </c>
      <c r="R6" s="70">
        <f>($Q6*(('Inputs &amp; Outputs'!$C$41*'Inputs &amp; Outputs'!$C$11*365)/100000000))</f>
        <v>0.21878282360210072</v>
      </c>
      <c r="S6"/>
      <c r="T6"/>
      <c r="U6" s="67" t="s">
        <v>105</v>
      </c>
      <c r="V6" s="67" t="s">
        <v>106</v>
      </c>
    </row>
    <row r="7" spans="1:22" x14ac:dyDescent="0.3">
      <c r="A7"/>
      <c r="B7" s="91" t="s">
        <v>107</v>
      </c>
      <c r="C7" s="66">
        <f>(SUMIFS('Raw Crash data'!AB:AB,'Raw Crash data'!Q:Q,$U$5)+SUMIFS('Raw Crash data'!AB:AB,'Raw Crash data'!Q:Q,$U$6))</f>
        <v>0</v>
      </c>
      <c r="D7" s="69">
        <f t="shared" ref="D7:D8" si="1">C7/5</f>
        <v>0</v>
      </c>
      <c r="E7" s="70">
        <f>(100000000*$C7)/(365*5*'Inputs &amp; Outputs'!$C$40*'Inputs &amp; Outputs'!$C$11)</f>
        <v>0</v>
      </c>
      <c r="F7" s="70">
        <f>(E7*('Inputs &amp; Outputs'!$C$41*'Inputs &amp; Outputs'!$C$11*365))/100000000</f>
        <v>0</v>
      </c>
      <c r="G7"/>
      <c r="H7" s="91" t="s">
        <v>107</v>
      </c>
      <c r="I7" s="66">
        <f>(SUMIFS('Raw Crash data'!AB:AB,'Raw Crash data'!Q:Q,$V$5)+SUMIFS('Raw Crash data'!AB:AB,'Raw Crash data'!Q:Q,$V$6))</f>
        <v>0</v>
      </c>
      <c r="J7" s="69">
        <f t="shared" ref="J7:J8" si="2">I7/5</f>
        <v>0</v>
      </c>
      <c r="K7" s="70">
        <f>(100000000*$I7)/(365*5*'Inputs &amp; Outputs'!$C$40*'Inputs &amp; Outputs'!$C$11)</f>
        <v>0</v>
      </c>
      <c r="L7" s="70">
        <f>($K7*(('Inputs &amp; Outputs'!$C$41*'Inputs &amp; Outputs'!$C$11*365)/100000000))</f>
        <v>0</v>
      </c>
      <c r="M7"/>
      <c r="N7" s="91" t="s">
        <v>107</v>
      </c>
      <c r="O7" s="66">
        <f t="shared" si="0"/>
        <v>0</v>
      </c>
      <c r="P7" s="69">
        <f t="shared" ref="P7:P8" si="3">O7/5</f>
        <v>0</v>
      </c>
      <c r="Q7" s="70">
        <f>(100000000*$O7)/(365*5*'Inputs &amp; Outputs'!$C$40*'Inputs &amp; Outputs'!$C$11)</f>
        <v>0</v>
      </c>
      <c r="R7" s="70">
        <f>($Q7*(('Inputs &amp; Outputs'!$C$41*'Inputs &amp; Outputs'!$C$11*365)/100000000))</f>
        <v>0</v>
      </c>
      <c r="S7"/>
      <c r="T7"/>
      <c r="U7"/>
      <c r="V7"/>
    </row>
    <row r="8" spans="1:22" x14ac:dyDescent="0.3">
      <c r="A8"/>
      <c r="B8" s="91" t="s">
        <v>108</v>
      </c>
      <c r="C8" s="66">
        <f>(SUMIFS('Raw Crash data'!AC:AC,'Raw Crash data'!Q:Q,$U$5)+SUMIFS('Raw Crash data'!AC:AC,'Raw Crash data'!Q:Q,$U$6))</f>
        <v>3</v>
      </c>
      <c r="D8" s="69">
        <f t="shared" si="1"/>
        <v>0.6</v>
      </c>
      <c r="E8" s="70">
        <f>(100000000*$C8)/(365*5*'Inputs &amp; Outputs'!$C$40*'Inputs &amp; Outputs'!$C$11)</f>
        <v>73.598098813911449</v>
      </c>
      <c r="F8" s="70">
        <f>(E8*('Inputs &amp; Outputs'!$C$41*'Inputs &amp; Outputs'!$C$11*365))/100000000</f>
        <v>0.65634847080630221</v>
      </c>
      <c r="G8"/>
      <c r="H8" s="91" t="s">
        <v>108</v>
      </c>
      <c r="I8" s="66">
        <f>(SUMIFS('Raw Crash data'!AC:AC,'Raw Crash data'!Q:Q,$V$5)+SUMIFS('Raw Crash data'!AC:AC,'Raw Crash data'!Q:Q,$V$6))</f>
        <v>1</v>
      </c>
      <c r="J8" s="69">
        <f t="shared" si="2"/>
        <v>0.2</v>
      </c>
      <c r="K8" s="70">
        <f>(100000000*$I8)/(365*5*'Inputs &amp; Outputs'!$C$40*'Inputs &amp; Outputs'!$C$11)</f>
        <v>24.532699604637148</v>
      </c>
      <c r="L8" s="70">
        <f>($K8*(('Inputs &amp; Outputs'!$C$41*'Inputs &amp; Outputs'!$C$11*365)/100000000))</f>
        <v>0.21878282360210072</v>
      </c>
      <c r="M8"/>
      <c r="N8" s="91" t="s">
        <v>108</v>
      </c>
      <c r="O8" s="66">
        <f>C8+I8</f>
        <v>4</v>
      </c>
      <c r="P8" s="69">
        <f t="shared" si="3"/>
        <v>0.8</v>
      </c>
      <c r="Q8" s="70">
        <f>(100000000*$O8)/(365*5*'Inputs &amp; Outputs'!$C$40*'Inputs &amp; Outputs'!$C$11)</f>
        <v>98.130798418548594</v>
      </c>
      <c r="R8" s="70">
        <f>($Q8*(('Inputs &amp; Outputs'!$C$41*'Inputs &amp; Outputs'!$C$11*365)/100000000))</f>
        <v>0.87513129440840287</v>
      </c>
      <c r="S8"/>
      <c r="T8"/>
      <c r="U8"/>
      <c r="V8"/>
    </row>
    <row r="9" spans="1:22" x14ac:dyDescent="0.3">
      <c r="A9"/>
      <c r="B9" s="91"/>
      <c r="C9" s="66"/>
      <c r="D9" s="69"/>
      <c r="E9" s="70"/>
      <c r="F9" s="70"/>
      <c r="G9"/>
      <c r="H9" s="91"/>
      <c r="I9" s="66"/>
      <c r="J9" s="69"/>
      <c r="K9" s="70"/>
      <c r="L9" s="70"/>
      <c r="M9"/>
      <c r="N9" s="91"/>
      <c r="O9" s="66"/>
      <c r="P9" s="69"/>
      <c r="Q9" s="70"/>
      <c r="R9" s="70"/>
      <c r="S9"/>
      <c r="T9"/>
      <c r="U9"/>
      <c r="V9"/>
    </row>
    <row r="10" spans="1:22" x14ac:dyDescent="0.3">
      <c r="A10"/>
      <c r="B10"/>
      <c r="C10"/>
      <c r="D10"/>
      <c r="E10" s="73"/>
      <c r="F10" s="73"/>
      <c r="G10"/>
      <c r="H10"/>
      <c r="I10"/>
      <c r="J10"/>
      <c r="K10" s="73"/>
      <c r="L10" s="73"/>
      <c r="M10"/>
      <c r="N10"/>
      <c r="O10"/>
      <c r="P10"/>
      <c r="Q10"/>
      <c r="R10"/>
      <c r="S10"/>
      <c r="T10"/>
      <c r="U10"/>
      <c r="V10"/>
    </row>
    <row r="11" spans="1:22" s="89" customFormat="1" ht="15" customHeight="1" x14ac:dyDescent="0.3">
      <c r="A11" s="92"/>
      <c r="B11" s="207" t="s">
        <v>109</v>
      </c>
      <c r="C11" s="207"/>
      <c r="D11" s="207"/>
      <c r="E11" s="207"/>
      <c r="F11" s="207"/>
      <c r="G11" s="92"/>
      <c r="H11" s="95"/>
      <c r="I11" s="75"/>
      <c r="J11" s="75"/>
      <c r="K11" s="96"/>
      <c r="L11" s="96"/>
      <c r="M11" s="92"/>
      <c r="N11" s="92"/>
      <c r="O11" s="92"/>
      <c r="P11" s="92"/>
      <c r="Q11" s="92"/>
      <c r="R11" s="92"/>
      <c r="S11" s="92"/>
      <c r="T11" s="92"/>
      <c r="U11" s="92"/>
      <c r="V11" s="92"/>
    </row>
    <row r="12" spans="1:22" ht="28.8" x14ac:dyDescent="0.3">
      <c r="A12"/>
      <c r="B12" s="93"/>
      <c r="C12" s="93" t="s">
        <v>110</v>
      </c>
      <c r="D12" s="93" t="s">
        <v>111</v>
      </c>
      <c r="E12" s="93" t="s">
        <v>112</v>
      </c>
      <c r="F12" s="93" t="s">
        <v>113</v>
      </c>
      <c r="G12"/>
      <c r="H12" s="97"/>
      <c r="I12" s="98"/>
      <c r="J12" s="99"/>
      <c r="K12" s="100"/>
      <c r="L12" s="96"/>
      <c r="M12"/>
      <c r="N12"/>
      <c r="O12"/>
      <c r="P12"/>
      <c r="Q12"/>
      <c r="R12"/>
      <c r="S12"/>
      <c r="T12"/>
      <c r="U12"/>
      <c r="V12"/>
    </row>
    <row r="13" spans="1:22" ht="28.8" x14ac:dyDescent="0.3">
      <c r="A13"/>
      <c r="B13" s="93" t="s">
        <v>114</v>
      </c>
      <c r="C13" s="71">
        <f>$F$5</f>
        <v>0</v>
      </c>
      <c r="D13" s="71">
        <f>$F$6</f>
        <v>0</v>
      </c>
      <c r="E13" s="71">
        <f>$F$7</f>
        <v>0</v>
      </c>
      <c r="F13" s="71">
        <f>$F$8</f>
        <v>0.65634847080630221</v>
      </c>
      <c r="G13"/>
      <c r="H13" s="101"/>
      <c r="I13" s="75"/>
      <c r="J13" s="75"/>
      <c r="K13" s="75"/>
      <c r="L13" s="75"/>
      <c r="M13"/>
      <c r="N13"/>
      <c r="O13"/>
      <c r="P13"/>
      <c r="Q13"/>
      <c r="R13"/>
      <c r="S13"/>
      <c r="T13"/>
      <c r="U13"/>
      <c r="V13"/>
    </row>
    <row r="14" spans="1:22" x14ac:dyDescent="0.3">
      <c r="A14"/>
      <c r="B14" s="93" t="s">
        <v>115</v>
      </c>
      <c r="C14" s="71">
        <f>$L$5</f>
        <v>0</v>
      </c>
      <c r="D14" s="71">
        <f>$L$6</f>
        <v>0.21878282360210072</v>
      </c>
      <c r="E14" s="71">
        <f>$L$7</f>
        <v>0</v>
      </c>
      <c r="F14" s="71">
        <f>$L$8</f>
        <v>0.21878282360210072</v>
      </c>
      <c r="G14"/>
      <c r="H14" s="75"/>
      <c r="I14" s="75"/>
      <c r="J14" s="75"/>
      <c r="K14" s="75"/>
      <c r="L14" s="75"/>
      <c r="M14"/>
      <c r="N14"/>
      <c r="O14"/>
      <c r="P14"/>
      <c r="Q14"/>
      <c r="R14"/>
      <c r="S14"/>
      <c r="T14"/>
      <c r="U14"/>
      <c r="V14"/>
    </row>
    <row r="15" spans="1:22" x14ac:dyDescent="0.3">
      <c r="A15"/>
      <c r="B15" s="93" t="s">
        <v>116</v>
      </c>
      <c r="C15" s="71">
        <v>0</v>
      </c>
      <c r="D15" s="71">
        <v>0</v>
      </c>
      <c r="E15" s="71">
        <v>0</v>
      </c>
      <c r="F15" s="71">
        <v>0</v>
      </c>
      <c r="G15"/>
      <c r="H15" s="75"/>
      <c r="I15" s="75"/>
      <c r="J15" s="75"/>
      <c r="K15" s="75"/>
      <c r="L15" s="75"/>
      <c r="M15"/>
      <c r="N15"/>
      <c r="O15"/>
      <c r="P15"/>
      <c r="Q15"/>
      <c r="R15"/>
      <c r="S15"/>
      <c r="T15"/>
      <c r="U15"/>
      <c r="V15"/>
    </row>
    <row r="16" spans="1:22" x14ac:dyDescent="0.3">
      <c r="A16"/>
      <c r="B16" s="93" t="s">
        <v>117</v>
      </c>
      <c r="C16" s="71">
        <f>C13+C14</f>
        <v>0</v>
      </c>
      <c r="D16" s="71">
        <f t="shared" ref="D16:F16" si="4">D13+D14</f>
        <v>0.21878282360210072</v>
      </c>
      <c r="E16" s="71">
        <f t="shared" si="4"/>
        <v>0</v>
      </c>
      <c r="F16" s="71">
        <f t="shared" si="4"/>
        <v>0.87513129440840287</v>
      </c>
      <c r="G16"/>
      <c r="H16" s="75"/>
      <c r="I16" s="75"/>
      <c r="J16" s="75"/>
      <c r="K16" s="75"/>
      <c r="L16" s="75"/>
      <c r="M16"/>
      <c r="N16"/>
      <c r="O16"/>
      <c r="P16"/>
      <c r="Q16"/>
      <c r="R16"/>
      <c r="S16"/>
      <c r="T16"/>
      <c r="U16"/>
      <c r="V16"/>
    </row>
    <row r="17" spans="1:22" x14ac:dyDescent="0.3">
      <c r="A17"/>
      <c r="B17" s="102"/>
      <c r="C17" s="72"/>
      <c r="D17" s="72"/>
      <c r="E17" s="72"/>
      <c r="F17" s="72"/>
      <c r="G17"/>
      <c r="H17" s="75"/>
      <c r="I17" s="75"/>
      <c r="J17" s="75"/>
      <c r="K17" s="75"/>
      <c r="L17" s="75"/>
      <c r="M17"/>
      <c r="N17"/>
      <c r="O17"/>
      <c r="P17"/>
      <c r="Q17"/>
      <c r="R17"/>
      <c r="S17"/>
      <c r="T17"/>
      <c r="U17"/>
      <c r="V17"/>
    </row>
    <row r="18" spans="1:22" s="89" customFormat="1" ht="100.8" x14ac:dyDescent="0.3">
      <c r="A18" s="92"/>
      <c r="B18" s="93" t="s">
        <v>91</v>
      </c>
      <c r="C18" s="94" t="s">
        <v>92</v>
      </c>
      <c r="D18" s="93" t="s">
        <v>93</v>
      </c>
      <c r="E18" s="93" t="s">
        <v>118</v>
      </c>
      <c r="F18" s="93" t="s">
        <v>95</v>
      </c>
      <c r="G18" s="92"/>
      <c r="H18" s="93" t="s">
        <v>91</v>
      </c>
      <c r="I18" s="94" t="s">
        <v>96</v>
      </c>
      <c r="J18" s="93" t="s">
        <v>93</v>
      </c>
      <c r="K18" s="93" t="s">
        <v>119</v>
      </c>
      <c r="L18" s="93" t="s">
        <v>98</v>
      </c>
      <c r="M18" s="92"/>
      <c r="N18" s="93" t="s">
        <v>91</v>
      </c>
      <c r="O18" s="94" t="s">
        <v>97</v>
      </c>
      <c r="P18" s="93" t="s">
        <v>93</v>
      </c>
      <c r="Q18" s="93" t="s">
        <v>119</v>
      </c>
      <c r="R18" s="93" t="s">
        <v>98</v>
      </c>
      <c r="S18" s="92"/>
      <c r="T18" s="92"/>
      <c r="U18" s="93" t="s">
        <v>99</v>
      </c>
      <c r="V18" s="93" t="s">
        <v>100</v>
      </c>
    </row>
    <row r="19" spans="1:22" x14ac:dyDescent="0.3">
      <c r="A19"/>
      <c r="B19" s="91" t="s">
        <v>120</v>
      </c>
      <c r="C19" s="66">
        <f>(SUMIFS('Raw Crash data'!AG:AG,'Raw Crash data'!Q:Q,$U$5)+SUMIFS('Raw Crash data'!AG:AG,'Raw Crash data'!Q:Q,$U$6))</f>
        <v>0</v>
      </c>
      <c r="D19" s="69" t="s">
        <v>121</v>
      </c>
      <c r="E19" s="69" t="s">
        <v>121</v>
      </c>
      <c r="F19" s="69" t="s">
        <v>121</v>
      </c>
      <c r="G19"/>
      <c r="H19" s="91" t="s">
        <v>120</v>
      </c>
      <c r="I19" s="66">
        <f>(SUMIFS('Raw Crash data'!AG:AG,'Raw Crash data'!Q:Q,$V$5)+SUMIFS('Raw Crash data'!AG:AG,'Raw Crash data'!Q:Q,$V$6))</f>
        <v>0</v>
      </c>
      <c r="J19" s="69" t="s">
        <v>121</v>
      </c>
      <c r="K19" s="69" t="s">
        <v>121</v>
      </c>
      <c r="L19" s="69" t="s">
        <v>121</v>
      </c>
      <c r="M19"/>
      <c r="N19" s="91" t="s">
        <v>120</v>
      </c>
      <c r="O19" s="66">
        <f t="shared" si="0"/>
        <v>0</v>
      </c>
      <c r="P19" s="69" t="s">
        <v>121</v>
      </c>
      <c r="Q19" s="69" t="s">
        <v>121</v>
      </c>
      <c r="R19" s="69" t="s">
        <v>121</v>
      </c>
      <c r="S19"/>
      <c r="T19"/>
      <c r="U19"/>
      <c r="V19"/>
    </row>
    <row r="20" spans="1:22" x14ac:dyDescent="0.3">
      <c r="A20"/>
      <c r="B20" s="91" t="s">
        <v>122</v>
      </c>
      <c r="C20" s="66">
        <f>(SUMIFS('Raw Crash data'!AH:AH,'Raw Crash data'!Q:Q,$U$5)+SUMIFS('Raw Crash data'!AH:AH,'Raw Crash data'!Q:Q,$U$6))</f>
        <v>0</v>
      </c>
      <c r="D20" s="69" t="s">
        <v>121</v>
      </c>
      <c r="E20" s="69" t="s">
        <v>121</v>
      </c>
      <c r="F20" s="69" t="s">
        <v>121</v>
      </c>
      <c r="G20"/>
      <c r="H20" s="91" t="s">
        <v>122</v>
      </c>
      <c r="I20" s="66">
        <f>(SUMIFS('Raw Crash data'!AH:AH,'Raw Crash data'!Q:Q,$V$5)+SUMIFS('Raw Crash data'!AH:AH,'Raw Crash data'!Q:Q,$V$6))</f>
        <v>0</v>
      </c>
      <c r="J20" s="69" t="s">
        <v>121</v>
      </c>
      <c r="K20" s="69" t="s">
        <v>121</v>
      </c>
      <c r="L20" s="69" t="s">
        <v>121</v>
      </c>
      <c r="M20"/>
      <c r="N20" s="91" t="s">
        <v>122</v>
      </c>
      <c r="O20" s="66">
        <f t="shared" si="0"/>
        <v>0</v>
      </c>
      <c r="P20" s="69" t="s">
        <v>121</v>
      </c>
      <c r="Q20" s="69" t="s">
        <v>121</v>
      </c>
      <c r="R20" s="69" t="s">
        <v>121</v>
      </c>
      <c r="S20"/>
      <c r="T20"/>
      <c r="U20"/>
      <c r="V20"/>
    </row>
    <row r="21" spans="1:22" x14ac:dyDescent="0.3">
      <c r="A21"/>
      <c r="B21" s="91" t="s">
        <v>123</v>
      </c>
      <c r="C21" s="66">
        <f>(SUMIFS('Raw Crash data'!AI:AI,'Raw Crash data'!Q:Q,$U$5)+SUMIFS('Raw Crash data'!AI:AI,'Raw Crash data'!Q:Q,$U$6))</f>
        <v>0</v>
      </c>
      <c r="D21" s="69" t="s">
        <v>121</v>
      </c>
      <c r="E21" s="69" t="s">
        <v>121</v>
      </c>
      <c r="F21" s="69" t="s">
        <v>121</v>
      </c>
      <c r="G21"/>
      <c r="H21" s="91" t="s">
        <v>123</v>
      </c>
      <c r="I21" s="66">
        <f>(SUMIFS('Raw Crash data'!AI:AI,'Raw Crash data'!Q:Q,$V$5)+SUMIFS('Raw Crash data'!AI:AI,'Raw Crash data'!Q:Q,$V$6))</f>
        <v>0</v>
      </c>
      <c r="J21" s="69" t="s">
        <v>121</v>
      </c>
      <c r="K21" s="69" t="s">
        <v>121</v>
      </c>
      <c r="L21" s="69" t="s">
        <v>121</v>
      </c>
      <c r="M21"/>
      <c r="N21" s="91" t="s">
        <v>123</v>
      </c>
      <c r="O21" s="66">
        <f t="shared" si="0"/>
        <v>0</v>
      </c>
      <c r="P21" s="69" t="s">
        <v>121</v>
      </c>
      <c r="Q21" s="69" t="s">
        <v>121</v>
      </c>
      <c r="R21" s="69" t="s">
        <v>121</v>
      </c>
      <c r="S21"/>
      <c r="T21"/>
      <c r="U21"/>
      <c r="V21"/>
    </row>
    <row r="22" spans="1:22" x14ac:dyDescent="0.3">
      <c r="A22"/>
      <c r="B22" s="91" t="s">
        <v>124</v>
      </c>
      <c r="C22" s="66">
        <f>(SUMIFS('Raw Crash data'!AJ:AJ,'Raw Crash data'!Q:Q,$U$5)+SUMIFS('Raw Crash data'!AJ:AJ,'Raw Crash data'!Q:Q,$U$6))</f>
        <v>0</v>
      </c>
      <c r="D22" s="69" t="s">
        <v>121</v>
      </c>
      <c r="E22" s="69" t="s">
        <v>121</v>
      </c>
      <c r="F22" s="69" t="s">
        <v>121</v>
      </c>
      <c r="G22"/>
      <c r="H22" s="91" t="s">
        <v>124</v>
      </c>
      <c r="I22" s="66">
        <f>(SUMIFS('Raw Crash data'!AJ:AJ,'Raw Crash data'!Q:Q,$V$5)+SUMIFS('Raw Crash data'!AJ:AJ,'Raw Crash data'!Q:Q,$V$6))</f>
        <v>0</v>
      </c>
      <c r="J22" s="69" t="s">
        <v>121</v>
      </c>
      <c r="K22" s="69" t="s">
        <v>121</v>
      </c>
      <c r="L22" s="69" t="s">
        <v>121</v>
      </c>
      <c r="M22"/>
      <c r="N22" s="91" t="s">
        <v>124</v>
      </c>
      <c r="O22" s="66">
        <f t="shared" si="0"/>
        <v>0</v>
      </c>
      <c r="P22" s="69" t="s">
        <v>121</v>
      </c>
      <c r="Q22" s="69" t="s">
        <v>121</v>
      </c>
      <c r="R22" s="69" t="s">
        <v>121</v>
      </c>
      <c r="S22"/>
      <c r="T22"/>
      <c r="U22"/>
      <c r="V22"/>
    </row>
    <row r="23" spans="1:22" x14ac:dyDescent="0.3">
      <c r="A23"/>
      <c r="B23" s="91" t="s">
        <v>125</v>
      </c>
      <c r="C23" s="66">
        <f>(SUMIFS('Raw Crash data'!AN:AN,'Raw Crash data'!Q:Q,$U$5)+SUMIFS('Raw Crash data'!AN:AN,'Raw Crash data'!Q:Q,$U$6))</f>
        <v>0</v>
      </c>
      <c r="D23" s="69" t="s">
        <v>121</v>
      </c>
      <c r="E23" s="69" t="s">
        <v>121</v>
      </c>
      <c r="F23" s="69" t="s">
        <v>121</v>
      </c>
      <c r="G23"/>
      <c r="H23" s="91" t="s">
        <v>125</v>
      </c>
      <c r="I23" s="66">
        <f>(SUMIFS('Raw Crash data'!AN:AN,'Raw Crash data'!Q:Q,$V$5)+SUMIFS('Raw Crash data'!AN:AN,'Raw Crash data'!Q:Q,$V$6))</f>
        <v>0</v>
      </c>
      <c r="J23" s="69" t="s">
        <v>121</v>
      </c>
      <c r="K23" s="69" t="s">
        <v>121</v>
      </c>
      <c r="L23" s="69" t="s">
        <v>121</v>
      </c>
      <c r="M23"/>
      <c r="N23" s="91" t="s">
        <v>125</v>
      </c>
      <c r="O23" s="66">
        <f t="shared" si="0"/>
        <v>0</v>
      </c>
      <c r="P23" s="69" t="s">
        <v>121</v>
      </c>
      <c r="Q23" s="69" t="s">
        <v>121</v>
      </c>
      <c r="R23" s="69" t="s">
        <v>121</v>
      </c>
      <c r="S23"/>
      <c r="T23"/>
      <c r="U23"/>
      <c r="V23"/>
    </row>
    <row r="24" spans="1:22" x14ac:dyDescent="0.3">
      <c r="A24"/>
      <c r="B24" s="91" t="s">
        <v>126</v>
      </c>
      <c r="C24" s="66">
        <f>(SUMIFS('Raw Crash data'!AO:AO,'Raw Crash data'!Q:Q,$U$5)+SUMIFS('Raw Crash data'!AO:AO,'Raw Crash data'!Q:Q,$U$6))</f>
        <v>0</v>
      </c>
      <c r="D24" s="69" t="s">
        <v>121</v>
      </c>
      <c r="E24" s="69" t="s">
        <v>121</v>
      </c>
      <c r="F24" s="69" t="s">
        <v>121</v>
      </c>
      <c r="G24"/>
      <c r="H24" s="91" t="s">
        <v>126</v>
      </c>
      <c r="I24" s="66">
        <f>(SUMIFS('Raw Crash data'!AO:AO,'Raw Crash data'!Q:Q,$V$5)+SUMIFS('Raw Crash data'!AO:AO,'Raw Crash data'!Q:Q,$V$6))</f>
        <v>0</v>
      </c>
      <c r="J24" s="69" t="s">
        <v>121</v>
      </c>
      <c r="K24" s="69" t="s">
        <v>121</v>
      </c>
      <c r="L24" s="69" t="s">
        <v>121</v>
      </c>
      <c r="M24"/>
      <c r="N24" s="91" t="s">
        <v>126</v>
      </c>
      <c r="O24" s="66">
        <f t="shared" si="0"/>
        <v>0</v>
      </c>
      <c r="P24" s="69" t="s">
        <v>121</v>
      </c>
      <c r="Q24" s="69" t="s">
        <v>121</v>
      </c>
      <c r="R24" s="69" t="s">
        <v>121</v>
      </c>
      <c r="S24"/>
      <c r="T24"/>
      <c r="U24"/>
      <c r="V24"/>
    </row>
    <row r="25" spans="1:22" x14ac:dyDescent="0.3">
      <c r="A25"/>
      <c r="B25" s="91" t="s">
        <v>127</v>
      </c>
      <c r="C25" s="66">
        <f>(SUMIFS('Raw Crash data'!AP:AP,'Raw Crash data'!Q:Q,$U$5)+SUMIFS('Raw Crash data'!AP:AP,'Raw Crash data'!Q:Q,$U$6))</f>
        <v>0</v>
      </c>
      <c r="D25" s="69" t="s">
        <v>121</v>
      </c>
      <c r="E25" s="69" t="s">
        <v>121</v>
      </c>
      <c r="F25" s="69" t="s">
        <v>121</v>
      </c>
      <c r="G25"/>
      <c r="H25" s="91" t="s">
        <v>127</v>
      </c>
      <c r="I25" s="66">
        <f>(SUMIFS('Raw Crash data'!AP:AP,'Raw Crash data'!Q:Q,$V$5)+SUMIFS('Raw Crash data'!AP:AP,'Raw Crash data'!Q:Q,$V$6))</f>
        <v>0</v>
      </c>
      <c r="J25" s="69" t="s">
        <v>121</v>
      </c>
      <c r="K25" s="69" t="s">
        <v>121</v>
      </c>
      <c r="L25" s="69" t="s">
        <v>121</v>
      </c>
      <c r="M25"/>
      <c r="N25" s="91" t="s">
        <v>127</v>
      </c>
      <c r="O25" s="66">
        <f t="shared" si="0"/>
        <v>0</v>
      </c>
      <c r="P25" s="69" t="s">
        <v>121</v>
      </c>
      <c r="Q25" s="69" t="s">
        <v>121</v>
      </c>
      <c r="R25" s="69" t="s">
        <v>121</v>
      </c>
      <c r="S25"/>
      <c r="T25"/>
      <c r="U25"/>
      <c r="V25"/>
    </row>
    <row r="26" spans="1:22" x14ac:dyDescent="0.3">
      <c r="A26"/>
      <c r="B26" s="91" t="s">
        <v>128</v>
      </c>
      <c r="C26" s="66">
        <f>(SUMIFS('Raw Crash data'!AQ:AQ,'Raw Crash data'!Q:Q,$U$5)+SUMIFS('Raw Crash data'!AQ:AQ,'Raw Crash data'!Q:Q,$U$6))</f>
        <v>0</v>
      </c>
      <c r="D26" s="69" t="s">
        <v>121</v>
      </c>
      <c r="E26" s="69" t="s">
        <v>121</v>
      </c>
      <c r="F26" s="69" t="s">
        <v>121</v>
      </c>
      <c r="G26"/>
      <c r="H26" s="91" t="s">
        <v>128</v>
      </c>
      <c r="I26" s="66">
        <f>(SUMIFS('Raw Crash data'!AQ:AQ,'Raw Crash data'!Q:Q,$V$5)+SUMIFS('Raw Crash data'!AQ:AQ,'Raw Crash data'!Q:Q,$V$6))</f>
        <v>0</v>
      </c>
      <c r="J26" s="69" t="s">
        <v>121</v>
      </c>
      <c r="K26" s="69" t="s">
        <v>121</v>
      </c>
      <c r="L26" s="69" t="s">
        <v>121</v>
      </c>
      <c r="M26"/>
      <c r="N26" s="91" t="s">
        <v>128</v>
      </c>
      <c r="O26" s="66">
        <f t="shared" si="0"/>
        <v>0</v>
      </c>
      <c r="P26" s="69" t="s">
        <v>121</v>
      </c>
      <c r="Q26" s="69" t="s">
        <v>121</v>
      </c>
      <c r="R26" s="69" t="s">
        <v>121</v>
      </c>
      <c r="S26"/>
      <c r="T26"/>
      <c r="U26"/>
      <c r="V26"/>
    </row>
    <row r="27" spans="1:22" x14ac:dyDescent="0.3">
      <c r="A27"/>
      <c r="B27" s="91" t="s">
        <v>129</v>
      </c>
      <c r="C27" s="66">
        <f>C19+C23</f>
        <v>0</v>
      </c>
      <c r="D27" s="69">
        <f>C27/5</f>
        <v>0</v>
      </c>
      <c r="E27" s="70">
        <f>($D27*1000000)/(365*5*'Inputs &amp; Outputs'!$C$42)</f>
        <v>0</v>
      </c>
      <c r="F27" s="70">
        <f>$E27*(('Inputs &amp; Outputs'!$C$43*365)/1000000)</f>
        <v>0</v>
      </c>
      <c r="G27"/>
      <c r="H27" s="91" t="s">
        <v>110</v>
      </c>
      <c r="I27" s="66">
        <f>I19+I23</f>
        <v>0</v>
      </c>
      <c r="J27" s="69">
        <f>I27/5</f>
        <v>0</v>
      </c>
      <c r="K27" s="70">
        <f>(($I27*1000000)/(365*5*'Inputs &amp; Outputs'!$C$42))</f>
        <v>0</v>
      </c>
      <c r="L27" s="70">
        <f>$K27*(('Inputs &amp; Outputs'!C42*365)/1000000)</f>
        <v>0</v>
      </c>
      <c r="M27"/>
      <c r="N27" s="91" t="s">
        <v>110</v>
      </c>
      <c r="O27" s="66">
        <f t="shared" si="0"/>
        <v>0</v>
      </c>
      <c r="P27" s="69">
        <f>O27/5</f>
        <v>0</v>
      </c>
      <c r="Q27" s="70">
        <f>(($O27*1000000)/(365*5*'Inputs &amp; Outputs'!$C$42))</f>
        <v>0</v>
      </c>
      <c r="R27" s="70">
        <f>$Q27*((365*'Inputs &amp; Outputs'!$C$43)/1000000)</f>
        <v>0</v>
      </c>
      <c r="S27"/>
      <c r="T27"/>
      <c r="U27"/>
      <c r="V27"/>
    </row>
    <row r="28" spans="1:22" x14ac:dyDescent="0.3">
      <c r="A28"/>
      <c r="B28" s="91" t="s">
        <v>130</v>
      </c>
      <c r="C28" s="66">
        <f t="shared" ref="C28:C30" si="5">C20+C24</f>
        <v>0</v>
      </c>
      <c r="D28" s="69">
        <f>C28/5</f>
        <v>0</v>
      </c>
      <c r="E28" s="70">
        <f>($D28*1000000)/(365*5*'Inputs &amp; Outputs'!$C$42)</f>
        <v>0</v>
      </c>
      <c r="F28" s="70">
        <f>$E28*(('Inputs &amp; Outputs'!$C$43*365)/1000000)</f>
        <v>0</v>
      </c>
      <c r="G28"/>
      <c r="H28" s="91" t="s">
        <v>131</v>
      </c>
      <c r="I28" s="66">
        <f t="shared" ref="I28:I30" si="6">I20+I24</f>
        <v>0</v>
      </c>
      <c r="J28" s="69">
        <f>I28/5</f>
        <v>0</v>
      </c>
      <c r="K28" s="70">
        <f>(($I28*1000000)/(365*5*'Inputs &amp; Outputs'!$C$42))</f>
        <v>0</v>
      </c>
      <c r="L28" s="70">
        <f>$K28*(('Inputs &amp; Outputs'!C43*365)/1000000)</f>
        <v>0</v>
      </c>
      <c r="M28"/>
      <c r="N28" s="91" t="s">
        <v>131</v>
      </c>
      <c r="O28" s="66">
        <f t="shared" si="0"/>
        <v>0</v>
      </c>
      <c r="P28" s="69">
        <f>O28/5</f>
        <v>0</v>
      </c>
      <c r="Q28" s="70">
        <f>(($O28*1000000)/(365*5*'Inputs &amp; Outputs'!$C$42))</f>
        <v>0</v>
      </c>
      <c r="R28" s="70">
        <f>$Q28*((365*'Inputs &amp; Outputs'!$C$43)/1000000)</f>
        <v>0</v>
      </c>
      <c r="S28"/>
      <c r="T28"/>
      <c r="U28"/>
      <c r="V28"/>
    </row>
    <row r="29" spans="1:22" x14ac:dyDescent="0.3">
      <c r="A29"/>
      <c r="B29" s="91" t="s">
        <v>132</v>
      </c>
      <c r="C29" s="66">
        <f t="shared" si="5"/>
        <v>0</v>
      </c>
      <c r="D29" s="69">
        <f>C29/5</f>
        <v>0</v>
      </c>
      <c r="E29" s="70">
        <f>($D29*1000000)/(365*5*'Inputs &amp; Outputs'!$C$42)</f>
        <v>0</v>
      </c>
      <c r="F29" s="70">
        <f>$E29*(('Inputs &amp; Outputs'!$C$43*365)/1000000)</f>
        <v>0</v>
      </c>
      <c r="G29"/>
      <c r="H29" s="91" t="s">
        <v>131</v>
      </c>
      <c r="I29" s="66">
        <f t="shared" si="6"/>
        <v>0</v>
      </c>
      <c r="J29" s="69">
        <f>I29/5</f>
        <v>0</v>
      </c>
      <c r="K29" s="70">
        <f>(($I29*1000000)/(365*5*'Inputs &amp; Outputs'!$C$42))</f>
        <v>0</v>
      </c>
      <c r="L29" s="70">
        <f>$K29*(('Inputs &amp; Outputs'!C44*365)/1000000)</f>
        <v>0</v>
      </c>
      <c r="M29"/>
      <c r="N29" s="91" t="s">
        <v>131</v>
      </c>
      <c r="O29" s="66">
        <f t="shared" si="0"/>
        <v>0</v>
      </c>
      <c r="P29" s="69">
        <f>O29/5</f>
        <v>0</v>
      </c>
      <c r="Q29" s="70">
        <f>(($O29*1000000)/(365*5*'Inputs &amp; Outputs'!$C$42))</f>
        <v>0</v>
      </c>
      <c r="R29" s="70">
        <f>$Q29*((365*'Inputs &amp; Outputs'!$C$43)/1000000)</f>
        <v>0</v>
      </c>
      <c r="S29"/>
      <c r="T29"/>
      <c r="U29"/>
      <c r="V29"/>
    </row>
    <row r="30" spans="1:22" x14ac:dyDescent="0.3">
      <c r="A30"/>
      <c r="B30" s="91" t="s">
        <v>133</v>
      </c>
      <c r="C30" s="66">
        <f t="shared" si="5"/>
        <v>0</v>
      </c>
      <c r="D30" s="69">
        <f>C30/5</f>
        <v>0</v>
      </c>
      <c r="E30" s="70">
        <f>($D30*1000000)/(365*5*'Inputs &amp; Outputs'!$C$42)</f>
        <v>0</v>
      </c>
      <c r="F30" s="70">
        <f>$E30*(('Inputs &amp; Outputs'!$C$43*365)/1000000)</f>
        <v>0</v>
      </c>
      <c r="G30"/>
      <c r="H30" s="91" t="s">
        <v>131</v>
      </c>
      <c r="I30" s="66">
        <f t="shared" si="6"/>
        <v>0</v>
      </c>
      <c r="J30" s="69">
        <f>I30/5</f>
        <v>0</v>
      </c>
      <c r="K30" s="70">
        <f>(($I30*1000000)/(365*5*'Inputs &amp; Outputs'!$C$42))</f>
        <v>0</v>
      </c>
      <c r="L30" s="70">
        <f>$K30*(('Inputs &amp; Outputs'!C45*365)/1000000)</f>
        <v>0</v>
      </c>
      <c r="M30"/>
      <c r="N30" s="91" t="s">
        <v>131</v>
      </c>
      <c r="O30" s="66">
        <f t="shared" si="0"/>
        <v>0</v>
      </c>
      <c r="P30" s="69">
        <f>O30/5</f>
        <v>0</v>
      </c>
      <c r="Q30" s="70">
        <f>(($O30*1000000)/(365*5*'Inputs &amp; Outputs'!$C$42))</f>
        <v>0</v>
      </c>
      <c r="R30" s="70">
        <f>$Q30*((365*'Inputs &amp; Outputs'!$C$43)/1000000)</f>
        <v>0</v>
      </c>
      <c r="S30"/>
      <c r="T30"/>
      <c r="U30"/>
      <c r="V30"/>
    </row>
    <row r="31" spans="1:22" x14ac:dyDescent="0.3">
      <c r="A31"/>
      <c r="B31"/>
      <c r="C31"/>
      <c r="D31"/>
      <c r="E31" s="73"/>
      <c r="F31" s="73"/>
      <c r="G31"/>
      <c r="H31"/>
      <c r="I31"/>
      <c r="J31"/>
      <c r="K31" s="73"/>
      <c r="L31" s="73"/>
      <c r="M31"/>
      <c r="N31"/>
      <c r="O31"/>
      <c r="P31"/>
      <c r="Q31"/>
      <c r="R31"/>
      <c r="S31"/>
      <c r="T31"/>
      <c r="U31"/>
      <c r="V31"/>
    </row>
    <row r="32" spans="1:22" s="89" customFormat="1" ht="15" customHeight="1" x14ac:dyDescent="0.3">
      <c r="A32" s="92"/>
      <c r="B32" s="207" t="s">
        <v>109</v>
      </c>
      <c r="C32" s="207"/>
      <c r="D32" s="207"/>
      <c r="E32" s="207"/>
      <c r="F32" s="207"/>
      <c r="G32" s="92"/>
      <c r="H32" s="99"/>
      <c r="I32" s="75"/>
      <c r="J32" s="75"/>
      <c r="K32" s="96"/>
      <c r="L32" s="96"/>
      <c r="M32" s="92"/>
      <c r="N32" s="92"/>
      <c r="O32" s="92"/>
      <c r="P32" s="92"/>
      <c r="Q32" s="92"/>
      <c r="R32" s="92"/>
      <c r="S32" s="92"/>
      <c r="T32" s="92"/>
      <c r="U32" s="92"/>
      <c r="V32" s="92"/>
    </row>
    <row r="33" spans="1:22" ht="28.8" x14ac:dyDescent="0.3">
      <c r="A33"/>
      <c r="B33" s="93"/>
      <c r="C33" s="93" t="s">
        <v>110</v>
      </c>
      <c r="D33" s="93" t="s">
        <v>111</v>
      </c>
      <c r="E33" s="93" t="s">
        <v>112</v>
      </c>
      <c r="F33" s="93" t="s">
        <v>113</v>
      </c>
      <c r="G33"/>
      <c r="H33" s="97"/>
      <c r="I33" s="98"/>
      <c r="J33" s="99"/>
      <c r="K33" s="100"/>
      <c r="L33" s="96"/>
      <c r="M33"/>
      <c r="N33"/>
      <c r="O33"/>
      <c r="P33"/>
      <c r="Q33"/>
      <c r="R33"/>
      <c r="S33"/>
      <c r="T33"/>
      <c r="U33"/>
      <c r="V33"/>
    </row>
    <row r="34" spans="1:22" x14ac:dyDescent="0.3">
      <c r="A34"/>
      <c r="B34" s="93" t="s">
        <v>134</v>
      </c>
      <c r="C34" s="71">
        <f>F27+L27</f>
        <v>0</v>
      </c>
      <c r="D34" s="71">
        <f>F28+L28</f>
        <v>0</v>
      </c>
      <c r="E34" s="71">
        <f>F29*L29</f>
        <v>0</v>
      </c>
      <c r="F34" s="71">
        <f>F30*L30</f>
        <v>0</v>
      </c>
      <c r="G34"/>
      <c r="H34" s="75"/>
      <c r="I34" s="75"/>
      <c r="J34" s="75"/>
      <c r="K34" s="75"/>
      <c r="L34" s="75"/>
      <c r="M34"/>
      <c r="N34"/>
      <c r="O34"/>
      <c r="P34"/>
      <c r="Q34"/>
      <c r="R34"/>
      <c r="S34"/>
      <c r="T34"/>
      <c r="U34"/>
      <c r="V34"/>
    </row>
    <row r="35" spans="1:22" x14ac:dyDescent="0.3">
      <c r="A35"/>
      <c r="B35" s="93" t="s">
        <v>116</v>
      </c>
      <c r="C35" s="71">
        <v>0</v>
      </c>
      <c r="D35" s="71">
        <v>0</v>
      </c>
      <c r="E35" s="71">
        <v>0</v>
      </c>
      <c r="F35" s="71">
        <v>0</v>
      </c>
      <c r="G35"/>
      <c r="H35" s="97"/>
      <c r="I35" s="98"/>
      <c r="J35" s="75"/>
      <c r="K35" s="97"/>
      <c r="L35" s="75"/>
      <c r="M35"/>
      <c r="N35"/>
      <c r="O35"/>
      <c r="P35"/>
      <c r="Q35"/>
      <c r="R35"/>
      <c r="S35"/>
      <c r="T35"/>
      <c r="U35"/>
      <c r="V35"/>
    </row>
    <row r="36" spans="1:22" x14ac:dyDescent="0.3">
      <c r="A36"/>
      <c r="B36"/>
      <c r="C36"/>
      <c r="D36"/>
      <c r="E36"/>
      <c r="F36"/>
      <c r="G36"/>
      <c r="H36" s="101"/>
      <c r="I36" s="75"/>
      <c r="J36" s="75"/>
      <c r="K36" s="101"/>
      <c r="L36" s="75"/>
      <c r="M36"/>
      <c r="N36"/>
      <c r="O36"/>
      <c r="P36"/>
      <c r="Q36"/>
      <c r="R36"/>
      <c r="S36"/>
      <c r="T36"/>
      <c r="U36"/>
      <c r="V36"/>
    </row>
    <row r="37" spans="1:22" x14ac:dyDescent="0.3">
      <c r="A37"/>
      <c r="B37"/>
      <c r="C37"/>
      <c r="D37" s="58"/>
      <c r="E37" s="103"/>
      <c r="F37"/>
      <c r="G37"/>
      <c r="H37" s="75"/>
      <c r="I37" s="75"/>
      <c r="J37" s="75"/>
      <c r="K37" s="75"/>
      <c r="L37" s="75"/>
      <c r="M37"/>
      <c r="N37"/>
      <c r="O37"/>
      <c r="P37"/>
      <c r="Q37"/>
      <c r="R37"/>
      <c r="S37"/>
      <c r="T37"/>
      <c r="U37"/>
      <c r="V37"/>
    </row>
    <row r="38" spans="1:22" x14ac:dyDescent="0.3">
      <c r="A38"/>
      <c r="B38"/>
      <c r="C38" s="104"/>
      <c r="D38"/>
      <c r="E38"/>
      <c r="F38"/>
      <c r="G38"/>
      <c r="H38"/>
      <c r="I38"/>
      <c r="J38"/>
      <c r="K38"/>
      <c r="L38"/>
      <c r="M38"/>
      <c r="N38"/>
      <c r="O38"/>
      <c r="P38"/>
      <c r="Q38"/>
      <c r="R38"/>
      <c r="S38"/>
      <c r="T38"/>
      <c r="U38"/>
      <c r="V38"/>
    </row>
    <row r="39" spans="1:22" x14ac:dyDescent="0.3">
      <c r="A39"/>
      <c r="B39"/>
      <c r="C39"/>
      <c r="D39"/>
      <c r="E39"/>
      <c r="F39"/>
      <c r="G39"/>
      <c r="H39"/>
      <c r="I39"/>
      <c r="J39"/>
      <c r="K39"/>
      <c r="L39"/>
      <c r="M39"/>
      <c r="N39"/>
      <c r="O39"/>
      <c r="P39"/>
      <c r="Q39"/>
      <c r="R39"/>
      <c r="S39"/>
      <c r="T39"/>
      <c r="U39"/>
      <c r="V39"/>
    </row>
    <row r="42" spans="1:22" x14ac:dyDescent="0.3">
      <c r="C42" s="63"/>
      <c r="D42" s="64"/>
      <c r="E42" s="65"/>
      <c r="F42" s="65"/>
    </row>
    <row r="44" spans="1:22" x14ac:dyDescent="0.3">
      <c r="C44" s="63"/>
      <c r="E44" s="90"/>
      <c r="F44" s="90"/>
    </row>
  </sheetData>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zoomScale="85" zoomScaleNormal="85" workbookViewId="0">
      <selection activeCell="E11" sqref="E11"/>
    </sheetView>
  </sheetViews>
  <sheetFormatPr defaultColWidth="9.109375" defaultRowHeight="14.4" x14ac:dyDescent="0.3"/>
  <cols>
    <col min="1" max="1" width="26.6640625" style="76" customWidth="1"/>
    <col min="2" max="2" width="13.88671875" style="76" customWidth="1"/>
    <col min="3" max="3" width="5.33203125" style="76" customWidth="1"/>
    <col min="4" max="4" width="29.109375" style="76" customWidth="1"/>
    <col min="5" max="5" width="28.6640625" style="76" customWidth="1"/>
    <col min="6" max="6" width="29.33203125" style="76" customWidth="1"/>
    <col min="7" max="7" width="5.5546875" style="76" customWidth="1"/>
    <col min="8" max="8" width="5.6640625" style="76" customWidth="1"/>
    <col min="9" max="9" width="7.109375" style="76" customWidth="1"/>
    <col min="10" max="10" width="9.33203125" style="76" customWidth="1"/>
    <col min="11" max="11" width="13.88671875" style="76" customWidth="1"/>
    <col min="12" max="12" width="10.109375" style="81" customWidth="1"/>
    <col min="13" max="13" width="16.88671875" style="82" hidden="1" customWidth="1"/>
    <col min="14" max="14" width="7.88671875" style="76" customWidth="1"/>
    <col min="15" max="15" width="17.33203125" style="76" customWidth="1"/>
    <col min="16" max="16" width="10.33203125" style="76" customWidth="1"/>
    <col min="17" max="17" width="19.109375" style="76" customWidth="1"/>
    <col min="18" max="18" width="10.33203125" style="76" customWidth="1"/>
    <col min="19" max="19" width="19.109375" style="76" customWidth="1"/>
    <col min="20" max="20" width="10.33203125" style="76" customWidth="1"/>
    <col min="21" max="21" width="17.5546875" style="76" customWidth="1"/>
    <col min="22" max="22" width="10.33203125" style="76" customWidth="1"/>
    <col min="23" max="23" width="14.44140625" style="76" customWidth="1"/>
    <col min="24" max="24" width="20.33203125" style="76" customWidth="1"/>
    <col min="25" max="16384" width="9.109375" style="76"/>
  </cols>
  <sheetData>
    <row r="1" spans="1:25" x14ac:dyDescent="0.3">
      <c r="A1"/>
      <c r="B1"/>
      <c r="C1"/>
      <c r="D1"/>
      <c r="E1"/>
      <c r="F1"/>
      <c r="G1"/>
      <c r="H1"/>
      <c r="I1" s="210" t="s">
        <v>135</v>
      </c>
      <c r="J1" s="211"/>
      <c r="K1" s="211"/>
      <c r="L1" s="211"/>
      <c r="M1" s="211"/>
      <c r="N1" s="211"/>
      <c r="O1" s="211"/>
      <c r="P1" s="211"/>
      <c r="Q1" s="211"/>
      <c r="R1" s="211"/>
      <c r="S1" s="211"/>
      <c r="T1" s="211"/>
      <c r="U1" s="211"/>
      <c r="V1" s="211"/>
      <c r="W1" s="211"/>
      <c r="X1" s="212"/>
      <c r="Y1"/>
    </row>
    <row r="2" spans="1:25" x14ac:dyDescent="0.3">
      <c r="A2"/>
      <c r="B2"/>
      <c r="C2"/>
      <c r="D2"/>
      <c r="E2"/>
      <c r="F2"/>
      <c r="G2"/>
      <c r="H2"/>
      <c r="I2" s="213" t="s">
        <v>3</v>
      </c>
      <c r="J2" s="213" t="s">
        <v>136</v>
      </c>
      <c r="K2" s="216" t="s">
        <v>137</v>
      </c>
      <c r="L2" s="215" t="s">
        <v>138</v>
      </c>
      <c r="M2" s="141"/>
      <c r="N2" s="216" t="s">
        <v>139</v>
      </c>
      <c r="O2" s="216" t="s">
        <v>140</v>
      </c>
      <c r="P2" s="216" t="s">
        <v>141</v>
      </c>
      <c r="Q2" s="216" t="s">
        <v>142</v>
      </c>
      <c r="R2" s="216" t="s">
        <v>143</v>
      </c>
      <c r="S2" s="216" t="s">
        <v>144</v>
      </c>
      <c r="T2" s="216" t="s">
        <v>145</v>
      </c>
      <c r="U2" s="216" t="s">
        <v>146</v>
      </c>
      <c r="V2" s="216" t="s">
        <v>147</v>
      </c>
      <c r="W2" s="216" t="s">
        <v>148</v>
      </c>
      <c r="X2" s="216" t="s">
        <v>149</v>
      </c>
      <c r="Y2"/>
    </row>
    <row r="3" spans="1:25" x14ac:dyDescent="0.3">
      <c r="A3" s="142" t="s">
        <v>19</v>
      </c>
      <c r="B3" s="143"/>
      <c r="C3" s="144"/>
      <c r="D3" s="145" t="s">
        <v>150</v>
      </c>
      <c r="E3" s="192">
        <v>2021</v>
      </c>
      <c r="F3" s="145" t="s">
        <v>151</v>
      </c>
      <c r="G3" s="73"/>
      <c r="H3" s="73"/>
      <c r="I3" s="214"/>
      <c r="J3" s="214"/>
      <c r="K3" s="216"/>
      <c r="L3" s="215"/>
      <c r="M3" s="146" t="s">
        <v>152</v>
      </c>
      <c r="N3" s="216"/>
      <c r="O3" s="216"/>
      <c r="P3" s="216"/>
      <c r="Q3" s="216"/>
      <c r="R3" s="216"/>
      <c r="S3" s="216"/>
      <c r="T3" s="216"/>
      <c r="U3" s="216"/>
      <c r="V3" s="216"/>
      <c r="W3" s="216"/>
      <c r="X3" s="216"/>
      <c r="Y3"/>
    </row>
    <row r="4" spans="1:25" ht="15.6" x14ac:dyDescent="0.3">
      <c r="A4" s="147" t="s">
        <v>20</v>
      </c>
      <c r="B4" s="46">
        <v>2021</v>
      </c>
      <c r="C4" s="144"/>
      <c r="D4" s="74" t="s">
        <v>153</v>
      </c>
      <c r="E4" s="148">
        <f>'Inputs &amp; Outputs'!$C$40</f>
        <v>3237</v>
      </c>
      <c r="F4" s="148">
        <f>VLOOKUP(Year_Open_to_Traffic?,Calculations!I4:J36,2,Calculations!J4:J36)</f>
        <v>3541</v>
      </c>
      <c r="G4" s="73"/>
      <c r="H4" s="149"/>
      <c r="I4" s="150">
        <v>2021</v>
      </c>
      <c r="J4" s="151">
        <f>'Inputs &amp; Outputs'!$C$40</f>
        <v>3237</v>
      </c>
      <c r="K4" s="151">
        <f>'Inputs &amp; Outputs'!C42</f>
        <v>2</v>
      </c>
      <c r="L4" s="152" t="s">
        <v>154</v>
      </c>
      <c r="M4" s="153">
        <f>MIN(B15,1)</f>
        <v>1</v>
      </c>
      <c r="N4" s="150">
        <f>-(ROUNDUP(M4,0)-2)</f>
        <v>1</v>
      </c>
      <c r="O4" s="154">
        <f>IF($I4=Year_Open_to_Traffic?,Calculations!$E$50,0)</f>
        <v>0</v>
      </c>
      <c r="P4" s="151">
        <f t="shared" ref="P4:P36" si="0">IF(AND($I4&gt;=Year_Open_to_Traffic?,$I4&lt;Year_Open_to_Traffic?+Years_to_include_in_BCA_Analysis1),1,0)</f>
        <v>0</v>
      </c>
      <c r="Q4" s="154">
        <f>IF($I4=Year_Open_to_Traffic?,$E$51,0)</f>
        <v>0</v>
      </c>
      <c r="R4" s="151">
        <f t="shared" ref="R4:R36" si="1">IF(AND($I4&gt;=Year_Open_to_Traffic?,$I4&lt;Year_Open_to_Traffic?+Years_to_include_in_BCA_Analysis2),1,0)</f>
        <v>0</v>
      </c>
      <c r="S4" s="154">
        <f>IF($I4=Year_Open_to_Traffic?,$E$52,0)</f>
        <v>0</v>
      </c>
      <c r="T4" s="151">
        <f t="shared" ref="T4:T36" si="2">IF(AND($I4&gt;=Year_Open_to_Traffic?,$I4&lt;Year_Open_to_Traffic?+Years_to_include_in_BCA_Analysis3),1,0)</f>
        <v>0</v>
      </c>
      <c r="U4" s="154">
        <f>IF($I4=Year_Open_to_Traffic?,$E$53,0)</f>
        <v>0</v>
      </c>
      <c r="V4" s="151">
        <f t="shared" ref="V4:V36" si="3">IF(AND($I4&gt;=Year_Open_to_Traffic?,$I4&lt;Year_Open_to_Traffic?+$B$8),1,0)</f>
        <v>0</v>
      </c>
      <c r="W4" s="154">
        <f>((O4*P4)+(Q4*R4)+(S4*T4)+(U4*V4))/10^3</f>
        <v>0</v>
      </c>
      <c r="X4" s="155">
        <f>W4/(1+Real_Discount_Rate)^(Calculations!I4-'Assumed Values'!$C$5)</f>
        <v>0</v>
      </c>
      <c r="Y4"/>
    </row>
    <row r="5" spans="1:25" ht="28.8" x14ac:dyDescent="0.3">
      <c r="A5" s="147" t="s">
        <v>155</v>
      </c>
      <c r="B5" s="147">
        <f>Service_Life1</f>
        <v>5</v>
      </c>
      <c r="C5" s="144"/>
      <c r="D5" s="74" t="s">
        <v>156</v>
      </c>
      <c r="E5" s="148">
        <f>'Inputs &amp; Outputs'!$C$40*'Inputs &amp; Outputs'!$C$11</f>
        <v>2233.5299999999997</v>
      </c>
      <c r="F5" s="148">
        <f>$F$4*'Inputs &amp; Outputs'!$C$11</f>
        <v>2443.29</v>
      </c>
      <c r="G5" s="73"/>
      <c r="H5" s="149"/>
      <c r="I5" s="156">
        <f t="shared" ref="I5:I36" si="4">I4+1</f>
        <v>2022</v>
      </c>
      <c r="J5" s="157">
        <f>J4+J4*L5</f>
        <v>3273.5245540208111</v>
      </c>
      <c r="K5" s="157">
        <f>K4+K4*L5</f>
        <v>2.022566916293365</v>
      </c>
      <c r="L5" s="158">
        <f t="shared" ref="L5:L12" si="5">_2030_2030_Demand_Growth</f>
        <v>1.1283458146682523E-2</v>
      </c>
      <c r="M5" s="159">
        <f t="shared" ref="M5:M11" si="6">M4*(1+IFERROR(_2021_2030_V_C_Growth,_2021_2045_V_C_Growth))</f>
        <v>1</v>
      </c>
      <c r="N5" s="160">
        <f t="shared" ref="N5:N36" si="7">-(ROUNDUP(M5,0)-2)</f>
        <v>1</v>
      </c>
      <c r="O5" s="154">
        <f>IF($I5=Year_Open_to_Traffic?,Calculations!$E$50,Calculations!O4+(Calculations!O4*Calculations!$L5*N5))</f>
        <v>0</v>
      </c>
      <c r="P5" s="151">
        <f t="shared" si="0"/>
        <v>0</v>
      </c>
      <c r="Q5" s="154">
        <f>IF(I5=Year_Open_to_Traffic?,$E$51,Calculations!Q4+(Calculations!Q4*Calculations!$L5*R5))</f>
        <v>0</v>
      </c>
      <c r="R5" s="151">
        <f t="shared" si="1"/>
        <v>0</v>
      </c>
      <c r="S5" s="154">
        <f>IF($I5=Year_Open_to_Traffic?,$E$52,Calculations!S4+(Calculations!S4*Calculations!$L5*T5))</f>
        <v>0</v>
      </c>
      <c r="T5" s="151">
        <f t="shared" si="2"/>
        <v>0</v>
      </c>
      <c r="U5" s="154">
        <f>IF($I5=Year_Open_to_Traffic?,$E$53,Calculations!U4+(Calculations!U4*Calculations!$L5*V5))</f>
        <v>0</v>
      </c>
      <c r="V5" s="151">
        <f t="shared" si="3"/>
        <v>0</v>
      </c>
      <c r="W5" s="154">
        <f t="shared" ref="W5:W36" si="8">((O5*P5)+(Q5*R5)+(S5*T5)+(U5*V5))/10^3</f>
        <v>0</v>
      </c>
      <c r="X5" s="155">
        <f>W5/(1+Real_Discount_Rate)^(Calculations!I5-'Assumed Values'!$C$5)</f>
        <v>0</v>
      </c>
      <c r="Y5"/>
    </row>
    <row r="6" spans="1:25" ht="28.8" x14ac:dyDescent="0.3">
      <c r="A6" s="147" t="s">
        <v>157</v>
      </c>
      <c r="B6" s="147">
        <f>Service_Life2</f>
        <v>4</v>
      </c>
      <c r="C6" s="144"/>
      <c r="D6" s="74" t="s">
        <v>158</v>
      </c>
      <c r="E6" s="148">
        <f>E5*B9</f>
        <v>815238.45</v>
      </c>
      <c r="F6" s="148">
        <f>$F$5*$B$9</f>
        <v>891800.85</v>
      </c>
      <c r="G6" s="73"/>
      <c r="H6" s="149"/>
      <c r="I6" s="150">
        <f t="shared" si="4"/>
        <v>2023</v>
      </c>
      <c r="J6" s="157">
        <f t="shared" ref="J6:J36" si="9">J5+J5*L6</f>
        <v>3310.4612313182424</v>
      </c>
      <c r="K6" s="157">
        <f t="shared" ref="K6:K36" si="10">K5+K5*L6</f>
        <v>2.0453884654422261</v>
      </c>
      <c r="L6" s="158">
        <f t="shared" si="5"/>
        <v>1.1283458146682523E-2</v>
      </c>
      <c r="M6" s="159">
        <f t="shared" si="6"/>
        <v>1</v>
      </c>
      <c r="N6" s="160">
        <f t="shared" si="7"/>
        <v>1</v>
      </c>
      <c r="O6" s="154">
        <f>IF(I6=Year_Open_to_Traffic?,Calculations!$E$50,Calculations!O5+(Calculations!O5*Calculations!$L6*N6))</f>
        <v>0</v>
      </c>
      <c r="P6" s="151">
        <f t="shared" si="0"/>
        <v>0</v>
      </c>
      <c r="Q6" s="154">
        <f>IF(I6=Year_Open_to_Traffic?,$E$51,Calculations!Q5+(Calculations!Q5*Calculations!$L6*R6))</f>
        <v>0</v>
      </c>
      <c r="R6" s="151">
        <f t="shared" si="1"/>
        <v>0</v>
      </c>
      <c r="S6" s="154">
        <f>IF($I6=Year_Open_to_Traffic?,$E$52,Calculations!S5+(Calculations!S5*Calculations!$L6*T6))</f>
        <v>0</v>
      </c>
      <c r="T6" s="151">
        <f t="shared" si="2"/>
        <v>0</v>
      </c>
      <c r="U6" s="154">
        <f>IF($I6=Year_Open_to_Traffic?,$E$53,Calculations!U5+(Calculations!U5*Calculations!$L6*V6))</f>
        <v>0</v>
      </c>
      <c r="V6" s="151">
        <f t="shared" si="3"/>
        <v>0</v>
      </c>
      <c r="W6" s="154">
        <f t="shared" si="8"/>
        <v>0</v>
      </c>
      <c r="X6" s="155">
        <f>W6/(1+Real_Discount_Rate)^(Calculations!I6-'Assumed Values'!$C$5)</f>
        <v>0</v>
      </c>
      <c r="Y6"/>
    </row>
    <row r="7" spans="1:25" ht="28.8" x14ac:dyDescent="0.3">
      <c r="A7" s="147" t="s">
        <v>159</v>
      </c>
      <c r="B7" s="147">
        <f>Service_Life3</f>
        <v>20</v>
      </c>
      <c r="C7" s="144"/>
      <c r="D7" s="144"/>
      <c r="E7" s="144"/>
      <c r="F7" s="144"/>
      <c r="G7" s="73"/>
      <c r="H7" s="149"/>
      <c r="I7" s="156">
        <f t="shared" si="4"/>
        <v>2024</v>
      </c>
      <c r="J7" s="157">
        <f t="shared" si="9"/>
        <v>3347.8146820680367</v>
      </c>
      <c r="K7" s="157">
        <f t="shared" si="10"/>
        <v>2.0684675205857506</v>
      </c>
      <c r="L7" s="158">
        <f t="shared" si="5"/>
        <v>1.1283458146682523E-2</v>
      </c>
      <c r="M7" s="159">
        <f t="shared" si="6"/>
        <v>1</v>
      </c>
      <c r="N7" s="160">
        <f t="shared" si="7"/>
        <v>1</v>
      </c>
      <c r="O7" s="154">
        <f>IF(I7=Year_Open_to_Traffic?,Calculations!$E$50,Calculations!O6+(Calculations!O6*Calculations!$L7*N7))</f>
        <v>0</v>
      </c>
      <c r="P7" s="151">
        <f t="shared" si="0"/>
        <v>0</v>
      </c>
      <c r="Q7" s="154">
        <f>IF(I7=Year_Open_to_Traffic?,$E$51,Calculations!Q6+(Calculations!Q6*Calculations!$L7*R7))</f>
        <v>0</v>
      </c>
      <c r="R7" s="151">
        <f t="shared" si="1"/>
        <v>0</v>
      </c>
      <c r="S7" s="154">
        <f>IF($I7=Year_Open_to_Traffic?,$E$52,Calculations!S6+(Calculations!S6*Calculations!$L7*T7))</f>
        <v>0</v>
      </c>
      <c r="T7" s="151">
        <f t="shared" si="2"/>
        <v>0</v>
      </c>
      <c r="U7" s="154">
        <f>IF($I7=Year_Open_to_Traffic?,$E$53,Calculations!U6+(Calculations!U6*Calculations!$L7*V7))</f>
        <v>0</v>
      </c>
      <c r="V7" s="151">
        <f t="shared" si="3"/>
        <v>0</v>
      </c>
      <c r="W7" s="154">
        <f t="shared" si="8"/>
        <v>0</v>
      </c>
      <c r="X7" s="155">
        <f>W7/(1+Real_Discount_Rate)^(Calculations!I7-'Assumed Values'!$C$5)</f>
        <v>0</v>
      </c>
      <c r="Y7"/>
    </row>
    <row r="8" spans="1:25" ht="30" customHeight="1" x14ac:dyDescent="0.3">
      <c r="A8" s="147" t="s">
        <v>160</v>
      </c>
      <c r="B8" s="147">
        <f>'Inputs &amp; Outputs'!$C$36</f>
        <v>0</v>
      </c>
      <c r="C8" s="144"/>
      <c r="D8" s="222"/>
      <c r="E8" s="218" t="s">
        <v>161</v>
      </c>
      <c r="F8" s="219" t="s">
        <v>162</v>
      </c>
      <c r="G8" s="73"/>
      <c r="H8" s="149"/>
      <c r="I8" s="150">
        <f t="shared" si="4"/>
        <v>2025</v>
      </c>
      <c r="J8" s="157">
        <f t="shared" si="9"/>
        <v>3385.5896089160005</v>
      </c>
      <c r="K8" s="157">
        <f t="shared" si="10"/>
        <v>2.0918069872820522</v>
      </c>
      <c r="L8" s="158">
        <f t="shared" si="5"/>
        <v>1.1283458146682523E-2</v>
      </c>
      <c r="M8" s="159">
        <f t="shared" si="6"/>
        <v>1</v>
      </c>
      <c r="N8" s="160">
        <f t="shared" si="7"/>
        <v>1</v>
      </c>
      <c r="O8" s="154">
        <f>IF(I8=Year_Open_to_Traffic?,Calculations!$E$50,Calculations!O7+(Calculations!O7*Calculations!$L8*N8))</f>
        <v>0</v>
      </c>
      <c r="P8" s="151">
        <f t="shared" si="0"/>
        <v>0</v>
      </c>
      <c r="Q8" s="154">
        <f>IF(I8=Year_Open_to_Traffic?,$E$51,Calculations!Q7+(Calculations!Q7*Calculations!$L8*R8))</f>
        <v>0</v>
      </c>
      <c r="R8" s="151">
        <f t="shared" si="1"/>
        <v>0</v>
      </c>
      <c r="S8" s="154">
        <f>IF($I8=Year_Open_to_Traffic?,$E$52,Calculations!S7+(Calculations!S7*Calculations!$L8*T8))</f>
        <v>0</v>
      </c>
      <c r="T8" s="151">
        <f t="shared" si="2"/>
        <v>0</v>
      </c>
      <c r="U8" s="154">
        <f>IF($I8=Year_Open_to_Traffic?,$E$53,Calculations!U7+(Calculations!U7*Calculations!$L8*V8))</f>
        <v>0</v>
      </c>
      <c r="V8" s="151">
        <f t="shared" si="3"/>
        <v>0</v>
      </c>
      <c r="W8" s="154">
        <f t="shared" si="8"/>
        <v>0</v>
      </c>
      <c r="X8" s="155">
        <f>W8/(1+Real_Discount_Rate)^(Calculations!I8-'Assumed Values'!$C$5)</f>
        <v>0</v>
      </c>
      <c r="Y8"/>
    </row>
    <row r="9" spans="1:25" ht="28.8" x14ac:dyDescent="0.3">
      <c r="A9" s="161" t="s">
        <v>163</v>
      </c>
      <c r="B9" s="147">
        <v>365</v>
      </c>
      <c r="C9" s="144"/>
      <c r="D9" s="222"/>
      <c r="E9" s="218"/>
      <c r="F9" s="220"/>
      <c r="G9" s="73"/>
      <c r="H9" s="149"/>
      <c r="I9" s="156">
        <f t="shared" si="4"/>
        <v>2026</v>
      </c>
      <c r="J9" s="157">
        <f t="shared" si="9"/>
        <v>3423.7907675700476</v>
      </c>
      <c r="K9" s="157">
        <f t="shared" si="10"/>
        <v>2.1154098038739875</v>
      </c>
      <c r="L9" s="158">
        <f t="shared" si="5"/>
        <v>1.1283458146682523E-2</v>
      </c>
      <c r="M9" s="159">
        <f t="shared" si="6"/>
        <v>1</v>
      </c>
      <c r="N9" s="160">
        <f t="shared" si="7"/>
        <v>1</v>
      </c>
      <c r="O9" s="154">
        <f>IF(I9=Year_Open_to_Traffic?,Calculations!$E$50,Calculations!O8+(Calculations!O8*Calculations!$L9*N9))</f>
        <v>0</v>
      </c>
      <c r="P9" s="151">
        <f t="shared" si="0"/>
        <v>0</v>
      </c>
      <c r="Q9" s="154">
        <f>IF(I9=Year_Open_to_Traffic?,$E$51,Calculations!Q8+(Calculations!Q8*Calculations!$L9*R9))</f>
        <v>0</v>
      </c>
      <c r="R9" s="151">
        <f t="shared" si="1"/>
        <v>0</v>
      </c>
      <c r="S9" s="154">
        <f>IF($I9=Year_Open_to_Traffic?,$E$52,Calculations!S8+(Calculations!S8*Calculations!$L9*T9))</f>
        <v>0</v>
      </c>
      <c r="T9" s="151">
        <f t="shared" si="2"/>
        <v>0</v>
      </c>
      <c r="U9" s="154">
        <f>IF($I9=Year_Open_to_Traffic?,$E$53,Calculations!U8+(Calculations!U8*Calculations!$L9*V9))</f>
        <v>0</v>
      </c>
      <c r="V9" s="151">
        <f t="shared" si="3"/>
        <v>0</v>
      </c>
      <c r="W9" s="154">
        <f t="shared" si="8"/>
        <v>0</v>
      </c>
      <c r="X9" s="155">
        <f>W9/(1+Real_Discount_Rate)^(Calculations!I9-'Assumed Values'!$C$5)</f>
        <v>0</v>
      </c>
      <c r="Y9"/>
    </row>
    <row r="10" spans="1:25" ht="15.6" x14ac:dyDescent="0.3">
      <c r="A10" s="144"/>
      <c r="B10" s="144"/>
      <c r="C10" s="144"/>
      <c r="D10" s="222"/>
      <c r="E10" s="218"/>
      <c r="F10" s="221"/>
      <c r="G10" s="73"/>
      <c r="H10" s="149"/>
      <c r="I10" s="150">
        <f t="shared" si="4"/>
        <v>2027</v>
      </c>
      <c r="J10" s="157">
        <f t="shared" si="9"/>
        <v>3462.4229673989221</v>
      </c>
      <c r="K10" s="157">
        <f t="shared" si="10"/>
        <v>2.1392789418590814</v>
      </c>
      <c r="L10" s="158">
        <f t="shared" si="5"/>
        <v>1.1283458146682523E-2</v>
      </c>
      <c r="M10" s="159">
        <f t="shared" si="6"/>
        <v>1</v>
      </c>
      <c r="N10" s="160">
        <f t="shared" si="7"/>
        <v>1</v>
      </c>
      <c r="O10" s="154">
        <f>IF(I10=Year_Open_to_Traffic?,Calculations!$E$50,Calculations!O9+(Calculations!O9*Calculations!$L10*N10))</f>
        <v>0</v>
      </c>
      <c r="P10" s="151">
        <f t="shared" si="0"/>
        <v>0</v>
      </c>
      <c r="Q10" s="154">
        <f>IF(I10=Year_Open_to_Traffic?,$E$51,Calculations!Q9+(Calculations!Q9*Calculations!$L10*R10))</f>
        <v>0</v>
      </c>
      <c r="R10" s="151">
        <f t="shared" si="1"/>
        <v>0</v>
      </c>
      <c r="S10" s="154">
        <f>IF($I10=Year_Open_to_Traffic?,$E$52,Calculations!S9+(Calculations!S9*Calculations!$L10*T10))</f>
        <v>0</v>
      </c>
      <c r="T10" s="151">
        <f t="shared" si="2"/>
        <v>0</v>
      </c>
      <c r="U10" s="154">
        <f>IF($I10=Year_Open_to_Traffic?,$E$53,Calculations!U9+(Calculations!U9*Calculations!$L10*V10))</f>
        <v>0</v>
      </c>
      <c r="V10" s="151">
        <f t="shared" si="3"/>
        <v>0</v>
      </c>
      <c r="W10" s="154">
        <f t="shared" si="8"/>
        <v>0</v>
      </c>
      <c r="X10" s="155">
        <f>W10/(1+Real_Discount_Rate)^(Calculations!I10-'Assumed Values'!$C$5)</f>
        <v>0</v>
      </c>
      <c r="Y10"/>
    </row>
    <row r="11" spans="1:25" ht="15.6" x14ac:dyDescent="0.3">
      <c r="A11" s="223" t="s">
        <v>164</v>
      </c>
      <c r="B11" s="223"/>
      <c r="C11" s="144"/>
      <c r="D11" s="162" t="s">
        <v>110</v>
      </c>
      <c r="E11" s="163">
        <f>VLOOKUP('Inputs &amp; Outputs'!$C$19,'Preventable Crash data'!$B$11:$F$16,2,FALSE)</f>
        <v>0</v>
      </c>
      <c r="F11" s="163">
        <f>E11*Appropriate_Crash_Reduction_Factor1</f>
        <v>0</v>
      </c>
      <c r="G11" s="73"/>
      <c r="H11" s="149"/>
      <c r="I11" s="156">
        <f t="shared" si="4"/>
        <v>2028</v>
      </c>
      <c r="J11" s="157">
        <f t="shared" si="9"/>
        <v>3501.4910720376802</v>
      </c>
      <c r="K11" s="157">
        <f t="shared" si="10"/>
        <v>2.1634174062636276</v>
      </c>
      <c r="L11" s="158">
        <f t="shared" si="5"/>
        <v>1.1283458146682523E-2</v>
      </c>
      <c r="M11" s="159">
        <f t="shared" si="6"/>
        <v>1</v>
      </c>
      <c r="N11" s="160">
        <f t="shared" si="7"/>
        <v>1</v>
      </c>
      <c r="O11" s="154">
        <f>IF(I11=Year_Open_to_Traffic?,Calculations!$E$50,Calculations!O10+(Calculations!O10*Calculations!$L11*N11))</f>
        <v>0</v>
      </c>
      <c r="P11" s="151">
        <f t="shared" si="0"/>
        <v>0</v>
      </c>
      <c r="Q11" s="154">
        <f>IF(I11=Year_Open_to_Traffic?,$E$51,Calculations!Q10+(Calculations!Q10*Calculations!$L11*R11))</f>
        <v>0</v>
      </c>
      <c r="R11" s="151">
        <f t="shared" si="1"/>
        <v>0</v>
      </c>
      <c r="S11" s="154">
        <f>IF($I11=Year_Open_to_Traffic?,$E$52,Calculations!S10+(Calculations!S10*Calculations!$L11*T11))</f>
        <v>0</v>
      </c>
      <c r="T11" s="151">
        <f t="shared" si="2"/>
        <v>0</v>
      </c>
      <c r="U11" s="154">
        <f>IF($I11=Year_Open_to_Traffic?,$E$53,Calculations!U10+(Calculations!U10*Calculations!$L11*V11))</f>
        <v>0</v>
      </c>
      <c r="V11" s="151">
        <f t="shared" si="3"/>
        <v>0</v>
      </c>
      <c r="W11" s="154">
        <f t="shared" si="8"/>
        <v>0</v>
      </c>
      <c r="X11" s="155">
        <f>W11/(1+Real_Discount_Rate)^(Calculations!I11-'Assumed Values'!$C$5)</f>
        <v>0</v>
      </c>
      <c r="Y11"/>
    </row>
    <row r="12" spans="1:25" ht="15.6" x14ac:dyDescent="0.3">
      <c r="A12" s="147" t="s">
        <v>165</v>
      </c>
      <c r="B12" s="164">
        <f>IF('Growth Rates'!$C$16&lt;&gt;0,'Growth Rates'!$C$16,VLOOKUP('Inputs &amp; Outputs'!$C$6,'Growth Rates'!#REF!,2,FALSE))</f>
        <v>1.1283458146682523E-2</v>
      </c>
      <c r="C12" s="144"/>
      <c r="D12" s="162" t="s">
        <v>111</v>
      </c>
      <c r="E12" s="163">
        <f>VLOOKUP('Inputs &amp; Outputs'!$C$19,'Preventable Crash data'!$B$11:$F$16,3,FALSE)</f>
        <v>0</v>
      </c>
      <c r="F12" s="163">
        <f>E12*Appropriate_Crash_Reduction_Factor1</f>
        <v>0</v>
      </c>
      <c r="G12" s="73"/>
      <c r="H12" s="149"/>
      <c r="I12" s="150">
        <f t="shared" si="4"/>
        <v>2029</v>
      </c>
      <c r="J12" s="157">
        <f t="shared" si="9"/>
        <v>3541</v>
      </c>
      <c r="K12" s="157">
        <f t="shared" si="10"/>
        <v>2.1878282360210077</v>
      </c>
      <c r="L12" s="158">
        <f t="shared" si="5"/>
        <v>1.1283458146682523E-2</v>
      </c>
      <c r="M12" s="159">
        <f t="shared" ref="M12:M36" si="11">M11*(1+IFERROR(_2030_2045_V_C_Growth,_2021_2045_V_C_Growth))</f>
        <v>1</v>
      </c>
      <c r="N12" s="160">
        <f t="shared" si="7"/>
        <v>1</v>
      </c>
      <c r="O12" s="154">
        <f>IF(I12=Year_Open_to_Traffic?,Calculations!$E$50,Calculations!O11+(Calculations!O11*Calculations!$L12*N12))</f>
        <v>18033.174235403152</v>
      </c>
      <c r="P12" s="151">
        <f t="shared" si="0"/>
        <v>1</v>
      </c>
      <c r="Q12" s="154">
        <f>IF(I12=Year_Open_to_Traffic?,$E$51,Calculations!Q11+(Calculations!Q11*Calculations!$L12*R12))</f>
        <v>5693.3307228915683</v>
      </c>
      <c r="R12" s="151">
        <f t="shared" si="1"/>
        <v>1</v>
      </c>
      <c r="S12" s="154">
        <f>IF($I12=Year_Open_to_Traffic?,$E$52,Calculations!S11+(Calculations!S11*Calculations!$L12*T12))</f>
        <v>13898.425000000003</v>
      </c>
      <c r="T12" s="151">
        <f t="shared" si="2"/>
        <v>1</v>
      </c>
      <c r="U12" s="154">
        <f>IF($I12=Year_Open_to_Traffic?,$E$53,Calculations!U11+(Calculations!U11*Calculations!$L12*V12))</f>
        <v>0</v>
      </c>
      <c r="V12" s="151">
        <f t="shared" si="3"/>
        <v>0</v>
      </c>
      <c r="W12" s="154">
        <f t="shared" si="8"/>
        <v>37.624929958294729</v>
      </c>
      <c r="X12" s="155">
        <f>W12/(1+Real_Discount_Rate)^(Calculations!I12-'Assumed Values'!$C$5)</f>
        <v>21.898051794349403</v>
      </c>
      <c r="Y12"/>
    </row>
    <row r="13" spans="1:25" ht="39.6" customHeight="1" x14ac:dyDescent="0.3">
      <c r="A13" s="147" t="s">
        <v>166</v>
      </c>
      <c r="B13" s="164">
        <f>IF('Growth Rates'!$C$16&lt;&gt;0,'Growth Rates'!$C$16,VLOOKUP('Inputs &amp; Outputs'!$C$6,'Growth Rates'!B1:D8,3,FALSE))</f>
        <v>1.1283458146682523E-2</v>
      </c>
      <c r="C13" s="144"/>
      <c r="D13" s="162" t="s">
        <v>112</v>
      </c>
      <c r="E13" s="163">
        <f>VLOOKUP('Inputs &amp; Outputs'!$C$19,'Preventable Crash data'!$B$11:$F$16,4,FALSE)</f>
        <v>0</v>
      </c>
      <c r="F13" s="163">
        <f>E13*Appropriate_Crash_Reduction_Factor1</f>
        <v>0</v>
      </c>
      <c r="G13" s="73"/>
      <c r="H13" s="149"/>
      <c r="I13" s="156">
        <f t="shared" si="4"/>
        <v>2030</v>
      </c>
      <c r="J13" s="157">
        <f t="shared" si="9"/>
        <v>3580.954725297403</v>
      </c>
      <c r="K13" s="157">
        <f t="shared" si="10"/>
        <v>2.2125145043542811</v>
      </c>
      <c r="L13" s="158">
        <f t="shared" ref="L13:L33" si="12">_2030_2045_Demand_Growth</f>
        <v>1.1283458146682523E-2</v>
      </c>
      <c r="M13" s="159">
        <f t="shared" si="11"/>
        <v>1</v>
      </c>
      <c r="N13" s="160">
        <f t="shared" si="7"/>
        <v>1</v>
      </c>
      <c r="O13" s="154">
        <f>IF(I13=Year_Open_to_Traffic?,Calculations!$E$50,Calculations!O12+(Calculations!O12*Calculations!$L13*N13))</f>
        <v>18236.650802140157</v>
      </c>
      <c r="P13" s="151">
        <f t="shared" si="0"/>
        <v>1</v>
      </c>
      <c r="Q13" s="154">
        <f>IF(I13=Year_Open_to_Traffic?,$E$51,Calculations!Q12+(Calculations!Q12*Calculations!$L13*R13))</f>
        <v>5757.5711818185373</v>
      </c>
      <c r="R13" s="151">
        <f t="shared" si="1"/>
        <v>1</v>
      </c>
      <c r="S13" s="154">
        <f>IF($I13=Year_Open_to_Traffic?,$E$52,Calculations!S12+(Calculations!S12*Calculations!$L13*T13))</f>
        <v>14055.247296792309</v>
      </c>
      <c r="T13" s="151">
        <f t="shared" si="2"/>
        <v>1</v>
      </c>
      <c r="U13" s="154">
        <f>IF($I13=Year_Open_to_Traffic?,$E$53,Calculations!U12+(Calculations!U12*Calculations!$L13*V13))</f>
        <v>0</v>
      </c>
      <c r="V13" s="151">
        <f t="shared" si="3"/>
        <v>0</v>
      </c>
      <c r="W13" s="154">
        <f t="shared" si="8"/>
        <v>38.049469280750998</v>
      </c>
      <c r="X13" s="155">
        <f>W13/(1+Real_Discount_Rate)^(Calculations!I13-'Assumed Values'!$C$5)</f>
        <v>20.69639022921946</v>
      </c>
      <c r="Y13"/>
    </row>
    <row r="14" spans="1:25" ht="15.6" x14ac:dyDescent="0.3">
      <c r="A14" s="144"/>
      <c r="B14" s="165"/>
      <c r="C14" s="144"/>
      <c r="D14" s="162" t="s">
        <v>113</v>
      </c>
      <c r="E14" s="163">
        <f>VLOOKUP('Inputs &amp; Outputs'!$C$19,'Preventable Crash data'!$B$11:$F$16,5,FALSE)</f>
        <v>0.65634847080630221</v>
      </c>
      <c r="F14" s="163">
        <f>Calculations!E14*Appropriate_Crash_Reduction_Factor1</f>
        <v>0.22972196478220575</v>
      </c>
      <c r="G14" s="73"/>
      <c r="H14" s="149"/>
      <c r="I14" s="150">
        <f>I13+1</f>
        <v>2031</v>
      </c>
      <c r="J14" s="157">
        <f t="shared" si="9"/>
        <v>3621.3602780654614</v>
      </c>
      <c r="K14" s="157">
        <f t="shared" si="10"/>
        <v>2.2374793191630906</v>
      </c>
      <c r="L14" s="158">
        <f t="shared" si="12"/>
        <v>1.1283458146682523E-2</v>
      </c>
      <c r="M14" s="159">
        <f>M13*(1+IFERROR(_2030_2045_V_C_Growth,_2021_2045_V_C_Growth))</f>
        <v>1</v>
      </c>
      <c r="N14" s="160">
        <f t="shared" si="7"/>
        <v>1</v>
      </c>
      <c r="O14" s="154">
        <f>IF(I14=Year_Open_to_Traffic?,Calculations!$E$50,Calculations!O13+(Calculations!O13*Calculations!$L14*N14))</f>
        <v>18442.423288201771</v>
      </c>
      <c r="P14" s="151">
        <f t="shared" si="0"/>
        <v>1</v>
      </c>
      <c r="Q14" s="154">
        <f>IF(I14=Year_Open_to_Traffic?,$E$51,Calculations!Q13+(Calculations!Q13*Calculations!$L14*R14))</f>
        <v>5822.5364952751324</v>
      </c>
      <c r="R14" s="151">
        <f t="shared" si="1"/>
        <v>1</v>
      </c>
      <c r="S14" s="154">
        <f>IF($I14=Year_Open_to_Traffic?,$E$52,Calculations!S13+(Calculations!S13*Calculations!$L14*T14))</f>
        <v>14213.839091406939</v>
      </c>
      <c r="T14" s="151">
        <f t="shared" si="2"/>
        <v>1</v>
      </c>
      <c r="U14" s="154">
        <f>IF($I14=Year_Open_to_Traffic?,$E$53,Calculations!U13+(Calculations!U13*Calculations!$L14*V14))</f>
        <v>0</v>
      </c>
      <c r="V14" s="151">
        <f t="shared" si="3"/>
        <v>0</v>
      </c>
      <c r="W14" s="154">
        <f t="shared" si="8"/>
        <v>38.478798874883843</v>
      </c>
      <c r="X14" s="155">
        <f>W14/(1+Real_Discount_Rate)^(Calculations!I14-'Assumed Values'!$C$5)</f>
        <v>19.560670170241377</v>
      </c>
      <c r="Y14"/>
    </row>
    <row r="15" spans="1:25" ht="15.6" x14ac:dyDescent="0.3">
      <c r="A15" s="144"/>
      <c r="B15" s="166"/>
      <c r="C15" s="144"/>
      <c r="D15" s="144"/>
      <c r="E15" s="144"/>
      <c r="F15" s="144"/>
      <c r="G15" s="73"/>
      <c r="H15" s="149"/>
      <c r="I15" s="156">
        <f>I14+1</f>
        <v>2032</v>
      </c>
      <c r="J15" s="157">
        <f t="shared" si="9"/>
        <v>3662.2217451970719</v>
      </c>
      <c r="K15" s="157">
        <f t="shared" si="10"/>
        <v>2.262725823414935</v>
      </c>
      <c r="L15" s="158">
        <f t="shared" si="12"/>
        <v>1.1283458146682523E-2</v>
      </c>
      <c r="M15" s="159">
        <f>M14*(1+IFERROR(_2030_2045_V_C_Growth,_2021_2045_V_C_Growth))</f>
        <v>1</v>
      </c>
      <c r="N15" s="160">
        <f t="shared" si="7"/>
        <v>1</v>
      </c>
      <c r="O15" s="154">
        <f>IF(I15=Year_Open_to_Traffic?,Calculations!$E$50,Calculations!O14+(Calculations!O14*Calculations!$L15*N15))</f>
        <v>18650.517599497598</v>
      </c>
      <c r="P15" s="151">
        <f t="shared" si="0"/>
        <v>1</v>
      </c>
      <c r="Q15" s="154">
        <f>IF(I15=Year_Open_to_Traffic?,$E$51,Calculations!Q14+(Calculations!Q14*Calculations!$L15*R15))</f>
        <v>5888.2348421271008</v>
      </c>
      <c r="R15" s="151">
        <f t="shared" si="1"/>
        <v>1</v>
      </c>
      <c r="S15" s="154">
        <f>IF($I15=Year_Open_to_Traffic?,$E$52,Calculations!S14+(Calculations!S14*Calculations!$L15*T15))</f>
        <v>14374.220349898509</v>
      </c>
      <c r="T15" s="151">
        <f t="shared" si="2"/>
        <v>1</v>
      </c>
      <c r="U15" s="154">
        <f>IF($I15=Year_Open_to_Traffic?,$E$53,Calculations!U14+(Calculations!U14*Calculations!$L15*V15))</f>
        <v>0</v>
      </c>
      <c r="V15" s="151">
        <f t="shared" si="3"/>
        <v>0</v>
      </c>
      <c r="W15" s="154">
        <f t="shared" si="8"/>
        <v>38.91297279152321</v>
      </c>
      <c r="X15" s="155">
        <f>W15/(1+Real_Discount_Rate)^(Calculations!I15-'Assumed Values'!$C$5)</f>
        <v>18.487273059278834</v>
      </c>
      <c r="Y15"/>
    </row>
    <row r="16" spans="1:25" ht="15.6" x14ac:dyDescent="0.3">
      <c r="A16" s="144"/>
      <c r="B16" s="167"/>
      <c r="C16" s="144"/>
      <c r="D16" s="168"/>
      <c r="E16" s="169"/>
      <c r="F16" s="168"/>
      <c r="G16" s="73"/>
      <c r="H16" s="149"/>
      <c r="I16" s="150">
        <f t="shared" si="4"/>
        <v>2033</v>
      </c>
      <c r="J16" s="157">
        <f t="shared" si="9"/>
        <v>3703.5442709828735</v>
      </c>
      <c r="K16" s="157">
        <f t="shared" si="10"/>
        <v>2.2882571955408553</v>
      </c>
      <c r="L16" s="158">
        <f t="shared" si="12"/>
        <v>1.1283458146682523E-2</v>
      </c>
      <c r="M16" s="159">
        <f t="shared" si="11"/>
        <v>1</v>
      </c>
      <c r="N16" s="160">
        <f t="shared" si="7"/>
        <v>1</v>
      </c>
      <c r="O16" s="154">
        <f>IF(I16=Year_Open_to_Traffic?,Calculations!$E$50,Calculations!O15+(Calculations!O15*Calculations!$L16*N16))</f>
        <v>18860.959934245497</v>
      </c>
      <c r="P16" s="151">
        <f t="shared" si="0"/>
        <v>1</v>
      </c>
      <c r="Q16" s="154">
        <f>IF(I16=Year_Open_to_Traffic?,$E$51,Calculations!Q15+(Calculations!Q15*Calculations!$L16*R16))</f>
        <v>5888.2348421271008</v>
      </c>
      <c r="R16" s="151">
        <f t="shared" si="1"/>
        <v>0</v>
      </c>
      <c r="S16" s="154">
        <f>IF($I16=Year_Open_to_Traffic?,$E$52,Calculations!S15+(Calculations!S15*Calculations!$L16*T16))</f>
        <v>14536.411263607781</v>
      </c>
      <c r="T16" s="151">
        <f t="shared" si="2"/>
        <v>1</v>
      </c>
      <c r="U16" s="154">
        <f>IF($I16=Year_Open_to_Traffic?,$E$53,Calculations!U15+(Calculations!U15*Calculations!$L16*V16))</f>
        <v>0</v>
      </c>
      <c r="V16" s="151">
        <f t="shared" si="3"/>
        <v>0</v>
      </c>
      <c r="W16" s="154">
        <f t="shared" si="8"/>
        <v>33.397371197853282</v>
      </c>
      <c r="X16" s="155">
        <f>W16/(1+Real_Discount_Rate)^(Calculations!I16-'Assumed Values'!$C$5)</f>
        <v>14.828832219048937</v>
      </c>
      <c r="Y16"/>
    </row>
    <row r="17" spans="1:25" ht="15.6" x14ac:dyDescent="0.3">
      <c r="A17" s="144"/>
      <c r="B17" s="166"/>
      <c r="C17" s="144"/>
      <c r="D17" s="144"/>
      <c r="E17" s="170"/>
      <c r="F17" s="170"/>
      <c r="G17" s="73"/>
      <c r="H17" s="149"/>
      <c r="I17" s="156">
        <f t="shared" si="4"/>
        <v>2034</v>
      </c>
      <c r="J17" s="157">
        <f t="shared" si="9"/>
        <v>3745.3330577588945</v>
      </c>
      <c r="K17" s="157">
        <f t="shared" si="10"/>
        <v>2.3140766498355858</v>
      </c>
      <c r="L17" s="158">
        <f t="shared" si="12"/>
        <v>1.1283458146682523E-2</v>
      </c>
      <c r="M17" s="159">
        <f t="shared" si="11"/>
        <v>1</v>
      </c>
      <c r="N17" s="160">
        <f t="shared" si="7"/>
        <v>1</v>
      </c>
      <c r="O17" s="154">
        <f>IF(I17=Year_Open_to_Traffic?,Calculations!$E$50,Calculations!O16+(Calculations!O16*Calculations!$L17*N17))</f>
        <v>19073.776786269813</v>
      </c>
      <c r="P17" s="151">
        <f t="shared" si="0"/>
        <v>0</v>
      </c>
      <c r="Q17" s="154">
        <f>IF(I17=Year_Open_to_Traffic?,$E$51,Calculations!Q16+(Calculations!Q16*Calculations!$L17*R17))</f>
        <v>5888.2348421271008</v>
      </c>
      <c r="R17" s="151">
        <f t="shared" si="1"/>
        <v>0</v>
      </c>
      <c r="S17" s="154">
        <f>IF($I17=Year_Open_to_Traffic?,$E$52,Calculations!S16+(Calculations!S16*Calculations!$L17*T17))</f>
        <v>14700.432251703663</v>
      </c>
      <c r="T17" s="151">
        <f t="shared" si="2"/>
        <v>1</v>
      </c>
      <c r="U17" s="154">
        <f>IF($I17=Year_Open_to_Traffic?,$E$53,Calculations!U16+(Calculations!U16*Calculations!$L17*V17))</f>
        <v>0</v>
      </c>
      <c r="V17" s="151">
        <f t="shared" si="3"/>
        <v>0</v>
      </c>
      <c r="W17" s="154">
        <f t="shared" si="8"/>
        <v>14.700432251703663</v>
      </c>
      <c r="X17" s="155">
        <f>W17/(1+Real_Discount_Rate)^(Calculations!I17-'Assumed Values'!$C$5)</f>
        <v>6.1001567530510625</v>
      </c>
      <c r="Y17"/>
    </row>
    <row r="18" spans="1:25" ht="15.6" x14ac:dyDescent="0.3">
      <c r="A18" s="144"/>
      <c r="B18" s="165"/>
      <c r="C18" s="144"/>
      <c r="D18" s="222"/>
      <c r="E18" s="218" t="s">
        <v>167</v>
      </c>
      <c r="F18" s="218" t="s">
        <v>168</v>
      </c>
      <c r="G18" s="73"/>
      <c r="H18" s="149"/>
      <c r="I18" s="150">
        <f t="shared" si="4"/>
        <v>2035</v>
      </c>
      <c r="J18" s="157">
        <f t="shared" si="9"/>
        <v>3787.5933665615034</v>
      </c>
      <c r="K18" s="157">
        <f t="shared" si="10"/>
        <v>2.3401874368622209</v>
      </c>
      <c r="L18" s="158">
        <f t="shared" si="12"/>
        <v>1.1283458146682523E-2</v>
      </c>
      <c r="M18" s="159">
        <f t="shared" si="11"/>
        <v>1</v>
      </c>
      <c r="N18" s="160">
        <f t="shared" si="7"/>
        <v>1</v>
      </c>
      <c r="O18" s="154">
        <f>IF(I18=Year_Open_to_Traffic?,Calculations!$E$50,Calculations!O17+(Calculations!O17*Calculations!$L18*N18))</f>
        <v>19288.994948336855</v>
      </c>
      <c r="P18" s="151">
        <f t="shared" si="0"/>
        <v>0</v>
      </c>
      <c r="Q18" s="154">
        <f>IF(I18=Year_Open_to_Traffic?,$E$51,Calculations!Q17+(Calculations!Q17*Calculations!$L18*R18))</f>
        <v>5888.2348421271008</v>
      </c>
      <c r="R18" s="151">
        <f t="shared" si="1"/>
        <v>0</v>
      </c>
      <c r="S18" s="154">
        <f>IF($I18=Year_Open_to_Traffic?,$E$52,Calculations!S17+(Calculations!S17*Calculations!$L18*T18))</f>
        <v>14866.303963753904</v>
      </c>
      <c r="T18" s="151">
        <f t="shared" si="2"/>
        <v>1</v>
      </c>
      <c r="U18" s="154">
        <f>IF($I18=Year_Open_to_Traffic?,$E$53,Calculations!U17+(Calculations!U17*Calculations!$L18*V18))</f>
        <v>0</v>
      </c>
      <c r="V18" s="151">
        <f t="shared" si="3"/>
        <v>0</v>
      </c>
      <c r="W18" s="154">
        <f t="shared" si="8"/>
        <v>14.866303963753904</v>
      </c>
      <c r="X18" s="155">
        <f>W18/(1+Real_Discount_Rate)^(Calculations!I18-'Assumed Values'!$C$5)</f>
        <v>5.7654089873479597</v>
      </c>
      <c r="Y18"/>
    </row>
    <row r="19" spans="1:25" ht="15.6" x14ac:dyDescent="0.3">
      <c r="A19" s="144"/>
      <c r="B19" s="165"/>
      <c r="C19" s="144"/>
      <c r="D19" s="222"/>
      <c r="E19" s="218"/>
      <c r="F19" s="218"/>
      <c r="G19" s="73"/>
      <c r="H19" s="149"/>
      <c r="I19" s="156">
        <f t="shared" si="4"/>
        <v>2036</v>
      </c>
      <c r="J19" s="157">
        <f t="shared" si="9"/>
        <v>3830.3305177897523</v>
      </c>
      <c r="K19" s="157">
        <f t="shared" si="10"/>
        <v>2.3665928438614481</v>
      </c>
      <c r="L19" s="158">
        <f t="shared" si="12"/>
        <v>1.1283458146682523E-2</v>
      </c>
      <c r="M19" s="159">
        <f t="shared" si="11"/>
        <v>1</v>
      </c>
      <c r="N19" s="160">
        <f t="shared" si="7"/>
        <v>1</v>
      </c>
      <c r="O19" s="154">
        <f>IF(I19=Year_Open_to_Traffic?,Calculations!$E$50,Calculations!O18+(Calculations!O18*Calculations!$L19*N19))</f>
        <v>19506.641515527983</v>
      </c>
      <c r="P19" s="151">
        <f t="shared" si="0"/>
        <v>0</v>
      </c>
      <c r="Q19" s="154">
        <f>IF(I19=Year_Open_to_Traffic?,$E$51,Calculations!Q18+(Calculations!Q18*Calculations!$L19*R19))</f>
        <v>5888.2348421271008</v>
      </c>
      <c r="R19" s="151">
        <f t="shared" si="1"/>
        <v>0</v>
      </c>
      <c r="S19" s="154">
        <f>IF($I19=Year_Open_to_Traffic?,$E$52,Calculations!S18+(Calculations!S18*Calculations!$L19*T19))</f>
        <v>15034.047282324782</v>
      </c>
      <c r="T19" s="151">
        <f t="shared" si="2"/>
        <v>1</v>
      </c>
      <c r="U19" s="154">
        <f>IF($I19=Year_Open_to_Traffic?,$E$53,Calculations!U18+(Calculations!U18*Calculations!$L19*V19))</f>
        <v>0</v>
      </c>
      <c r="V19" s="151">
        <f t="shared" si="3"/>
        <v>0</v>
      </c>
      <c r="W19" s="154">
        <f t="shared" si="8"/>
        <v>15.034047282324781</v>
      </c>
      <c r="X19" s="155">
        <f>W19/(1+Real_Discount_Rate)^(Calculations!I19-'Assumed Values'!$C$5)</f>
        <v>5.4490305965936514</v>
      </c>
      <c r="Y19"/>
    </row>
    <row r="20" spans="1:25" ht="15.6" x14ac:dyDescent="0.3">
      <c r="A20" s="144"/>
      <c r="B20" s="165"/>
      <c r="C20" s="144"/>
      <c r="D20" s="222"/>
      <c r="E20" s="218"/>
      <c r="F20" s="218"/>
      <c r="G20" s="73"/>
      <c r="H20" s="149"/>
      <c r="I20" s="150">
        <f t="shared" si="4"/>
        <v>2037</v>
      </c>
      <c r="J20" s="157">
        <f t="shared" si="9"/>
        <v>3873.5498918751937</v>
      </c>
      <c r="K20" s="157">
        <f t="shared" si="10"/>
        <v>2.393296195165397</v>
      </c>
      <c r="L20" s="158">
        <f t="shared" si="12"/>
        <v>1.1283458146682523E-2</v>
      </c>
      <c r="M20" s="159">
        <f t="shared" si="11"/>
        <v>1</v>
      </c>
      <c r="N20" s="160">
        <f t="shared" si="7"/>
        <v>1</v>
      </c>
      <c r="O20" s="154">
        <f>IF(I20=Year_Open_to_Traffic?,Calculations!$E$50,Calculations!O19+(Calculations!O19*Calculations!$L20*N20))</f>
        <v>19726.743888650784</v>
      </c>
      <c r="P20" s="151">
        <f t="shared" si="0"/>
        <v>0</v>
      </c>
      <c r="Q20" s="154">
        <f>IF(I20=Year_Open_to_Traffic?,$E$51,Calculations!Q19+(Calculations!Q19*Calculations!$L20*R20))</f>
        <v>5888.2348421271008</v>
      </c>
      <c r="R20" s="151">
        <f t="shared" si="1"/>
        <v>0</v>
      </c>
      <c r="S20" s="154">
        <f>IF($I20=Year_Open_to_Traffic?,$E$52,Calculations!S19+(Calculations!S19*Calculations!$L20*T20))</f>
        <v>15203.68332561014</v>
      </c>
      <c r="T20" s="151">
        <f t="shared" si="2"/>
        <v>1</v>
      </c>
      <c r="U20" s="154">
        <f>IF($I20=Year_Open_to_Traffic?,$E$53,Calculations!U19+(Calculations!U19*Calculations!$L20*V20))</f>
        <v>0</v>
      </c>
      <c r="V20" s="151">
        <f t="shared" si="3"/>
        <v>0</v>
      </c>
      <c r="W20" s="154">
        <f t="shared" si="8"/>
        <v>15.20368332561014</v>
      </c>
      <c r="X20" s="155">
        <f>W20/(1+Real_Discount_Rate)^(Calculations!I20-'Assumed Values'!$C$5)</f>
        <v>5.1500135563273925</v>
      </c>
      <c r="Y20"/>
    </row>
    <row r="21" spans="1:25" ht="28.8" x14ac:dyDescent="0.3">
      <c r="A21" s="145" t="s">
        <v>169</v>
      </c>
      <c r="B21" s="145" t="s">
        <v>170</v>
      </c>
      <c r="C21" s="144"/>
      <c r="D21" s="162" t="s">
        <v>110</v>
      </c>
      <c r="E21" s="163">
        <f>IF('Inputs &amp; Outputs'!$C$24='Inputs &amp; Outputs'!$C$19,$E$11-$F$11,VLOOKUP('Inputs &amp; Outputs'!$C$24,'Preventable Crash data'!$B$11:$F$16,2,FALSE))</f>
        <v>0</v>
      </c>
      <c r="F21" s="163">
        <f>E21*Appropriate_Crash_Reduction_Factor2</f>
        <v>0</v>
      </c>
      <c r="G21" s="73"/>
      <c r="H21" s="149"/>
      <c r="I21" s="156">
        <f>I20+1</f>
        <v>2038</v>
      </c>
      <c r="J21" s="157">
        <f t="shared" si="9"/>
        <v>3917.2569299592542</v>
      </c>
      <c r="K21" s="157">
        <f t="shared" si="10"/>
        <v>2.4203008526161605</v>
      </c>
      <c r="L21" s="158">
        <f t="shared" si="12"/>
        <v>1.1283458146682523E-2</v>
      </c>
      <c r="M21" s="159">
        <f>M20*(1+IFERROR(_2030_2045_V_C_Growth,_2021_2045_V_C_Growth))</f>
        <v>1</v>
      </c>
      <c r="N21" s="160">
        <f t="shared" si="7"/>
        <v>1</v>
      </c>
      <c r="O21" s="154">
        <f>IF(I21=Year_Open_to_Traffic?,Calculations!$E$50,Calculations!O20+(Calculations!O20*Calculations!$L21*N21))</f>
        <v>19949.329777688701</v>
      </c>
      <c r="P21" s="151">
        <f t="shared" si="0"/>
        <v>0</v>
      </c>
      <c r="Q21" s="154">
        <f>IF(I21=Year_Open_to_Traffic?,$E$51,Calculations!Q20+(Calculations!Q20*Calculations!$L21*R21))</f>
        <v>5888.2348421271008</v>
      </c>
      <c r="R21" s="151">
        <f t="shared" si="1"/>
        <v>0</v>
      </c>
      <c r="S21" s="154">
        <f>IF($I21=Year_Open_to_Traffic?,$E$52,Calculations!S20+(Calculations!S20*Calculations!$L21*T21))</f>
        <v>15375.233450090076</v>
      </c>
      <c r="T21" s="151">
        <f t="shared" si="2"/>
        <v>1</v>
      </c>
      <c r="U21" s="154">
        <f>IF($I21=Year_Open_to_Traffic?,$E$53,Calculations!U20+(Calculations!U20*Calculations!$L21*V21))</f>
        <v>0</v>
      </c>
      <c r="V21" s="151">
        <f t="shared" si="3"/>
        <v>0</v>
      </c>
      <c r="W21" s="154">
        <f t="shared" si="8"/>
        <v>15.375233450090077</v>
      </c>
      <c r="X21" s="155">
        <f>W21/(1+Real_Discount_Rate)^(Calculations!I21-'Assumed Values'!$C$5)</f>
        <v>4.8674051577056634</v>
      </c>
      <c r="Y21"/>
    </row>
    <row r="22" spans="1:25" ht="15.6" x14ac:dyDescent="0.3">
      <c r="A22" s="191" t="s">
        <v>171</v>
      </c>
      <c r="B22" s="57">
        <f>'Value of Statistical Life'!E9</f>
        <v>11800000</v>
      </c>
      <c r="C22" s="144"/>
      <c r="D22" s="162" t="s">
        <v>111</v>
      </c>
      <c r="E22" s="163">
        <f>IF('Inputs &amp; Outputs'!$C$24='Inputs &amp; Outputs'!$C$19,$E$12-$F$12,VLOOKUP('Inputs &amp; Outputs'!$C$24,'Preventable Crash data'!$B$11:$F$16,3,FALSE))</f>
        <v>0</v>
      </c>
      <c r="F22" s="163">
        <f>E22*Appropriate_Crash_Reduction_Factor2</f>
        <v>0</v>
      </c>
      <c r="G22" s="73"/>
      <c r="H22" s="149"/>
      <c r="I22" s="150">
        <f>I21+1</f>
        <v>2039</v>
      </c>
      <c r="J22" s="157">
        <f t="shared" si="9"/>
        <v>3961.4571345782515</v>
      </c>
      <c r="K22" s="157">
        <f t="shared" si="10"/>
        <v>2.4476102159890347</v>
      </c>
      <c r="L22" s="158">
        <f t="shared" si="12"/>
        <v>1.1283458146682523E-2</v>
      </c>
      <c r="M22" s="159">
        <f t="shared" si="11"/>
        <v>1</v>
      </c>
      <c r="N22" s="160">
        <f t="shared" si="7"/>
        <v>1</v>
      </c>
      <c r="O22" s="154">
        <f>IF(I22=Year_Open_to_Traffic?,Calculations!$E$50,Calculations!O21+(Calculations!O21*Calculations!$L22*N22))</f>
        <v>20174.427205289619</v>
      </c>
      <c r="P22" s="151">
        <f t="shared" si="0"/>
        <v>0</v>
      </c>
      <c r="Q22" s="154">
        <f>IF(I22=Year_Open_to_Traffic?,$E$51,Calculations!Q21+(Calculations!Q21*Calculations!$L22*R22))</f>
        <v>5888.2348421271008</v>
      </c>
      <c r="R22" s="151">
        <f t="shared" si="1"/>
        <v>0</v>
      </c>
      <c r="S22" s="154">
        <f>IF($I22=Year_Open_to_Traffic?,$E$52,Calculations!S21+(Calculations!S21*Calculations!$L22*T22))</f>
        <v>15548.71925321964</v>
      </c>
      <c r="T22" s="151">
        <f t="shared" si="2"/>
        <v>1</v>
      </c>
      <c r="U22" s="154">
        <f>IF($I22=Year_Open_to_Traffic?,$E$53,Calculations!U21+(Calculations!U21*Calculations!$L22*V22))</f>
        <v>0</v>
      </c>
      <c r="V22" s="151">
        <f t="shared" si="3"/>
        <v>0</v>
      </c>
      <c r="W22" s="154">
        <f t="shared" si="8"/>
        <v>15.548719253219641</v>
      </c>
      <c r="X22" s="155">
        <f>W22/(1+Real_Discount_Rate)^(Calculations!I22-'Assumed Values'!$C$5)</f>
        <v>4.6003049720425997</v>
      </c>
      <c r="Y22"/>
    </row>
    <row r="23" spans="1:25" ht="32.4" customHeight="1" x14ac:dyDescent="0.3">
      <c r="A23" s="191" t="s">
        <v>172</v>
      </c>
      <c r="B23" s="57">
        <f>'Value of Statistical Life'!E8</f>
        <v>564300</v>
      </c>
      <c r="C23" s="144"/>
      <c r="D23" s="162" t="s">
        <v>112</v>
      </c>
      <c r="E23" s="163">
        <f>IF('Inputs &amp; Outputs'!$C$24='Inputs &amp; Outputs'!$C$19,$E$13-$F$13,VLOOKUP('Inputs &amp; Outputs'!$C$24,'Preventable Crash data'!$B$11:$F$16,4,FALSE))</f>
        <v>0</v>
      </c>
      <c r="F23" s="163">
        <f>E23*Appropriate_Crash_Reduction_Factor2</f>
        <v>0</v>
      </c>
      <c r="G23" s="73"/>
      <c r="H23" s="149"/>
      <c r="I23" s="156">
        <f t="shared" si="4"/>
        <v>2040</v>
      </c>
      <c r="J23" s="157">
        <f t="shared" si="9"/>
        <v>4006.1560703561422</v>
      </c>
      <c r="K23" s="157">
        <f t="shared" si="10"/>
        <v>2.4752277234205398</v>
      </c>
      <c r="L23" s="158">
        <f t="shared" si="12"/>
        <v>1.1283458146682523E-2</v>
      </c>
      <c r="M23" s="159">
        <f t="shared" si="11"/>
        <v>1</v>
      </c>
      <c r="N23" s="160">
        <f t="shared" si="7"/>
        <v>1</v>
      </c>
      <c r="O23" s="154">
        <f>IF(I23=Year_Open_to_Traffic?,Calculations!$E$50,Calculations!O22+(Calculations!O22*Calculations!$L23*N23))</f>
        <v>20402.0645102938</v>
      </c>
      <c r="P23" s="151">
        <f t="shared" si="0"/>
        <v>0</v>
      </c>
      <c r="Q23" s="154">
        <f>IF(I23=Year_Open_to_Traffic?,$E$51,Calculations!Q22+(Calculations!Q22*Calculations!$L23*R23))</f>
        <v>5888.2348421271008</v>
      </c>
      <c r="R23" s="151">
        <f t="shared" si="1"/>
        <v>0</v>
      </c>
      <c r="S23" s="154">
        <f>IF($I23=Year_Open_to_Traffic?,$E$52,Calculations!S22+(Calculations!S22*Calculations!$L23*T23))</f>
        <v>15724.162576147861</v>
      </c>
      <c r="T23" s="151">
        <f t="shared" si="2"/>
        <v>1</v>
      </c>
      <c r="U23" s="154">
        <f>IF($I23=Year_Open_to_Traffic?,$E$53,Calculations!U22+(Calculations!U22*Calculations!$L23*V23))</f>
        <v>0</v>
      </c>
      <c r="V23" s="151">
        <f t="shared" si="3"/>
        <v>0</v>
      </c>
      <c r="W23" s="154">
        <f t="shared" si="8"/>
        <v>15.724162576147862</v>
      </c>
      <c r="X23" s="155">
        <f>W23/(1+Real_Discount_Rate)^(Calculations!I23-'Assumed Values'!$C$5)</f>
        <v>4.3478619819220725</v>
      </c>
      <c r="Y23"/>
    </row>
    <row r="24" spans="1:25" ht="28.8" x14ac:dyDescent="0.3">
      <c r="A24" s="190" t="s">
        <v>173</v>
      </c>
      <c r="B24" s="57">
        <f>'Value of Statistical Life'!E7</f>
        <v>153700</v>
      </c>
      <c r="C24" s="144"/>
      <c r="D24" s="162" t="s">
        <v>113</v>
      </c>
      <c r="E24" s="163">
        <f>IF('Inputs &amp; Outputs'!$C$24='Inputs &amp; Outputs'!$C$19,$E$14-$F$14,VLOOKUP('Inputs &amp; Outputs'!$C$24,'Preventable Crash data'!$B$11:$F$16,5,FALSE))</f>
        <v>0.42662650602409646</v>
      </c>
      <c r="F24" s="163">
        <f>Calculations!E24*Appropriate_Crash_Reduction_Factor2</f>
        <v>7.252650602409641E-2</v>
      </c>
      <c r="G24" s="73"/>
      <c r="H24" s="149"/>
      <c r="I24" s="150">
        <f t="shared" si="4"/>
        <v>2041</v>
      </c>
      <c r="J24" s="157">
        <f t="shared" si="9"/>
        <v>4051.3593647050839</v>
      </c>
      <c r="K24" s="157">
        <f t="shared" si="10"/>
        <v>2.5031568518412639</v>
      </c>
      <c r="L24" s="158">
        <f t="shared" si="12"/>
        <v>1.1283458146682523E-2</v>
      </c>
      <c r="M24" s="159">
        <f t="shared" si="11"/>
        <v>1</v>
      </c>
      <c r="N24" s="160">
        <f t="shared" si="7"/>
        <v>1</v>
      </c>
      <c r="O24" s="154">
        <f>IF(I24=Year_Open_to_Traffic?,Calculations!$E$50,Calculations!O23+(Calculations!O23*Calculations!$L24*N24))</f>
        <v>20632.270351301617</v>
      </c>
      <c r="P24" s="151">
        <f t="shared" si="0"/>
        <v>0</v>
      </c>
      <c r="Q24" s="154">
        <f>IF(I24=Year_Open_to_Traffic?,$E$51,Calculations!Q23+(Calculations!Q23*Calculations!$L24*R24))</f>
        <v>5888.2348421271008</v>
      </c>
      <c r="R24" s="151">
        <f t="shared" si="1"/>
        <v>0</v>
      </c>
      <c r="S24" s="154">
        <f>IF($I24=Year_Open_to_Traffic?,$E$52,Calculations!S23+(Calculations!S23*Calculations!$L24*T24))</f>
        <v>15901.585506467456</v>
      </c>
      <c r="T24" s="151">
        <f t="shared" si="2"/>
        <v>1</v>
      </c>
      <c r="U24" s="154">
        <f>IF($I24=Year_Open_to_Traffic?,$E$53,Calculations!U23+(Calculations!U23*Calculations!$L24*V24))</f>
        <v>0</v>
      </c>
      <c r="V24" s="151">
        <f t="shared" si="3"/>
        <v>0</v>
      </c>
      <c r="W24" s="154">
        <f t="shared" si="8"/>
        <v>15.901585506467455</v>
      </c>
      <c r="X24" s="155">
        <f>W24/(1+Real_Discount_Rate)^(Calculations!I24-'Assumed Values'!$C$5)</f>
        <v>4.1092718697407875</v>
      </c>
      <c r="Y24"/>
    </row>
    <row r="25" spans="1:25" ht="15.6" x14ac:dyDescent="0.3">
      <c r="A25" s="191" t="s">
        <v>174</v>
      </c>
      <c r="B25" s="57">
        <f>'Value of Statistical Life'!E6</f>
        <v>78500</v>
      </c>
      <c r="C25" s="144"/>
      <c r="D25" s="171"/>
      <c r="E25" s="171"/>
      <c r="F25" s="171"/>
      <c r="G25" s="73"/>
      <c r="H25" s="149"/>
      <c r="I25" s="156">
        <f t="shared" si="4"/>
        <v>2042</v>
      </c>
      <c r="J25" s="157">
        <f t="shared" si="9"/>
        <v>4097.072708533904</v>
      </c>
      <c r="K25" s="157">
        <f t="shared" si="10"/>
        <v>2.5314011174135964</v>
      </c>
      <c r="L25" s="158">
        <f t="shared" si="12"/>
        <v>1.1283458146682523E-2</v>
      </c>
      <c r="M25" s="159">
        <f t="shared" si="11"/>
        <v>1</v>
      </c>
      <c r="N25" s="160">
        <f t="shared" si="7"/>
        <v>1</v>
      </c>
      <c r="O25" s="154">
        <f>IF(I25=Year_Open_to_Traffic?,Calculations!$E$50,Calculations!O24+(Calculations!O24*Calculations!$L25*N25))</f>
        <v>20865.073710281566</v>
      </c>
      <c r="P25" s="151">
        <f t="shared" si="0"/>
        <v>0</v>
      </c>
      <c r="Q25" s="154">
        <f>IF(I25=Year_Open_to_Traffic?,$E$51,Calculations!Q24+(Calculations!Q24*Calculations!$L25*R25))</f>
        <v>5888.2348421271008</v>
      </c>
      <c r="R25" s="151">
        <f t="shared" si="1"/>
        <v>0</v>
      </c>
      <c r="S25" s="154">
        <f>IF($I25=Year_Open_to_Traffic?,$E$52,Calculations!S24+(Calculations!S24*Calculations!$L25*T25))</f>
        <v>16081.010380995574</v>
      </c>
      <c r="T25" s="151">
        <f t="shared" si="2"/>
        <v>1</v>
      </c>
      <c r="U25" s="154">
        <f>IF($I25=Year_Open_to_Traffic?,$E$53,Calculations!U24+(Calculations!U24*Calculations!$L25*V25))</f>
        <v>0</v>
      </c>
      <c r="V25" s="151">
        <f t="shared" si="3"/>
        <v>0</v>
      </c>
      <c r="W25" s="154">
        <f t="shared" si="8"/>
        <v>16.081010380995576</v>
      </c>
      <c r="X25" s="155">
        <f>W25/(1+Real_Discount_Rate)^(Calculations!I25-'Assumed Values'!$C$5)</f>
        <v>3.8837744550433153</v>
      </c>
      <c r="Y25"/>
    </row>
    <row r="26" spans="1:25" ht="15.6" x14ac:dyDescent="0.3">
      <c r="A26" s="191" t="s">
        <v>175</v>
      </c>
      <c r="B26" s="57">
        <f>'Value of Statistical Life'!E5</f>
        <v>4000</v>
      </c>
      <c r="C26" s="144"/>
      <c r="D26" s="171"/>
      <c r="E26" s="171"/>
      <c r="F26" s="171"/>
      <c r="G26" s="73"/>
      <c r="H26" s="149"/>
      <c r="I26" s="150">
        <f t="shared" si="4"/>
        <v>2043</v>
      </c>
      <c r="J26" s="157">
        <f t="shared" si="9"/>
        <v>4143.3018569645619</v>
      </c>
      <c r="K26" s="157">
        <f t="shared" si="10"/>
        <v>2.5599640759743982</v>
      </c>
      <c r="L26" s="158">
        <f t="shared" si="12"/>
        <v>1.1283458146682523E-2</v>
      </c>
      <c r="M26" s="159">
        <f t="shared" si="11"/>
        <v>1</v>
      </c>
      <c r="N26" s="160">
        <f t="shared" si="7"/>
        <v>1</v>
      </c>
      <c r="O26" s="154">
        <f>IF(I26=Year_Open_to_Traffic?,Calculations!$E$50,Calculations!O25+(Calculations!O25*Calculations!$L26*N26))</f>
        <v>21100.503896218972</v>
      </c>
      <c r="P26" s="151">
        <f t="shared" si="0"/>
        <v>0</v>
      </c>
      <c r="Q26" s="154">
        <f>IF(I26=Year_Open_to_Traffic?,$E$51,Calculations!Q25+(Calculations!Q25*Calculations!$L26*R26))</f>
        <v>5888.2348421271008</v>
      </c>
      <c r="R26" s="151">
        <f t="shared" si="1"/>
        <v>0</v>
      </c>
      <c r="S26" s="154">
        <f>IF($I26=Year_Open_to_Traffic?,$E$52,Calculations!S25+(Calculations!S25*Calculations!$L26*T26))</f>
        <v>16262.459788585906</v>
      </c>
      <c r="T26" s="151">
        <f t="shared" si="2"/>
        <v>1</v>
      </c>
      <c r="U26" s="154">
        <f>IF($I26=Year_Open_to_Traffic?,$E$53,Calculations!U25+(Calculations!U25*Calculations!$L26*V26))</f>
        <v>0</v>
      </c>
      <c r="V26" s="151">
        <f t="shared" si="3"/>
        <v>0</v>
      </c>
      <c r="W26" s="154">
        <f t="shared" si="8"/>
        <v>16.262459788585907</v>
      </c>
      <c r="X26" s="155">
        <f>W26/(1+Real_Discount_Rate)^(Calculations!I26-'Assumed Values'!$C$5)</f>
        <v>3.6706512724840668</v>
      </c>
      <c r="Y26"/>
    </row>
    <row r="27" spans="1:25" ht="15.6" x14ac:dyDescent="0.3">
      <c r="A27"/>
      <c r="B27"/>
      <c r="C27"/>
      <c r="D27"/>
      <c r="E27"/>
      <c r="F27"/>
      <c r="G27" s="172"/>
      <c r="H27" s="149"/>
      <c r="I27" s="156">
        <f t="shared" si="4"/>
        <v>2044</v>
      </c>
      <c r="J27" s="157">
        <f t="shared" si="9"/>
        <v>4190.0526300566935</v>
      </c>
      <c r="K27" s="157">
        <f t="shared" si="10"/>
        <v>2.5888493234826662</v>
      </c>
      <c r="L27" s="158">
        <f t="shared" si="12"/>
        <v>1.1283458146682523E-2</v>
      </c>
      <c r="M27" s="159">
        <f t="shared" si="11"/>
        <v>1</v>
      </c>
      <c r="N27" s="160">
        <f t="shared" si="7"/>
        <v>1</v>
      </c>
      <c r="O27" s="154">
        <f>IF(I27=Year_Open_to_Traffic?,Calculations!$E$50,Calculations!O26+(Calculations!O26*Calculations!$L27*N27))</f>
        <v>21338.590548805871</v>
      </c>
      <c r="P27" s="151">
        <f t="shared" si="0"/>
        <v>0</v>
      </c>
      <c r="Q27" s="154">
        <f>IF(I27=Year_Open_to_Traffic?,$E$51,Calculations!Q26+(Calculations!Q26*Calculations!$L27*R27))</f>
        <v>5888.2348421271008</v>
      </c>
      <c r="R27" s="151">
        <f t="shared" si="1"/>
        <v>0</v>
      </c>
      <c r="S27" s="154">
        <f>IF($I27=Year_Open_to_Traffic?,$E$52,Calculations!S26+(Calculations!S26*Calculations!$L27*T27))</f>
        <v>16445.956572972522</v>
      </c>
      <c r="T27" s="151">
        <f t="shared" si="2"/>
        <v>1</v>
      </c>
      <c r="U27" s="154">
        <f>IF($I27=Year_Open_to_Traffic?,$E$53,Calculations!U26+(Calculations!U26*Calculations!$L27*V27))</f>
        <v>0</v>
      </c>
      <c r="V27" s="151">
        <f t="shared" si="3"/>
        <v>0</v>
      </c>
      <c r="W27" s="154">
        <f t="shared" si="8"/>
        <v>16.445956572972523</v>
      </c>
      <c r="X27" s="155">
        <f>W27/(1+Real_Discount_Rate)^(Calculations!I27-'Assumed Values'!$C$5)</f>
        <v>3.4692232826992595</v>
      </c>
      <c r="Y27"/>
    </row>
    <row r="28" spans="1:25" ht="15.75" customHeight="1" x14ac:dyDescent="0.3">
      <c r="A28"/>
      <c r="B28"/>
      <c r="C28"/>
      <c r="D28" s="222"/>
      <c r="E28" s="218" t="s">
        <v>176</v>
      </c>
      <c r="F28" s="218" t="s">
        <v>177</v>
      </c>
      <c r="G28" s="172"/>
      <c r="H28" s="149"/>
      <c r="I28" s="150">
        <f t="shared" si="4"/>
        <v>2045</v>
      </c>
      <c r="J28" s="157">
        <f t="shared" si="9"/>
        <v>4237.3309135403351</v>
      </c>
      <c r="K28" s="157">
        <f t="shared" si="10"/>
        <v>2.6180604964722503</v>
      </c>
      <c r="L28" s="158">
        <f t="shared" si="12"/>
        <v>1.1283458146682523E-2</v>
      </c>
      <c r="M28" s="159">
        <f t="shared" si="11"/>
        <v>1</v>
      </c>
      <c r="N28" s="160">
        <f t="shared" si="7"/>
        <v>1</v>
      </c>
      <c r="O28" s="154">
        <f>IF(I28=Year_Open_to_Traffic?,Calculations!$E$50,Calculations!O27+(Calculations!O27*Calculations!$L28*N28))</f>
        <v>21579.363642172517</v>
      </c>
      <c r="P28" s="151">
        <f t="shared" si="0"/>
        <v>0</v>
      </c>
      <c r="Q28" s="154">
        <f>IF(I28=Year_Open_to_Traffic?,$E$51,Calculations!Q27+(Calculations!Q27*Calculations!$L28*R28))</f>
        <v>5888.2348421271008</v>
      </c>
      <c r="R28" s="151">
        <f t="shared" si="1"/>
        <v>0</v>
      </c>
      <c r="S28" s="154">
        <f>IF($I28=Year_Open_to_Traffic?,$E$52,Calculations!S27+(Calculations!S27*Calculations!$L28*T28))</f>
        <v>16631.523835645814</v>
      </c>
      <c r="T28" s="151">
        <f t="shared" si="2"/>
        <v>1</v>
      </c>
      <c r="U28" s="154">
        <f>IF($I28=Year_Open_to_Traffic?,$E$53,Calculations!U27+(Calculations!U27*Calculations!$L28*V28))</f>
        <v>0</v>
      </c>
      <c r="V28" s="151">
        <f t="shared" si="3"/>
        <v>0</v>
      </c>
      <c r="W28" s="154">
        <f t="shared" si="8"/>
        <v>16.631523835645815</v>
      </c>
      <c r="X28" s="155">
        <f>W28/(1+Real_Discount_Rate)^(Calculations!I28-'Assumed Values'!$C$5)</f>
        <v>3.2788487087954135</v>
      </c>
      <c r="Y28"/>
    </row>
    <row r="29" spans="1:25" s="79" customFormat="1" ht="15.6" x14ac:dyDescent="0.3">
      <c r="A29" s="75"/>
      <c r="B29" s="75"/>
      <c r="C29" s="75"/>
      <c r="D29" s="222"/>
      <c r="E29" s="218"/>
      <c r="F29" s="218"/>
      <c r="G29" s="173"/>
      <c r="H29" s="174"/>
      <c r="I29" s="175">
        <f t="shared" si="4"/>
        <v>2046</v>
      </c>
      <c r="J29" s="157">
        <f t="shared" si="9"/>
        <v>4285.1426595569119</v>
      </c>
      <c r="K29" s="157">
        <f t="shared" si="10"/>
        <v>2.6476012725096778</v>
      </c>
      <c r="L29" s="158">
        <f t="shared" si="12"/>
        <v>1.1283458146682523E-2</v>
      </c>
      <c r="M29" s="176">
        <f t="shared" si="11"/>
        <v>1</v>
      </c>
      <c r="N29" s="177">
        <f t="shared" si="7"/>
        <v>1</v>
      </c>
      <c r="O29" s="154">
        <f>IF(I29=Year_Open_to_Traffic?,Calculations!$E$50,Calculations!O28+(Calculations!O28*Calculations!$L29*N29))</f>
        <v>21822.853488661014</v>
      </c>
      <c r="P29" s="151">
        <f t="shared" si="0"/>
        <v>0</v>
      </c>
      <c r="Q29" s="154">
        <f>IF(I29=Year_Open_to_Traffic?,$E$51,Calculations!Q28+(Calculations!Q28*Calculations!$L29*R29))</f>
        <v>5888.2348421271008</v>
      </c>
      <c r="R29" s="151">
        <f t="shared" si="1"/>
        <v>0</v>
      </c>
      <c r="S29" s="154">
        <f>IF($I29=Year_Open_to_Traffic?,$E$52,Calculations!S28+(Calculations!S28*Calculations!$L29*T29))</f>
        <v>16819.184938760875</v>
      </c>
      <c r="T29" s="151">
        <f t="shared" si="2"/>
        <v>1</v>
      </c>
      <c r="U29" s="154">
        <f>IF($I29=Year_Open_to_Traffic?,$E$53,Calculations!U28+(Calculations!U28*Calculations!$L29*V29))</f>
        <v>0</v>
      </c>
      <c r="V29" s="151">
        <f t="shared" si="3"/>
        <v>0</v>
      </c>
      <c r="W29" s="154">
        <f t="shared" si="8"/>
        <v>16.819184938760873</v>
      </c>
      <c r="X29" s="178">
        <f>W29/(1+Real_Discount_Rate)^(Calculations!I29-'Assumed Values'!$C$5)</f>
        <v>3.0989209915611302</v>
      </c>
      <c r="Y29" s="75"/>
    </row>
    <row r="30" spans="1:25" ht="15.6" x14ac:dyDescent="0.3">
      <c r="A30"/>
      <c r="B30"/>
      <c r="C30"/>
      <c r="D30" s="222"/>
      <c r="E30" s="218"/>
      <c r="F30" s="218"/>
      <c r="G30" s="172"/>
      <c r="H30" s="149"/>
      <c r="I30" s="156">
        <f t="shared" si="4"/>
        <v>2047</v>
      </c>
      <c r="J30" s="157">
        <f t="shared" si="9"/>
        <v>4333.4938874085865</v>
      </c>
      <c r="K30" s="157">
        <f t="shared" si="10"/>
        <v>2.6774753706571444</v>
      </c>
      <c r="L30" s="158">
        <f t="shared" si="12"/>
        <v>1.1283458146682523E-2</v>
      </c>
      <c r="M30" s="159">
        <f t="shared" si="11"/>
        <v>1</v>
      </c>
      <c r="N30" s="160">
        <f t="shared" si="7"/>
        <v>1</v>
      </c>
      <c r="O30" s="154">
        <f>IF(I30=Year_Open_to_Traffic?,Calculations!$E$50,Calculations!O29+(Calculations!O29*Calculations!$L30*N30))</f>
        <v>22069.090742641507</v>
      </c>
      <c r="P30" s="151">
        <f t="shared" si="0"/>
        <v>0</v>
      </c>
      <c r="Q30" s="154">
        <f>IF(I30=Year_Open_to_Traffic?,$E$51,Calculations!Q29+(Calculations!Q29*Calculations!$L30*R30))</f>
        <v>5888.2348421271008</v>
      </c>
      <c r="R30" s="151">
        <f t="shared" si="1"/>
        <v>0</v>
      </c>
      <c r="S30" s="154">
        <f>IF($I30=Year_Open_to_Traffic?,$E$52,Calculations!S29+(Calculations!S29*Calculations!$L30*T30))</f>
        <v>17008.963508078697</v>
      </c>
      <c r="T30" s="151">
        <f t="shared" si="2"/>
        <v>1</v>
      </c>
      <c r="U30" s="154">
        <f>IF($I30=Year_Open_to_Traffic?,$E$53,Calculations!U29+(Calculations!U29*Calculations!$L30*V30))</f>
        <v>0</v>
      </c>
      <c r="V30" s="151">
        <f t="shared" si="3"/>
        <v>0</v>
      </c>
      <c r="W30" s="154">
        <f t="shared" si="8"/>
        <v>17.008963508078697</v>
      </c>
      <c r="X30" s="155">
        <f>W30/(1+Real_Discount_Rate)^(Calculations!I30-'Assumed Values'!$C$5)</f>
        <v>2.9288668568871841</v>
      </c>
      <c r="Y30"/>
    </row>
    <row r="31" spans="1:25" ht="15.6" x14ac:dyDescent="0.3">
      <c r="A31"/>
      <c r="B31"/>
      <c r="C31"/>
      <c r="D31" s="162" t="s">
        <v>110</v>
      </c>
      <c r="E31" s="179">
        <f>IF('Inputs &amp; Outputs'!$C$29='Inputs &amp; Outputs'!$C$24,Calculations!$E$21-Calculations!$F$21,IF('Inputs &amp; Outputs'!$C$29='Inputs &amp; Outputs'!$C$19,Calculations!$E$11-Calculations!$F$11,VLOOKUP('Inputs &amp; Outputs'!$C$29,'Preventable Crash data'!$B$11:$F$16,2,FALSE)))</f>
        <v>0</v>
      </c>
      <c r="F31" s="163">
        <f>E31*Appropriate_Crash_Reduction_Factor3</f>
        <v>0</v>
      </c>
      <c r="G31" s="172"/>
      <c r="H31" s="149"/>
      <c r="I31" s="156">
        <f t="shared" si="4"/>
        <v>2048</v>
      </c>
      <c r="J31" s="157">
        <f t="shared" si="9"/>
        <v>4382.3906843160657</v>
      </c>
      <c r="K31" s="157">
        <f t="shared" si="10"/>
        <v>2.7076865519407276</v>
      </c>
      <c r="L31" s="158">
        <f t="shared" si="12"/>
        <v>1.1283458146682523E-2</v>
      </c>
      <c r="M31" s="159">
        <f t="shared" si="11"/>
        <v>1</v>
      </c>
      <c r="N31" s="160">
        <f t="shared" si="7"/>
        <v>1</v>
      </c>
      <c r="O31" s="154">
        <f>IF(I31=Year_Open_to_Traffic?,Calculations!$E$50,Calculations!O30+(Calculations!O30*Calculations!$L31*N31))</f>
        <v>22318.10640437144</v>
      </c>
      <c r="P31" s="151">
        <f t="shared" si="0"/>
        <v>0</v>
      </c>
      <c r="Q31" s="154">
        <f>IF(I31=Year_Open_to_Traffic?,$E$51,Calculations!Q30+(Calculations!Q30*Calculations!$L31*R31))</f>
        <v>5888.2348421271008</v>
      </c>
      <c r="R31" s="151">
        <f t="shared" si="1"/>
        <v>0</v>
      </c>
      <c r="S31" s="154">
        <f>IF($I31=Year_Open_to_Traffic?,$E$52,Calculations!S30+(Calculations!S30*Calculations!$L31*T31))</f>
        <v>17200.883435940556</v>
      </c>
      <c r="T31" s="151">
        <f t="shared" si="2"/>
        <v>1</v>
      </c>
      <c r="U31" s="154">
        <f>IF($I31=Year_Open_to_Traffic?,$E$53,Calculations!U30+(Calculations!U30*Calculations!$L31*V31))</f>
        <v>0</v>
      </c>
      <c r="V31" s="151">
        <f t="shared" si="3"/>
        <v>0</v>
      </c>
      <c r="W31" s="154">
        <f t="shared" si="8"/>
        <v>17.200883435940554</v>
      </c>
      <c r="X31" s="155">
        <f>W31/(1+Real_Discount_Rate)^(Calculations!I31-'Assumed Values'!$C$5)</f>
        <v>2.768144489237454</v>
      </c>
      <c r="Y31"/>
    </row>
    <row r="32" spans="1:25" ht="15.6" x14ac:dyDescent="0.3">
      <c r="A32"/>
      <c r="B32"/>
      <c r="C32"/>
      <c r="D32" s="162" t="s">
        <v>111</v>
      </c>
      <c r="E32" s="179">
        <f>IF('Inputs &amp; Outputs'!$C$29='Inputs &amp; Outputs'!$C$24,Calculations!$E$22-Calculations!$F$22,IF('Inputs &amp; Outputs'!$C$29='Inputs &amp; Outputs'!$C$19,Calculations!$E$12-Calculations!$F$12,VLOOKUP('Inputs &amp; Outputs'!$C$29,'Preventable Crash data'!$B$11:$F$16,3,FALSE)))</f>
        <v>0</v>
      </c>
      <c r="F32" s="163">
        <f>E32*Appropriate_Crash_Reduction_Factor3</f>
        <v>0</v>
      </c>
      <c r="G32" s="172"/>
      <c r="H32" s="149"/>
      <c r="I32" s="156">
        <f t="shared" si="4"/>
        <v>2049</v>
      </c>
      <c r="J32" s="157">
        <f t="shared" si="9"/>
        <v>4431.8392061849572</v>
      </c>
      <c r="K32" s="157">
        <f t="shared" si="10"/>
        <v>2.7382386198238859</v>
      </c>
      <c r="L32" s="158">
        <f t="shared" si="12"/>
        <v>1.1283458146682523E-2</v>
      </c>
      <c r="M32" s="159">
        <f t="shared" si="11"/>
        <v>1</v>
      </c>
      <c r="N32" s="160">
        <f t="shared" si="7"/>
        <v>1</v>
      </c>
      <c r="O32" s="154">
        <f>IF(I32=Year_Open_to_Traffic?,Calculations!$E$50,Calculations!O31+(Calculations!O31*Calculations!$L32*N32))</f>
        <v>22569.931823898372</v>
      </c>
      <c r="P32" s="151">
        <f t="shared" si="0"/>
        <v>0</v>
      </c>
      <c r="Q32" s="154">
        <f>IF(I32=Year_Open_to_Traffic?,$E$51,Calculations!Q31+(Calculations!Q31*Calculations!$L32*R32))</f>
        <v>5888.2348421271008</v>
      </c>
      <c r="R32" s="151">
        <f t="shared" si="1"/>
        <v>0</v>
      </c>
      <c r="S32" s="154">
        <f>IF($I32=Year_Open_to_Traffic?,$E$52,Calculations!S31+(Calculations!S31*Calculations!$L32*T32))</f>
        <v>17200.883435940556</v>
      </c>
      <c r="T32" s="151">
        <f t="shared" si="2"/>
        <v>0</v>
      </c>
      <c r="U32" s="154">
        <f>IF($I32=Year_Open_to_Traffic?,$E$53,Calculations!U31+(Calculations!U31*Calculations!$L32*V32))</f>
        <v>0</v>
      </c>
      <c r="V32" s="151">
        <f t="shared" si="3"/>
        <v>0</v>
      </c>
      <c r="W32" s="154">
        <f t="shared" si="8"/>
        <v>0</v>
      </c>
      <c r="X32" s="155">
        <f>W32/(1+Real_Discount_Rate)^(Calculations!I32-'Assumed Values'!$C$5)</f>
        <v>0</v>
      </c>
      <c r="Y32"/>
    </row>
    <row r="33" spans="1:25" ht="30" customHeight="1" x14ac:dyDescent="0.3">
      <c r="A33"/>
      <c r="B33"/>
      <c r="C33"/>
      <c r="D33" s="162" t="s">
        <v>112</v>
      </c>
      <c r="E33" s="179">
        <f>IF('Inputs &amp; Outputs'!$C$29='Inputs &amp; Outputs'!$C$24,Calculations!$E$23-Calculations!$F$23,IF('Inputs &amp; Outputs'!$C$29='Inputs &amp; Outputs'!$C$19,Calculations!$E$13-Calculations!$F$13,VLOOKUP('Inputs &amp; Outputs'!$C$29,'Preventable Crash data'!$B$11:$F$16,4,FALSE)))</f>
        <v>0</v>
      </c>
      <c r="F33" s="163">
        <f>E33*Appropriate_Crash_Reduction_Factor3</f>
        <v>0</v>
      </c>
      <c r="G33" s="172"/>
      <c r="H33" s="149"/>
      <c r="I33" s="156">
        <f t="shared" si="4"/>
        <v>2050</v>
      </c>
      <c r="J33" s="157">
        <f t="shared" si="9"/>
        <v>4481.8456783807715</v>
      </c>
      <c r="K33" s="157">
        <f t="shared" si="10"/>
        <v>2.7691354206862986</v>
      </c>
      <c r="L33" s="158">
        <f t="shared" si="12"/>
        <v>1.1283458146682523E-2</v>
      </c>
      <c r="M33" s="159">
        <f t="shared" si="11"/>
        <v>1</v>
      </c>
      <c r="N33" s="160">
        <f t="shared" si="7"/>
        <v>1</v>
      </c>
      <c r="O33" s="154">
        <f>IF(I33=Year_Open_to_Traffic?,Calculations!$E$50,Calculations!O32+(Calculations!O32*Calculations!$L33*N33))</f>
        <v>22824.598705006807</v>
      </c>
      <c r="P33" s="151">
        <f t="shared" si="0"/>
        <v>0</v>
      </c>
      <c r="Q33" s="154">
        <f>IF(I33=Year_Open_to_Traffic?,$E$51,Calculations!Q32+(Calculations!Q32*Calculations!$L33*R33))</f>
        <v>5888.2348421271008</v>
      </c>
      <c r="R33" s="151">
        <f t="shared" si="1"/>
        <v>0</v>
      </c>
      <c r="S33" s="154">
        <f>IF($I33=Year_Open_to_Traffic?,$E$52,Calculations!S32+(Calculations!S32*Calculations!$L33*T33))</f>
        <v>17200.883435940556</v>
      </c>
      <c r="T33" s="151">
        <f t="shared" si="2"/>
        <v>0</v>
      </c>
      <c r="U33" s="154">
        <f>IF($I33=Year_Open_to_Traffic?,$E$53,Calculations!U32+(Calculations!U32*Calculations!$L33*V33))</f>
        <v>0</v>
      </c>
      <c r="V33" s="151">
        <f t="shared" si="3"/>
        <v>0</v>
      </c>
      <c r="W33" s="154">
        <f t="shared" si="8"/>
        <v>0</v>
      </c>
      <c r="X33" s="155">
        <f>W33/(1+Real_Discount_Rate)^(Calculations!I33-'Assumed Values'!$C$5)</f>
        <v>0</v>
      </c>
      <c r="Y33"/>
    </row>
    <row r="34" spans="1:25" ht="15.6" x14ac:dyDescent="0.3">
      <c r="A34" s="73"/>
      <c r="B34" s="73"/>
      <c r="C34" s="73"/>
      <c r="D34" s="162" t="s">
        <v>113</v>
      </c>
      <c r="E34" s="179">
        <f>IF('Inputs &amp; Outputs'!$C$29='Inputs &amp; Outputs'!$C$24,Calculations!$E$24-Calculations!$F$24,IF('Inputs &amp; Outputs'!$C$29='Inputs &amp; Outputs'!$C$19,Calculations!$E$14-Calculations!$F$14,VLOOKUP('Inputs &amp; Outputs'!$C$29,'Preventable Crash data'!$B$11:$F$16,5,FALSE)))</f>
        <v>0.35410000000000008</v>
      </c>
      <c r="F34" s="163">
        <f>E34*Appropriate_Crash_Reduction_Factor3</f>
        <v>0.17705000000000004</v>
      </c>
      <c r="G34" s="73"/>
      <c r="H34" s="149"/>
      <c r="I34" s="156">
        <f t="shared" si="4"/>
        <v>2051</v>
      </c>
      <c r="J34" s="157">
        <f t="shared" si="9"/>
        <v>4532.4163965126709</v>
      </c>
      <c r="K34" s="157">
        <f t="shared" si="10"/>
        <v>2.8003808443081084</v>
      </c>
      <c r="L34" s="158">
        <f t="shared" ref="L34:L36" si="13">_2030_2045_Demand_Growth</f>
        <v>1.1283458146682523E-2</v>
      </c>
      <c r="M34" s="159">
        <f t="shared" si="11"/>
        <v>1</v>
      </c>
      <c r="N34" s="160">
        <f t="shared" si="7"/>
        <v>1</v>
      </c>
      <c r="O34" s="154">
        <f>IF(I34=Year_Open_to_Traffic?,Calculations!$E$50,Calculations!O33+(Calculations!O33*Calculations!$L34*N34))</f>
        <v>23082.139109209576</v>
      </c>
      <c r="P34" s="151">
        <f t="shared" si="0"/>
        <v>0</v>
      </c>
      <c r="Q34" s="154">
        <f>IF(I34=Year_Open_to_Traffic?,$E$51,Calculations!Q33+(Calculations!Q33*Calculations!$L34*R34))</f>
        <v>5888.2348421271008</v>
      </c>
      <c r="R34" s="151">
        <f t="shared" si="1"/>
        <v>0</v>
      </c>
      <c r="S34" s="154">
        <f>IF($I34=Year_Open_to_Traffic?,$E$52,Calculations!S33+(Calculations!S33*Calculations!$L34*T34))</f>
        <v>17200.883435940556</v>
      </c>
      <c r="T34" s="151">
        <f t="shared" si="2"/>
        <v>0</v>
      </c>
      <c r="U34" s="154">
        <f>IF($I34=Year_Open_to_Traffic?,$E$53,Calculations!U33+(Calculations!U33*Calculations!$L34*V34))</f>
        <v>0</v>
      </c>
      <c r="V34" s="151">
        <f t="shared" si="3"/>
        <v>0</v>
      </c>
      <c r="W34" s="154">
        <f t="shared" si="8"/>
        <v>0</v>
      </c>
      <c r="X34" s="155">
        <f>W34/(1+Real_Discount_Rate)^(Calculations!I34-'Assumed Values'!$C$5)</f>
        <v>0</v>
      </c>
      <c r="Y34"/>
    </row>
    <row r="35" spans="1:25" ht="15.6" x14ac:dyDescent="0.3">
      <c r="A35" s="73"/>
      <c r="B35" s="73"/>
      <c r="C35" s="73"/>
      <c r="D35" s="73"/>
      <c r="E35" s="73"/>
      <c r="F35" s="73"/>
      <c r="G35" s="73"/>
      <c r="H35" s="149"/>
      <c r="I35" s="156">
        <f t="shared" si="4"/>
        <v>2052</v>
      </c>
      <c r="J35" s="157">
        <f t="shared" si="9"/>
        <v>4583.5577272260589</v>
      </c>
      <c r="K35" s="157">
        <f t="shared" si="10"/>
        <v>2.8319788243596302</v>
      </c>
      <c r="L35" s="158">
        <f t="shared" si="13"/>
        <v>1.1283458146682523E-2</v>
      </c>
      <c r="M35" s="159">
        <f t="shared" si="11"/>
        <v>1</v>
      </c>
      <c r="N35" s="160">
        <f t="shared" si="7"/>
        <v>1</v>
      </c>
      <c r="O35" s="154">
        <f>IF(I35=Year_Open_to_Traffic?,Calculations!$E$50,Calculations!O34+(Calculations!O34*Calculations!$L35*N35))</f>
        <v>23342.585459784248</v>
      </c>
      <c r="P35" s="151">
        <f t="shared" si="0"/>
        <v>0</v>
      </c>
      <c r="Q35" s="154">
        <f>IF(I35=Year_Open_to_Traffic?,$E$51,Calculations!Q34+(Calculations!Q34*Calculations!$L35*R35))</f>
        <v>5888.2348421271008</v>
      </c>
      <c r="R35" s="151">
        <f t="shared" si="1"/>
        <v>0</v>
      </c>
      <c r="S35" s="154">
        <f>IF($I35=Year_Open_to_Traffic?,$E$52,Calculations!S34+(Calculations!S34*Calculations!$L35*T35))</f>
        <v>17200.883435940556</v>
      </c>
      <c r="T35" s="151">
        <f t="shared" si="2"/>
        <v>0</v>
      </c>
      <c r="U35" s="154">
        <f>IF($I35=Year_Open_to_Traffic?,$E$53,Calculations!U34+(Calculations!U34*Calculations!$L35*V35))</f>
        <v>0</v>
      </c>
      <c r="V35" s="151">
        <f t="shared" si="3"/>
        <v>0</v>
      </c>
      <c r="W35" s="154">
        <f t="shared" si="8"/>
        <v>0</v>
      </c>
      <c r="X35" s="155">
        <f>W35/(1+Real_Discount_Rate)^(Calculations!I35-'Assumed Values'!$C$5)</f>
        <v>0</v>
      </c>
      <c r="Y35"/>
    </row>
    <row r="36" spans="1:25" ht="15.6" x14ac:dyDescent="0.3">
      <c r="A36" s="73"/>
      <c r="B36" s="73"/>
      <c r="C36" s="73"/>
      <c r="D36" s="73"/>
      <c r="E36" s="73"/>
      <c r="F36" s="180"/>
      <c r="G36" s="73"/>
      <c r="H36" s="149"/>
      <c r="I36" s="156">
        <f t="shared" si="4"/>
        <v>2053</v>
      </c>
      <c r="J36" s="157">
        <f t="shared" si="9"/>
        <v>4635.2761090041176</v>
      </c>
      <c r="K36" s="157">
        <f t="shared" si="10"/>
        <v>2.8639333388965831</v>
      </c>
      <c r="L36" s="158">
        <f t="shared" si="13"/>
        <v>1.1283458146682523E-2</v>
      </c>
      <c r="M36" s="159">
        <f t="shared" si="11"/>
        <v>1</v>
      </c>
      <c r="N36" s="160">
        <f t="shared" si="7"/>
        <v>1</v>
      </c>
      <c r="O36" s="154">
        <f>IF(I36=Year_Open_to_Traffic?,Calculations!$E$50,Calculations!O35+(Calculations!O35*Calculations!$L36*N36))</f>
        <v>23605.970545855085</v>
      </c>
      <c r="P36" s="151">
        <f t="shared" si="0"/>
        <v>0</v>
      </c>
      <c r="Q36" s="154">
        <f>IF(I36=Year_Open_to_Traffic?,$E$51,Calculations!Q35+(Calculations!Q35*Calculations!$L36*R36))</f>
        <v>5888.2348421271008</v>
      </c>
      <c r="R36" s="151">
        <f t="shared" si="1"/>
        <v>0</v>
      </c>
      <c r="S36" s="154">
        <f>IF($I36=Year_Open_to_Traffic?,$E$52,Calculations!S35+(Calculations!S35*Calculations!$L36*T36))</f>
        <v>17200.883435940556</v>
      </c>
      <c r="T36" s="151">
        <f t="shared" si="2"/>
        <v>0</v>
      </c>
      <c r="U36" s="154">
        <f>IF($I36=Year_Open_to_Traffic?,$E$53,Calculations!U35+(Calculations!U35*Calculations!$L36*V36))</f>
        <v>0</v>
      </c>
      <c r="V36" s="151">
        <f t="shared" si="3"/>
        <v>0</v>
      </c>
      <c r="W36" s="154">
        <f t="shared" si="8"/>
        <v>0</v>
      </c>
      <c r="X36" s="155">
        <f>W36/(1+Real_Discount_Rate)^(Calculations!I36-'Assumed Values'!$C$5)</f>
        <v>0</v>
      </c>
      <c r="Y36"/>
    </row>
    <row r="37" spans="1:25" x14ac:dyDescent="0.3">
      <c r="A37" s="73"/>
      <c r="B37" s="73"/>
      <c r="C37" s="73"/>
      <c r="D37" s="73"/>
      <c r="E37" s="73"/>
      <c r="F37" s="180"/>
      <c r="G37" s="73"/>
      <c r="H37" s="73"/>
      <c r="I37" s="45"/>
      <c r="J37" s="45"/>
      <c r="K37" s="45"/>
      <c r="L37" s="181"/>
      <c r="M37" s="182"/>
      <c r="N37" s="45"/>
      <c r="O37" s="183"/>
      <c r="P37" s="45"/>
      <c r="Q37" s="45"/>
      <c r="R37" s="45"/>
      <c r="S37" s="45"/>
      <c r="T37" s="45"/>
      <c r="U37" s="45"/>
      <c r="V37" s="45"/>
      <c r="W37" s="183"/>
      <c r="X37" s="155">
        <f>SUM(X4:X36)</f>
        <v>158.95910140357699</v>
      </c>
      <c r="Y37"/>
    </row>
    <row r="38" spans="1:25" x14ac:dyDescent="0.3">
      <c r="A38"/>
      <c r="B38"/>
      <c r="C38"/>
      <c r="D38" s="222"/>
      <c r="E38" s="218" t="s">
        <v>178</v>
      </c>
      <c r="F38" s="218" t="s">
        <v>179</v>
      </c>
      <c r="G38"/>
      <c r="H38"/>
      <c r="I38"/>
      <c r="J38"/>
      <c r="K38"/>
      <c r="L38" s="184"/>
      <c r="M38" s="185"/>
      <c r="N38"/>
      <c r="O38"/>
      <c r="P38"/>
      <c r="Q38"/>
      <c r="R38"/>
      <c r="S38"/>
      <c r="T38"/>
      <c r="U38"/>
      <c r="V38"/>
      <c r="W38"/>
      <c r="X38"/>
      <c r="Y38"/>
    </row>
    <row r="39" spans="1:25" x14ac:dyDescent="0.3">
      <c r="A39"/>
      <c r="B39"/>
      <c r="C39"/>
      <c r="D39" s="222"/>
      <c r="E39" s="218"/>
      <c r="F39" s="218"/>
      <c r="G39"/>
      <c r="H39"/>
      <c r="I39"/>
      <c r="J39"/>
      <c r="K39"/>
      <c r="L39" s="184"/>
      <c r="M39" s="185"/>
      <c r="N39"/>
      <c r="O39"/>
      <c r="P39"/>
      <c r="Q39"/>
      <c r="R39"/>
      <c r="S39"/>
      <c r="T39"/>
      <c r="U39"/>
      <c r="V39"/>
      <c r="W39"/>
      <c r="X39"/>
      <c r="Y39"/>
    </row>
    <row r="40" spans="1:25" x14ac:dyDescent="0.3">
      <c r="A40"/>
      <c r="B40"/>
      <c r="C40"/>
      <c r="D40" s="222"/>
      <c r="E40" s="218"/>
      <c r="F40" s="218"/>
      <c r="G40"/>
      <c r="H40"/>
      <c r="I40"/>
      <c r="J40"/>
      <c r="K40"/>
      <c r="L40" s="184"/>
      <c r="M40" s="185"/>
      <c r="N40"/>
      <c r="O40"/>
      <c r="P40"/>
      <c r="Q40"/>
      <c r="R40"/>
      <c r="S40"/>
      <c r="T40"/>
      <c r="U40"/>
      <c r="V40"/>
      <c r="W40"/>
      <c r="X40"/>
      <c r="Y40"/>
    </row>
    <row r="41" spans="1:25" x14ac:dyDescent="0.3">
      <c r="D41" s="77" t="s">
        <v>129</v>
      </c>
      <c r="E41" s="80">
        <f>VLOOKUP('Inputs &amp; Outputs'!C34,'Preventable Crash data'!B33:F35,2,FALSE)</f>
        <v>0</v>
      </c>
      <c r="F41" s="78">
        <f>E41*'Inputs &amp; Outputs'!$C$35</f>
        <v>0</v>
      </c>
    </row>
    <row r="42" spans="1:25" x14ac:dyDescent="0.3">
      <c r="D42" s="77" t="s">
        <v>130</v>
      </c>
      <c r="E42" s="80">
        <f>VLOOKUP('Inputs &amp; Outputs'!C34,'Preventable Crash data'!B33:F35,3,FALSE)</f>
        <v>0</v>
      </c>
      <c r="F42" s="78">
        <f>E42*'Inputs &amp; Outputs'!$C$35</f>
        <v>0</v>
      </c>
    </row>
    <row r="43" spans="1:25" ht="28.8" x14ac:dyDescent="0.3">
      <c r="D43" s="77" t="s">
        <v>132</v>
      </c>
      <c r="E43" s="80">
        <f>VLOOKUP('Inputs &amp; Outputs'!C34,'Preventable Crash data'!B33:F35,4,FALSE)</f>
        <v>0</v>
      </c>
      <c r="F43" s="78">
        <f>E43*'Inputs &amp; Outputs'!$C$35</f>
        <v>0</v>
      </c>
    </row>
    <row r="44" spans="1:25" x14ac:dyDescent="0.3">
      <c r="D44" s="77" t="s">
        <v>133</v>
      </c>
      <c r="E44" s="80">
        <f>VLOOKUP('Inputs &amp; Outputs'!C34,'Preventable Crash data'!B33:F35,5,FALSE)</f>
        <v>0</v>
      </c>
      <c r="F44" s="78">
        <f>E44*'Inputs &amp; Outputs'!$C$35</f>
        <v>0</v>
      </c>
    </row>
    <row r="49" spans="1:6" x14ac:dyDescent="0.3">
      <c r="A49" s="224" t="s">
        <v>180</v>
      </c>
      <c r="B49" s="224"/>
      <c r="C49" s="224"/>
      <c r="D49" s="224"/>
      <c r="E49" s="224"/>
    </row>
    <row r="50" spans="1:6" ht="15" customHeight="1" x14ac:dyDescent="0.3">
      <c r="A50" s="217" t="s">
        <v>181</v>
      </c>
      <c r="B50" s="217"/>
      <c r="C50" s="217"/>
      <c r="D50" s="217"/>
      <c r="E50" s="83">
        <f>(($F$11*$B$22)+($F$12*$B$23)+($F$13*$B$24)+($F$14*$B$25))</f>
        <v>18033.174235403152</v>
      </c>
      <c r="F50" s="84"/>
    </row>
    <row r="51" spans="1:6" x14ac:dyDescent="0.3">
      <c r="A51" s="217" t="s">
        <v>182</v>
      </c>
      <c r="B51" s="217"/>
      <c r="C51" s="217"/>
      <c r="D51" s="217"/>
      <c r="E51" s="85">
        <f>(($F$21*$B$22)+($F$22*$B$23)+($F$23*$B$24)+($F$24*$B$25))</f>
        <v>5693.3307228915683</v>
      </c>
    </row>
    <row r="52" spans="1:6" x14ac:dyDescent="0.3">
      <c r="A52" s="217" t="s">
        <v>183</v>
      </c>
      <c r="B52" s="217"/>
      <c r="C52" s="217"/>
      <c r="D52" s="217"/>
      <c r="E52" s="85">
        <f>(($F$31*$B$22)+($F$32*$B$23)+($F$33*$B$24)+($F$34*$B$25))</f>
        <v>13898.425000000003</v>
      </c>
    </row>
    <row r="53" spans="1:6" x14ac:dyDescent="0.3">
      <c r="A53" s="217" t="s">
        <v>184</v>
      </c>
      <c r="B53" s="217"/>
      <c r="C53" s="217"/>
      <c r="D53" s="217"/>
      <c r="E53" s="85">
        <f>($F$41*$B$22)+($F$42*$B$23)+($F$43*$B$24)+($F$44*$B$25)</f>
        <v>0</v>
      </c>
    </row>
    <row r="54" spans="1:6" x14ac:dyDescent="0.3">
      <c r="A54" s="217" t="s">
        <v>185</v>
      </c>
      <c r="B54" s="217"/>
      <c r="C54" s="217"/>
      <c r="D54" s="217"/>
      <c r="E54" s="85">
        <f>SUM(E50:E53)</f>
        <v>37624.929958294728</v>
      </c>
    </row>
  </sheetData>
  <mergeCells count="35">
    <mergeCell ref="A53:D53"/>
    <mergeCell ref="U2:U3"/>
    <mergeCell ref="V2:V3"/>
    <mergeCell ref="A51:D51"/>
    <mergeCell ref="A52:D52"/>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I1:X1"/>
    <mergeCell ref="I2:I3"/>
    <mergeCell ref="J2:J3"/>
    <mergeCell ref="L2:L3"/>
    <mergeCell ref="N2:N3"/>
    <mergeCell ref="O2:O3"/>
    <mergeCell ref="P2:P3"/>
    <mergeCell ref="W2:W3"/>
    <mergeCell ref="X2:X3"/>
    <mergeCell ref="Q2:Q3"/>
    <mergeCell ref="R2:R3"/>
    <mergeCell ref="S2:S3"/>
    <mergeCell ref="K2:K3"/>
    <mergeCell ref="T2:T3"/>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Normal="100" workbookViewId="0">
      <selection activeCell="D11" sqref="D11"/>
    </sheetView>
  </sheetViews>
  <sheetFormatPr defaultRowHeight="14.4" x14ac:dyDescent="0.3"/>
  <cols>
    <col min="1" max="1" width="3.44140625" customWidth="1"/>
    <col min="2" max="2" width="62.44140625" bestFit="1" customWidth="1"/>
    <col min="3" max="3" width="22.6640625" bestFit="1" customWidth="1"/>
    <col min="4" max="4" width="20" bestFit="1" customWidth="1"/>
    <col min="6" max="6" width="16.88671875" customWidth="1"/>
    <col min="7" max="7" width="17.6640625" customWidth="1"/>
  </cols>
  <sheetData>
    <row r="2" spans="2:7" x14ac:dyDescent="0.3">
      <c r="B2" s="1" t="s">
        <v>186</v>
      </c>
    </row>
    <row r="4" spans="2:7" x14ac:dyDescent="0.3">
      <c r="B4" s="1" t="s">
        <v>187</v>
      </c>
      <c r="F4" s="59" t="s">
        <v>188</v>
      </c>
      <c r="G4" s="59" t="s">
        <v>189</v>
      </c>
    </row>
    <row r="5" spans="2:7" x14ac:dyDescent="0.3">
      <c r="B5" s="24" t="s">
        <v>190</v>
      </c>
      <c r="C5" s="24">
        <v>2021</v>
      </c>
      <c r="F5" s="67" t="s">
        <v>191</v>
      </c>
      <c r="G5" s="67" t="s">
        <v>192</v>
      </c>
    </row>
    <row r="6" spans="2:7" x14ac:dyDescent="0.3">
      <c r="B6" s="24" t="s">
        <v>193</v>
      </c>
      <c r="C6" s="39">
        <v>7.0000000000000007E-2</v>
      </c>
      <c r="F6" s="67" t="s">
        <v>194</v>
      </c>
      <c r="G6" s="67" t="s">
        <v>55</v>
      </c>
    </row>
    <row r="7" spans="2:7" x14ac:dyDescent="0.3">
      <c r="B7" s="22"/>
      <c r="C7" s="47"/>
      <c r="F7" s="67" t="s">
        <v>195</v>
      </c>
    </row>
    <row r="8" spans="2:7" x14ac:dyDescent="0.3">
      <c r="B8" s="22"/>
      <c r="C8" s="48"/>
      <c r="F8" s="67" t="s">
        <v>196</v>
      </c>
    </row>
    <row r="9" spans="2:7" x14ac:dyDescent="0.3">
      <c r="C9" s="23"/>
      <c r="F9" s="67" t="s">
        <v>52</v>
      </c>
    </row>
    <row r="10" spans="2:7" x14ac:dyDescent="0.3">
      <c r="B10" s="1" t="s">
        <v>197</v>
      </c>
      <c r="C10" s="23"/>
      <c r="F10" s="67" t="s">
        <v>198</v>
      </c>
    </row>
    <row r="11" spans="2:7" x14ac:dyDescent="0.3">
      <c r="B11" s="24" t="s">
        <v>199</v>
      </c>
      <c r="C11" s="57">
        <v>11800000</v>
      </c>
      <c r="F11" s="67" t="s">
        <v>200</v>
      </c>
    </row>
    <row r="12" spans="2:7" x14ac:dyDescent="0.3">
      <c r="B12" s="225" t="s">
        <v>201</v>
      </c>
      <c r="C12" s="226"/>
      <c r="F12" s="67" t="s">
        <v>202</v>
      </c>
    </row>
    <row r="14" spans="2:7" hidden="1" x14ac:dyDescent="0.3">
      <c r="B14" s="1" t="s">
        <v>203</v>
      </c>
      <c r="C14" s="23"/>
    </row>
    <row r="15" spans="2:7" hidden="1" x14ac:dyDescent="0.3">
      <c r="B15" s="24" t="s">
        <v>204</v>
      </c>
      <c r="C15" s="26" t="e">
        <f>#REF!</f>
        <v>#REF!</v>
      </c>
    </row>
    <row r="16" spans="2:7" hidden="1" x14ac:dyDescent="0.3">
      <c r="B16" s="67" t="s">
        <v>205</v>
      </c>
      <c r="C16" s="40">
        <v>1.2E-2</v>
      </c>
    </row>
    <row r="17" spans="2:3" hidden="1" x14ac:dyDescent="0.3"/>
    <row r="18" spans="2:3" hidden="1" x14ac:dyDescent="0.3">
      <c r="B18" s="1" t="s">
        <v>206</v>
      </c>
    </row>
    <row r="19" spans="2:3" hidden="1" x14ac:dyDescent="0.3">
      <c r="B19" s="24" t="s">
        <v>207</v>
      </c>
      <c r="C19" s="42" t="e">
        <f>#REF!</f>
        <v>#REF!</v>
      </c>
    </row>
    <row r="20" spans="2:3" hidden="1" x14ac:dyDescent="0.3">
      <c r="B20" s="24" t="s">
        <v>208</v>
      </c>
      <c r="C20" s="42" t="e">
        <f>#REF!</f>
        <v>#REF!</v>
      </c>
    </row>
    <row r="21" spans="2:3" hidden="1" x14ac:dyDescent="0.3">
      <c r="B21" s="24" t="s">
        <v>209</v>
      </c>
      <c r="C21" s="25">
        <f>(0.267383+0.37942)/2</f>
        <v>0.32340150000000001</v>
      </c>
    </row>
    <row r="22" spans="2:3" hidden="1" x14ac:dyDescent="0.3">
      <c r="B22" s="24" t="s">
        <v>210</v>
      </c>
      <c r="C22" s="25">
        <f>(0.183428+0.198698)/2</f>
        <v>0.19106300000000001</v>
      </c>
    </row>
    <row r="23" spans="2:3" ht="72" hidden="1" x14ac:dyDescent="0.3">
      <c r="B23" s="24" t="s">
        <v>211</v>
      </c>
      <c r="C23" s="41" t="s">
        <v>212</v>
      </c>
    </row>
    <row r="24" spans="2:3" hidden="1" x14ac:dyDescent="0.3"/>
    <row r="25" spans="2:3" hidden="1" x14ac:dyDescent="0.3"/>
    <row r="26" spans="2:3" hidden="1" x14ac:dyDescent="0.3"/>
    <row r="27" spans="2:3" hidden="1" x14ac:dyDescent="0.3"/>
    <row r="28" spans="2:3" hidden="1" x14ac:dyDescent="0.3"/>
    <row r="29" spans="2:3" hidden="1" x14ac:dyDescent="0.3"/>
    <row r="30" spans="2:3" hidden="1" x14ac:dyDescent="0.3"/>
    <row r="31" spans="2:3" hidden="1" x14ac:dyDescent="0.3"/>
    <row r="49" spans="4:4" x14ac:dyDescent="0.3">
      <c r="D49" s="49"/>
    </row>
  </sheetData>
  <sheetProtection algorithmName="SHA-512" hashValue="xzihztn7MRVPzHEV49YO8SjK7KLvHrxWNZWV2J8/eUVUO/d0/3ZaWWfwiZzc+I/f3mA5EcEaWSY3zaRmAyQcxQ==" saltValue="cbX8K0XPdZIpQm8P5e/FX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U39"/>
  <sheetViews>
    <sheetView zoomScale="115" zoomScaleNormal="115" workbookViewId="0">
      <selection activeCell="E9" sqref="E9"/>
    </sheetView>
  </sheetViews>
  <sheetFormatPr defaultRowHeight="14.4" x14ac:dyDescent="0.3"/>
  <cols>
    <col min="2" max="2" width="14" customWidth="1"/>
    <col min="3" max="3" width="25" customWidth="1"/>
    <col min="4" max="5" width="23.44140625" bestFit="1" customWidth="1"/>
    <col min="6" max="6" width="18.6640625" bestFit="1" customWidth="1"/>
    <col min="7" max="7" width="14.109375" bestFit="1" customWidth="1"/>
    <col min="8" max="8" width="13.88671875" customWidth="1"/>
    <col min="9" max="9" width="14.88671875" bestFit="1" customWidth="1"/>
    <col min="10" max="10" width="11" bestFit="1" customWidth="1"/>
    <col min="14" max="14" width="14.5546875" bestFit="1" customWidth="1"/>
  </cols>
  <sheetData>
    <row r="2" spans="2:10" x14ac:dyDescent="0.3">
      <c r="B2" s="2" t="s">
        <v>213</v>
      </c>
    </row>
    <row r="4" spans="2:10" x14ac:dyDescent="0.3">
      <c r="B4" s="228" t="s">
        <v>169</v>
      </c>
      <c r="C4" s="229"/>
      <c r="D4" s="56" t="s">
        <v>214</v>
      </c>
      <c r="E4" s="56" t="s">
        <v>215</v>
      </c>
      <c r="F4" s="1"/>
    </row>
    <row r="5" spans="2:10" x14ac:dyDescent="0.3">
      <c r="B5" s="51">
        <v>0</v>
      </c>
      <c r="C5" s="45" t="s">
        <v>216</v>
      </c>
      <c r="D5" s="57">
        <v>3700</v>
      </c>
      <c r="E5" s="57">
        <v>4000</v>
      </c>
      <c r="F5" s="44"/>
      <c r="H5" s="43"/>
    </row>
    <row r="6" spans="2:10" x14ac:dyDescent="0.3">
      <c r="B6" s="51" t="s">
        <v>217</v>
      </c>
      <c r="C6" s="45" t="s">
        <v>218</v>
      </c>
      <c r="D6" s="57">
        <v>72500</v>
      </c>
      <c r="E6" s="57">
        <v>78500</v>
      </c>
      <c r="F6" s="44"/>
      <c r="H6" s="43"/>
    </row>
    <row r="7" spans="2:10" ht="31.5" customHeight="1" x14ac:dyDescent="0.3">
      <c r="B7" s="51" t="s">
        <v>219</v>
      </c>
      <c r="C7" s="46" t="s">
        <v>220</v>
      </c>
      <c r="D7" s="57">
        <v>142000</v>
      </c>
      <c r="E7" s="57">
        <v>153700</v>
      </c>
      <c r="F7" s="44"/>
      <c r="H7" s="43"/>
    </row>
    <row r="8" spans="2:10" x14ac:dyDescent="0.3">
      <c r="B8" s="51" t="s">
        <v>221</v>
      </c>
      <c r="C8" s="45" t="s">
        <v>222</v>
      </c>
      <c r="D8" s="57">
        <v>521300</v>
      </c>
      <c r="E8" s="57">
        <v>564300</v>
      </c>
      <c r="F8" s="44"/>
      <c r="H8" s="43"/>
    </row>
    <row r="9" spans="2:10" x14ac:dyDescent="0.3">
      <c r="B9" s="51" t="s">
        <v>223</v>
      </c>
      <c r="C9" s="45" t="s">
        <v>224</v>
      </c>
      <c r="D9" s="57">
        <v>10900000</v>
      </c>
      <c r="E9" s="57">
        <v>11800000</v>
      </c>
      <c r="F9" s="44"/>
      <c r="H9" s="43"/>
    </row>
    <row r="11" spans="2:10" x14ac:dyDescent="0.3">
      <c r="B11" s="230" t="s">
        <v>225</v>
      </c>
      <c r="C11" s="231"/>
    </row>
    <row r="12" spans="2:10" x14ac:dyDescent="0.3">
      <c r="B12" s="2"/>
    </row>
    <row r="14" spans="2:10" x14ac:dyDescent="0.3">
      <c r="B14" s="1"/>
      <c r="E14" s="1"/>
      <c r="F14" s="1"/>
      <c r="G14" s="1"/>
      <c r="H14" s="1"/>
      <c r="I14" s="1"/>
    </row>
    <row r="15" spans="2:10" x14ac:dyDescent="0.3">
      <c r="B15" s="1"/>
      <c r="E15" s="53"/>
      <c r="F15" s="53"/>
      <c r="G15" s="53"/>
      <c r="H15" s="53"/>
      <c r="I15" s="53"/>
      <c r="J15" s="54"/>
    </row>
    <row r="16" spans="2:10" x14ac:dyDescent="0.3">
      <c r="B16" s="1"/>
      <c r="E16" s="53"/>
      <c r="F16" s="53"/>
      <c r="G16" s="53"/>
      <c r="H16" s="53"/>
      <c r="I16" s="53"/>
    </row>
    <row r="17" spans="2:9" x14ac:dyDescent="0.3">
      <c r="B17" s="1"/>
      <c r="E17" s="53"/>
      <c r="F17" s="53"/>
      <c r="G17" s="53"/>
      <c r="H17" s="53"/>
      <c r="I17" s="53"/>
    </row>
    <row r="18" spans="2:9" x14ac:dyDescent="0.3">
      <c r="B18" s="1"/>
      <c r="E18" s="53"/>
      <c r="F18" s="53"/>
      <c r="G18" s="53"/>
      <c r="H18" s="53"/>
      <c r="I18" s="53"/>
    </row>
    <row r="19" spans="2:9" x14ac:dyDescent="0.3">
      <c r="B19" s="1"/>
      <c r="E19" s="53"/>
      <c r="F19" s="53"/>
      <c r="G19" s="53"/>
      <c r="H19" s="53"/>
      <c r="I19" s="53"/>
    </row>
    <row r="20" spans="2:9" x14ac:dyDescent="0.3">
      <c r="B20" s="1"/>
      <c r="E20" s="53"/>
      <c r="F20" s="53"/>
      <c r="G20" s="53"/>
      <c r="H20" s="53"/>
      <c r="I20" s="53"/>
    </row>
    <row r="21" spans="2:9" x14ac:dyDescent="0.3">
      <c r="B21" s="1"/>
      <c r="E21" s="53"/>
      <c r="F21" s="53"/>
      <c r="G21" s="53"/>
      <c r="H21" s="53"/>
      <c r="I21" s="53"/>
    </row>
    <row r="22" spans="2:9" x14ac:dyDescent="0.3">
      <c r="B22" s="227"/>
      <c r="C22" s="227"/>
      <c r="D22" s="193"/>
      <c r="E22" s="55"/>
      <c r="F22" s="55"/>
      <c r="G22" s="55"/>
      <c r="H22" s="55"/>
      <c r="I22" s="55"/>
    </row>
    <row r="35" spans="14:21" x14ac:dyDescent="0.3">
      <c r="U35" s="50"/>
    </row>
    <row r="38" spans="14:21" x14ac:dyDescent="0.3">
      <c r="N38" s="43"/>
    </row>
    <row r="39" spans="14:21" x14ac:dyDescent="0.3">
      <c r="N39" s="43"/>
    </row>
  </sheetData>
  <sheetProtection algorithmName="SHA-512" hashValue="Fe/WbmWzzKyr0mYFHdGmr3pn/FD4pgcZ6gCG3w4/9h41f6Zvlev9tRTUgxFG37VgAyBWfUDY1UfX6cge3n4qKg==" saltValue="KK6jhME8nKc5g6KSNkfT3A=="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16" workbookViewId="0">
      <selection activeCell="C21" sqref="C21"/>
    </sheetView>
  </sheetViews>
  <sheetFormatPr defaultColWidth="8.88671875" defaultRowHeight="14.4" x14ac:dyDescent="0.3"/>
  <cols>
    <col min="1" max="1" width="8.88671875" style="186"/>
    <col min="2" max="2" width="51" style="186" customWidth="1"/>
    <col min="3" max="3" width="12.33203125" style="186" customWidth="1"/>
    <col min="4" max="4" width="21.5546875" style="186" bestFit="1" customWidth="1"/>
    <col min="5" max="5" width="10.88671875" style="186" bestFit="1" customWidth="1"/>
    <col min="6" max="6" width="44.5546875" style="187" customWidth="1"/>
    <col min="7" max="7" width="48.6640625" style="188" customWidth="1"/>
    <col min="8" max="16384" width="8.88671875" style="186"/>
  </cols>
  <sheetData>
    <row r="1" spans="1:8" x14ac:dyDescent="0.3">
      <c r="A1" s="73"/>
      <c r="B1" s="73" t="s">
        <v>226</v>
      </c>
      <c r="C1" s="73"/>
      <c r="D1" s="73"/>
      <c r="E1" s="73"/>
      <c r="F1" s="96"/>
      <c r="G1" s="144"/>
      <c r="H1" s="73"/>
    </row>
    <row r="2" spans="1:8" x14ac:dyDescent="0.3">
      <c r="A2" s="73"/>
      <c r="B2" s="73"/>
      <c r="C2" s="73"/>
      <c r="D2" s="73"/>
      <c r="E2" s="73"/>
      <c r="F2" s="96"/>
      <c r="G2" s="144"/>
      <c r="H2" s="73"/>
    </row>
    <row r="3" spans="1:8" x14ac:dyDescent="0.3">
      <c r="A3" s="73"/>
      <c r="B3" s="105" t="s">
        <v>227</v>
      </c>
      <c r="C3" s="105" t="s">
        <v>228</v>
      </c>
      <c r="D3" s="105" t="s">
        <v>229</v>
      </c>
      <c r="E3" s="105" t="s">
        <v>230</v>
      </c>
      <c r="F3" s="106" t="s">
        <v>231</v>
      </c>
      <c r="G3" s="107" t="s">
        <v>232</v>
      </c>
      <c r="H3" s="73"/>
    </row>
    <row r="4" spans="1:8" x14ac:dyDescent="0.3">
      <c r="A4" s="73"/>
      <c r="B4" s="45" t="s">
        <v>116</v>
      </c>
      <c r="C4" s="51">
        <v>0</v>
      </c>
      <c r="D4" s="108">
        <v>0</v>
      </c>
      <c r="E4" s="51">
        <v>0</v>
      </c>
      <c r="F4" s="45" t="s">
        <v>116</v>
      </c>
      <c r="G4" s="45" t="s">
        <v>116</v>
      </c>
      <c r="H4" s="73"/>
    </row>
    <row r="5" spans="1:8" ht="28.8" x14ac:dyDescent="0.3">
      <c r="A5" s="73"/>
      <c r="B5" s="45" t="s">
        <v>233</v>
      </c>
      <c r="C5" s="51">
        <v>101</v>
      </c>
      <c r="D5" s="108">
        <v>0.2</v>
      </c>
      <c r="E5" s="51">
        <v>6</v>
      </c>
      <c r="F5" s="74" t="s">
        <v>114</v>
      </c>
      <c r="G5" s="46" t="s">
        <v>234</v>
      </c>
      <c r="H5" s="73"/>
    </row>
    <row r="6" spans="1:8" x14ac:dyDescent="0.3">
      <c r="A6" s="73"/>
      <c r="B6" s="45" t="s">
        <v>235</v>
      </c>
      <c r="C6" s="51">
        <v>105</v>
      </c>
      <c r="D6" s="109">
        <v>0.14000000000000001</v>
      </c>
      <c r="E6" s="51">
        <v>10</v>
      </c>
      <c r="F6" s="110" t="s">
        <v>236</v>
      </c>
      <c r="G6" s="46" t="s">
        <v>236</v>
      </c>
      <c r="H6" s="73"/>
    </row>
    <row r="7" spans="1:8" ht="28.8" x14ac:dyDescent="0.3">
      <c r="A7" s="73"/>
      <c r="B7" s="45" t="s">
        <v>237</v>
      </c>
      <c r="C7" s="51">
        <v>107</v>
      </c>
      <c r="D7" s="108">
        <v>0.35</v>
      </c>
      <c r="E7" s="51">
        <v>10</v>
      </c>
      <c r="F7" s="74" t="s">
        <v>115</v>
      </c>
      <c r="G7" s="46" t="s">
        <v>238</v>
      </c>
      <c r="H7" s="73"/>
    </row>
    <row r="8" spans="1:8" ht="28.8" x14ac:dyDescent="0.3">
      <c r="A8" s="73"/>
      <c r="B8" s="45" t="s">
        <v>239</v>
      </c>
      <c r="C8" s="51">
        <v>108</v>
      </c>
      <c r="D8" s="108">
        <v>0.24</v>
      </c>
      <c r="E8" s="51">
        <v>10</v>
      </c>
      <c r="F8" s="74" t="s">
        <v>115</v>
      </c>
      <c r="G8" s="46" t="s">
        <v>238</v>
      </c>
      <c r="H8" s="73"/>
    </row>
    <row r="9" spans="1:8" x14ac:dyDescent="0.3">
      <c r="A9" s="73"/>
      <c r="B9" s="45" t="s">
        <v>240</v>
      </c>
      <c r="C9" s="51">
        <v>110</v>
      </c>
      <c r="D9" s="108">
        <v>0.34</v>
      </c>
      <c r="E9" s="51">
        <v>10</v>
      </c>
      <c r="F9" s="110" t="s">
        <v>134</v>
      </c>
      <c r="G9" s="46" t="s">
        <v>134</v>
      </c>
      <c r="H9" s="73"/>
    </row>
    <row r="10" spans="1:8" x14ac:dyDescent="0.3">
      <c r="A10" s="73"/>
      <c r="B10" s="45" t="s">
        <v>241</v>
      </c>
      <c r="C10" s="51">
        <v>111</v>
      </c>
      <c r="D10" s="108">
        <v>0.1</v>
      </c>
      <c r="E10" s="51">
        <v>10</v>
      </c>
      <c r="F10" s="74" t="s">
        <v>115</v>
      </c>
      <c r="G10" s="46" t="s">
        <v>242</v>
      </c>
      <c r="H10" s="73"/>
    </row>
    <row r="11" spans="1:8" x14ac:dyDescent="0.3">
      <c r="A11" s="73"/>
      <c r="B11" s="45" t="s">
        <v>243</v>
      </c>
      <c r="C11" s="51">
        <v>113</v>
      </c>
      <c r="D11" s="109">
        <v>0.12</v>
      </c>
      <c r="E11" s="51">
        <v>2</v>
      </c>
      <c r="F11" s="74" t="s">
        <v>114</v>
      </c>
      <c r="G11" s="46" t="s">
        <v>244</v>
      </c>
      <c r="H11" s="73"/>
    </row>
    <row r="12" spans="1:8" x14ac:dyDescent="0.3">
      <c r="A12" s="73"/>
      <c r="B12" s="45" t="s">
        <v>245</v>
      </c>
      <c r="C12" s="51">
        <v>114</v>
      </c>
      <c r="D12" s="108">
        <v>0.2</v>
      </c>
      <c r="E12" s="51">
        <v>5</v>
      </c>
      <c r="F12" s="74" t="s">
        <v>114</v>
      </c>
      <c r="G12" s="46" t="s">
        <v>242</v>
      </c>
      <c r="H12" s="73"/>
    </row>
    <row r="13" spans="1:8" ht="28.8" x14ac:dyDescent="0.3">
      <c r="A13" s="73"/>
      <c r="B13" s="45" t="s">
        <v>246</v>
      </c>
      <c r="C13" s="51">
        <v>118</v>
      </c>
      <c r="D13" s="108">
        <v>0.25</v>
      </c>
      <c r="E13" s="51">
        <v>10</v>
      </c>
      <c r="F13" s="74" t="s">
        <v>134</v>
      </c>
      <c r="G13" s="46" t="s">
        <v>247</v>
      </c>
      <c r="H13" s="73"/>
    </row>
    <row r="14" spans="1:8" x14ac:dyDescent="0.3">
      <c r="A14" s="73"/>
      <c r="B14" s="46" t="s">
        <v>248</v>
      </c>
      <c r="C14" s="51">
        <v>119</v>
      </c>
      <c r="D14" s="108">
        <v>0.2</v>
      </c>
      <c r="E14" s="51">
        <v>6</v>
      </c>
      <c r="F14" s="74" t="s">
        <v>114</v>
      </c>
      <c r="G14" s="46" t="s">
        <v>249</v>
      </c>
      <c r="H14" s="73"/>
    </row>
    <row r="15" spans="1:8" ht="28.8" x14ac:dyDescent="0.3">
      <c r="A15" s="73"/>
      <c r="B15" s="46" t="s">
        <v>250</v>
      </c>
      <c r="C15" s="51">
        <v>122</v>
      </c>
      <c r="D15" s="108">
        <v>0.1</v>
      </c>
      <c r="E15" s="51">
        <v>10</v>
      </c>
      <c r="F15" s="110" t="s">
        <v>115</v>
      </c>
      <c r="G15" s="46" t="s">
        <v>115</v>
      </c>
      <c r="H15" s="73"/>
    </row>
    <row r="16" spans="1:8" ht="28.8" x14ac:dyDescent="0.3">
      <c r="A16" s="73"/>
      <c r="B16" s="46" t="s">
        <v>251</v>
      </c>
      <c r="C16" s="51">
        <v>123</v>
      </c>
      <c r="D16" s="108">
        <v>0.1</v>
      </c>
      <c r="E16" s="51">
        <v>10</v>
      </c>
      <c r="F16" s="74" t="s">
        <v>114</v>
      </c>
      <c r="G16" s="46" t="s">
        <v>252</v>
      </c>
      <c r="H16" s="73"/>
    </row>
    <row r="17" spans="1:8" ht="28.8" x14ac:dyDescent="0.3">
      <c r="A17" s="73"/>
      <c r="B17" s="46" t="s">
        <v>253</v>
      </c>
      <c r="C17" s="51">
        <v>124</v>
      </c>
      <c r="D17" s="108">
        <v>0.27</v>
      </c>
      <c r="E17" s="51">
        <v>10</v>
      </c>
      <c r="F17" s="110" t="s">
        <v>115</v>
      </c>
      <c r="G17" s="46" t="s">
        <v>115</v>
      </c>
      <c r="H17" s="73"/>
    </row>
    <row r="18" spans="1:8" ht="28.8" x14ac:dyDescent="0.3">
      <c r="A18" s="73"/>
      <c r="B18" s="45" t="s">
        <v>254</v>
      </c>
      <c r="C18" s="51">
        <v>125</v>
      </c>
      <c r="D18" s="109">
        <v>0.15</v>
      </c>
      <c r="E18" s="51">
        <v>10</v>
      </c>
      <c r="F18" s="74" t="s">
        <v>114</v>
      </c>
      <c r="G18" s="46" t="s">
        <v>255</v>
      </c>
      <c r="H18" s="73"/>
    </row>
    <row r="19" spans="1:8" ht="28.8" x14ac:dyDescent="0.3">
      <c r="A19" s="73"/>
      <c r="B19" s="46" t="s">
        <v>256</v>
      </c>
      <c r="C19" s="51">
        <v>128</v>
      </c>
      <c r="D19" s="108">
        <v>0.05</v>
      </c>
      <c r="E19" s="51">
        <v>6</v>
      </c>
      <c r="F19" s="110" t="s">
        <v>115</v>
      </c>
      <c r="G19" s="46" t="s">
        <v>115</v>
      </c>
      <c r="H19" s="73"/>
    </row>
    <row r="20" spans="1:8" ht="28.8" x14ac:dyDescent="0.3">
      <c r="A20" s="73"/>
      <c r="B20" s="46" t="s">
        <v>257</v>
      </c>
      <c r="C20" s="51">
        <v>130</v>
      </c>
      <c r="D20" s="109">
        <v>0.05</v>
      </c>
      <c r="E20" s="51">
        <v>6</v>
      </c>
      <c r="F20" s="74" t="s">
        <v>114</v>
      </c>
      <c r="G20" s="46" t="s">
        <v>252</v>
      </c>
      <c r="H20" s="73"/>
    </row>
    <row r="21" spans="1:8" x14ac:dyDescent="0.3">
      <c r="A21" s="73"/>
      <c r="B21" s="45" t="s">
        <v>258</v>
      </c>
      <c r="C21" s="51">
        <v>131</v>
      </c>
      <c r="D21" s="108">
        <v>0.1</v>
      </c>
      <c r="E21" s="51">
        <v>10</v>
      </c>
      <c r="F21" s="74" t="s">
        <v>134</v>
      </c>
      <c r="G21" s="74" t="s">
        <v>134</v>
      </c>
      <c r="H21" s="73"/>
    </row>
    <row r="22" spans="1:8" x14ac:dyDescent="0.3">
      <c r="A22" s="73"/>
      <c r="B22" s="45" t="s">
        <v>259</v>
      </c>
      <c r="C22" s="51">
        <v>132</v>
      </c>
      <c r="D22" s="108">
        <v>0.1</v>
      </c>
      <c r="E22" s="51">
        <v>10</v>
      </c>
      <c r="F22" s="74" t="s">
        <v>134</v>
      </c>
      <c r="G22" s="74" t="s">
        <v>134</v>
      </c>
      <c r="H22" s="73"/>
    </row>
    <row r="23" spans="1:8" x14ac:dyDescent="0.3">
      <c r="A23" s="73"/>
      <c r="B23" s="45" t="s">
        <v>260</v>
      </c>
      <c r="C23" s="51">
        <v>133</v>
      </c>
      <c r="D23" s="108">
        <v>0.05</v>
      </c>
      <c r="E23" s="51">
        <v>5</v>
      </c>
      <c r="F23" s="74" t="s">
        <v>114</v>
      </c>
      <c r="G23" s="46" t="s">
        <v>242</v>
      </c>
      <c r="H23" s="73"/>
    </row>
    <row r="24" spans="1:8" ht="28.8" x14ac:dyDescent="0.3">
      <c r="A24" s="73"/>
      <c r="B24" s="45" t="s">
        <v>261</v>
      </c>
      <c r="C24" s="51">
        <v>136</v>
      </c>
      <c r="D24" s="108">
        <v>0.35</v>
      </c>
      <c r="E24" s="51">
        <v>5</v>
      </c>
      <c r="F24" s="74" t="s">
        <v>114</v>
      </c>
      <c r="G24" s="46" t="s">
        <v>252</v>
      </c>
      <c r="H24" s="73"/>
    </row>
    <row r="25" spans="1:8" ht="28.8" x14ac:dyDescent="0.3">
      <c r="A25" s="73"/>
      <c r="B25" s="45" t="s">
        <v>262</v>
      </c>
      <c r="C25" s="51">
        <v>137</v>
      </c>
      <c r="D25" s="108">
        <v>0.25</v>
      </c>
      <c r="E25" s="51">
        <v>10</v>
      </c>
      <c r="F25" s="74" t="s">
        <v>114</v>
      </c>
      <c r="G25" s="46" t="s">
        <v>252</v>
      </c>
      <c r="H25" s="73"/>
    </row>
    <row r="26" spans="1:8" ht="28.8" x14ac:dyDescent="0.3">
      <c r="A26" s="73"/>
      <c r="B26" s="45" t="s">
        <v>263</v>
      </c>
      <c r="C26" s="51">
        <v>138</v>
      </c>
      <c r="D26" s="108">
        <v>0.41</v>
      </c>
      <c r="E26" s="51">
        <v>10</v>
      </c>
      <c r="F26" s="110" t="s">
        <v>115</v>
      </c>
      <c r="G26" s="46" t="s">
        <v>264</v>
      </c>
      <c r="H26" s="73"/>
    </row>
    <row r="27" spans="1:8" ht="28.8" x14ac:dyDescent="0.3">
      <c r="A27" s="73"/>
      <c r="B27" s="45" t="s">
        <v>265</v>
      </c>
      <c r="C27" s="51">
        <v>139</v>
      </c>
      <c r="D27" s="108">
        <v>0.12</v>
      </c>
      <c r="E27" s="51">
        <v>7</v>
      </c>
      <c r="F27" s="74" t="s">
        <v>114</v>
      </c>
      <c r="G27" s="46" t="s">
        <v>252</v>
      </c>
      <c r="H27" s="73"/>
    </row>
    <row r="28" spans="1:8" x14ac:dyDescent="0.3">
      <c r="A28" s="73"/>
      <c r="B28" s="45" t="s">
        <v>266</v>
      </c>
      <c r="C28" s="51">
        <v>201</v>
      </c>
      <c r="D28" s="108">
        <v>0.75</v>
      </c>
      <c r="E28" s="51">
        <v>15</v>
      </c>
      <c r="F28" s="74" t="s">
        <v>114</v>
      </c>
      <c r="G28" s="46" t="s">
        <v>249</v>
      </c>
      <c r="H28" s="73"/>
    </row>
    <row r="29" spans="1:8" ht="43.2" x14ac:dyDescent="0.3">
      <c r="A29" s="73"/>
      <c r="B29" s="45" t="s">
        <v>267</v>
      </c>
      <c r="C29" s="51">
        <v>203</v>
      </c>
      <c r="D29" s="108">
        <v>0.25</v>
      </c>
      <c r="E29" s="51">
        <v>20</v>
      </c>
      <c r="F29" s="74" t="s">
        <v>114</v>
      </c>
      <c r="G29" s="46" t="s">
        <v>268</v>
      </c>
      <c r="H29" s="73"/>
    </row>
    <row r="30" spans="1:8" x14ac:dyDescent="0.3">
      <c r="A30" s="73"/>
      <c r="B30" s="46" t="s">
        <v>269</v>
      </c>
      <c r="C30" s="51">
        <v>204</v>
      </c>
      <c r="D30" s="108">
        <v>0.05</v>
      </c>
      <c r="E30" s="51">
        <v>20</v>
      </c>
      <c r="F30" s="74" t="s">
        <v>114</v>
      </c>
      <c r="G30" s="46" t="s">
        <v>270</v>
      </c>
      <c r="H30" s="73"/>
    </row>
    <row r="31" spans="1:8" x14ac:dyDescent="0.3">
      <c r="A31" s="73"/>
      <c r="B31" s="45" t="s">
        <v>271</v>
      </c>
      <c r="C31" s="51">
        <v>209</v>
      </c>
      <c r="D31" s="109">
        <v>0.5</v>
      </c>
      <c r="E31" s="51">
        <v>20</v>
      </c>
      <c r="F31" s="74" t="s">
        <v>114</v>
      </c>
      <c r="G31" s="46" t="s">
        <v>270</v>
      </c>
      <c r="H31" s="73"/>
    </row>
    <row r="32" spans="1:8" x14ac:dyDescent="0.3">
      <c r="A32" s="73"/>
      <c r="B32" s="45" t="s">
        <v>272</v>
      </c>
      <c r="C32" s="51">
        <v>217</v>
      </c>
      <c r="D32" s="108">
        <v>0.6</v>
      </c>
      <c r="E32" s="51">
        <v>10</v>
      </c>
      <c r="F32" s="110" t="s">
        <v>273</v>
      </c>
      <c r="G32" s="46" t="s">
        <v>273</v>
      </c>
      <c r="H32" s="73"/>
    </row>
    <row r="33" spans="1:8" ht="28.8" x14ac:dyDescent="0.3">
      <c r="A33" s="73"/>
      <c r="B33" s="45" t="s">
        <v>274</v>
      </c>
      <c r="C33" s="51">
        <v>218</v>
      </c>
      <c r="D33" s="108">
        <v>0.55000000000000004</v>
      </c>
      <c r="E33" s="51">
        <v>20</v>
      </c>
      <c r="F33" s="74" t="s">
        <v>114</v>
      </c>
      <c r="G33" s="46" t="s">
        <v>252</v>
      </c>
      <c r="H33" s="73"/>
    </row>
    <row r="34" spans="1:8" x14ac:dyDescent="0.3">
      <c r="A34" s="73"/>
      <c r="B34" s="45" t="s">
        <v>76</v>
      </c>
      <c r="C34" s="51">
        <v>303</v>
      </c>
      <c r="D34" s="108">
        <v>0.3</v>
      </c>
      <c r="E34" s="51">
        <v>10</v>
      </c>
      <c r="F34" s="74" t="s">
        <v>114</v>
      </c>
      <c r="G34" s="46" t="s">
        <v>275</v>
      </c>
      <c r="H34" s="73"/>
    </row>
    <row r="35" spans="1:8" x14ac:dyDescent="0.3">
      <c r="A35" s="73"/>
      <c r="B35" s="46" t="s">
        <v>74</v>
      </c>
      <c r="C35" s="51">
        <v>304</v>
      </c>
      <c r="D35" s="108">
        <v>0.49</v>
      </c>
      <c r="E35" s="51">
        <v>15</v>
      </c>
      <c r="F35" s="74" t="s">
        <v>114</v>
      </c>
      <c r="G35" s="46" t="s">
        <v>276</v>
      </c>
      <c r="H35" s="73"/>
    </row>
    <row r="36" spans="1:8" x14ac:dyDescent="0.3">
      <c r="A36" s="73"/>
      <c r="B36" s="45" t="s">
        <v>277</v>
      </c>
      <c r="C36" s="51">
        <v>305</v>
      </c>
      <c r="D36" s="109">
        <v>0.13</v>
      </c>
      <c r="E36" s="51">
        <v>15</v>
      </c>
      <c r="F36" s="110" t="s">
        <v>115</v>
      </c>
      <c r="G36" s="46" t="s">
        <v>278</v>
      </c>
      <c r="H36" s="73"/>
    </row>
    <row r="37" spans="1:8" x14ac:dyDescent="0.3">
      <c r="A37" s="73"/>
      <c r="B37" s="45" t="s">
        <v>279</v>
      </c>
      <c r="C37" s="51">
        <v>306</v>
      </c>
      <c r="D37" s="109">
        <v>0.45</v>
      </c>
      <c r="E37" s="51">
        <v>5</v>
      </c>
      <c r="F37" s="74" t="s">
        <v>114</v>
      </c>
      <c r="G37" s="46" t="s">
        <v>280</v>
      </c>
      <c r="H37" s="73"/>
    </row>
    <row r="38" spans="1:8" x14ac:dyDescent="0.3">
      <c r="A38" s="73"/>
      <c r="B38" s="45" t="s">
        <v>281</v>
      </c>
      <c r="C38" s="51">
        <v>307</v>
      </c>
      <c r="D38" s="109">
        <v>0.2</v>
      </c>
      <c r="E38" s="51">
        <v>5</v>
      </c>
      <c r="F38" s="110" t="s">
        <v>115</v>
      </c>
      <c r="G38" s="46" t="s">
        <v>115</v>
      </c>
      <c r="H38" s="73"/>
    </row>
    <row r="39" spans="1:8" ht="28.8" x14ac:dyDescent="0.3">
      <c r="A39" s="73"/>
      <c r="B39" s="45" t="s">
        <v>282</v>
      </c>
      <c r="C39" s="51">
        <v>401</v>
      </c>
      <c r="D39" s="108">
        <v>0.2</v>
      </c>
      <c r="E39" s="51">
        <v>2</v>
      </c>
      <c r="F39" s="74" t="s">
        <v>114</v>
      </c>
      <c r="G39" s="46" t="s">
        <v>252</v>
      </c>
      <c r="H39" s="73"/>
    </row>
    <row r="40" spans="1:8" x14ac:dyDescent="0.3">
      <c r="A40" s="73"/>
      <c r="B40" s="45" t="s">
        <v>283</v>
      </c>
      <c r="C40" s="51">
        <v>402</v>
      </c>
      <c r="D40" s="108">
        <v>0.25</v>
      </c>
      <c r="E40" s="51">
        <v>2</v>
      </c>
      <c r="F40" s="74" t="s">
        <v>114</v>
      </c>
      <c r="G40" s="46" t="s">
        <v>284</v>
      </c>
      <c r="H40" s="73"/>
    </row>
    <row r="41" spans="1:8" x14ac:dyDescent="0.3">
      <c r="A41" s="73"/>
      <c r="B41" s="46" t="s">
        <v>285</v>
      </c>
      <c r="C41" s="51">
        <v>403</v>
      </c>
      <c r="D41" s="108">
        <v>0.1</v>
      </c>
      <c r="E41" s="51">
        <v>2</v>
      </c>
      <c r="F41" s="110" t="s">
        <v>134</v>
      </c>
      <c r="G41" s="46" t="s">
        <v>134</v>
      </c>
      <c r="H41" s="73"/>
    </row>
    <row r="42" spans="1:8" x14ac:dyDescent="0.3">
      <c r="A42" s="73"/>
      <c r="B42" s="46" t="s">
        <v>286</v>
      </c>
      <c r="C42" s="51">
        <v>404</v>
      </c>
      <c r="D42" s="108">
        <v>0.65</v>
      </c>
      <c r="E42" s="51">
        <v>2</v>
      </c>
      <c r="F42" s="74" t="s">
        <v>114</v>
      </c>
      <c r="G42" s="46" t="s">
        <v>249</v>
      </c>
      <c r="H42" s="73"/>
    </row>
    <row r="43" spans="1:8" x14ac:dyDescent="0.3">
      <c r="A43" s="73"/>
      <c r="B43" s="45" t="s">
        <v>78</v>
      </c>
      <c r="C43" s="51">
        <v>407</v>
      </c>
      <c r="D43" s="109">
        <v>0.65</v>
      </c>
      <c r="E43" s="51">
        <v>10</v>
      </c>
      <c r="F43" s="110" t="s">
        <v>134</v>
      </c>
      <c r="G43" s="46" t="s">
        <v>134</v>
      </c>
      <c r="H43" s="73"/>
    </row>
    <row r="44" spans="1:8" ht="28.8" x14ac:dyDescent="0.3">
      <c r="A44" s="73"/>
      <c r="B44" s="45" t="s">
        <v>287</v>
      </c>
      <c r="C44" s="51">
        <v>502</v>
      </c>
      <c r="D44" s="108">
        <v>0.3</v>
      </c>
      <c r="E44" s="51">
        <v>20</v>
      </c>
      <c r="F44" s="74" t="s">
        <v>114</v>
      </c>
      <c r="G44" s="46" t="s">
        <v>288</v>
      </c>
      <c r="H44" s="73"/>
    </row>
    <row r="45" spans="1:8" x14ac:dyDescent="0.3">
      <c r="A45" s="73"/>
      <c r="B45" s="45" t="s">
        <v>289</v>
      </c>
      <c r="C45" s="51">
        <v>503</v>
      </c>
      <c r="D45" s="108">
        <v>0.25</v>
      </c>
      <c r="E45" s="51">
        <v>20</v>
      </c>
      <c r="F45" s="74" t="s">
        <v>114</v>
      </c>
      <c r="G45" s="46" t="s">
        <v>270</v>
      </c>
      <c r="H45" s="73"/>
    </row>
    <row r="46" spans="1:8" ht="28.8" x14ac:dyDescent="0.3">
      <c r="A46" s="73"/>
      <c r="B46" s="45" t="s">
        <v>290</v>
      </c>
      <c r="C46" s="51">
        <v>504</v>
      </c>
      <c r="D46" s="108">
        <v>0.25</v>
      </c>
      <c r="E46" s="51">
        <v>20</v>
      </c>
      <c r="F46" s="74" t="s">
        <v>114</v>
      </c>
      <c r="G46" s="46" t="s">
        <v>252</v>
      </c>
      <c r="H46" s="73"/>
    </row>
    <row r="47" spans="1:8" ht="28.8" x14ac:dyDescent="0.3">
      <c r="A47" s="73"/>
      <c r="B47" s="46" t="s">
        <v>291</v>
      </c>
      <c r="C47" s="51">
        <v>505</v>
      </c>
      <c r="D47" s="108">
        <v>0.5</v>
      </c>
      <c r="E47" s="51">
        <v>10</v>
      </c>
      <c r="F47" s="74" t="s">
        <v>114</v>
      </c>
      <c r="G47" s="46" t="s">
        <v>252</v>
      </c>
      <c r="H47" s="73"/>
    </row>
    <row r="48" spans="1:8" ht="28.8" x14ac:dyDescent="0.3">
      <c r="A48" s="73"/>
      <c r="B48" s="45" t="s">
        <v>292</v>
      </c>
      <c r="C48" s="51">
        <v>506</v>
      </c>
      <c r="D48" s="109">
        <v>0.55000000000000004</v>
      </c>
      <c r="E48" s="51">
        <v>10</v>
      </c>
      <c r="F48" s="74" t="s">
        <v>114</v>
      </c>
      <c r="G48" s="46" t="s">
        <v>252</v>
      </c>
      <c r="H48" s="73"/>
    </row>
    <row r="49" spans="1:8" ht="28.8" x14ac:dyDescent="0.3">
      <c r="A49" s="73"/>
      <c r="B49" s="46" t="s">
        <v>293</v>
      </c>
      <c r="C49" s="51">
        <v>507</v>
      </c>
      <c r="D49" s="109">
        <v>0.65</v>
      </c>
      <c r="E49" s="51">
        <v>10</v>
      </c>
      <c r="F49" s="74" t="s">
        <v>114</v>
      </c>
      <c r="G49" s="46" t="s">
        <v>252</v>
      </c>
      <c r="H49" s="73"/>
    </row>
    <row r="50" spans="1:8" ht="28.8" x14ac:dyDescent="0.3">
      <c r="A50" s="73"/>
      <c r="B50" s="46" t="s">
        <v>294</v>
      </c>
      <c r="C50" s="51">
        <v>510</v>
      </c>
      <c r="D50" s="109">
        <v>0.4</v>
      </c>
      <c r="E50" s="51">
        <v>10</v>
      </c>
      <c r="F50" s="110" t="s">
        <v>115</v>
      </c>
      <c r="G50" s="46" t="s">
        <v>295</v>
      </c>
      <c r="H50" s="73"/>
    </row>
    <row r="51" spans="1:8" x14ac:dyDescent="0.3">
      <c r="A51" s="73"/>
      <c r="B51" s="45" t="s">
        <v>296</v>
      </c>
      <c r="C51" s="51">
        <v>514</v>
      </c>
      <c r="D51" s="108">
        <v>0.8</v>
      </c>
      <c r="E51" s="51">
        <v>30</v>
      </c>
      <c r="F51" s="110" t="s">
        <v>115</v>
      </c>
      <c r="G51" s="46" t="s">
        <v>115</v>
      </c>
      <c r="H51" s="73"/>
    </row>
    <row r="52" spans="1:8" x14ac:dyDescent="0.3">
      <c r="A52" s="73"/>
      <c r="B52" s="45" t="s">
        <v>297</v>
      </c>
      <c r="C52" s="51">
        <v>515</v>
      </c>
      <c r="D52" s="108">
        <v>0.65</v>
      </c>
      <c r="E52" s="51">
        <v>30</v>
      </c>
      <c r="F52" s="110" t="s">
        <v>115</v>
      </c>
      <c r="G52" s="46" t="s">
        <v>115</v>
      </c>
      <c r="H52" s="73"/>
    </row>
    <row r="53" spans="1:8" ht="28.8" x14ac:dyDescent="0.3">
      <c r="A53" s="73"/>
      <c r="B53" s="46" t="s">
        <v>298</v>
      </c>
      <c r="C53" s="51">
        <v>516</v>
      </c>
      <c r="D53" s="108">
        <v>0.5</v>
      </c>
      <c r="E53" s="51">
        <v>20</v>
      </c>
      <c r="F53" s="74" t="s">
        <v>114</v>
      </c>
      <c r="G53" s="46" t="s">
        <v>299</v>
      </c>
      <c r="H53" s="73"/>
    </row>
    <row r="54" spans="1:8" x14ac:dyDescent="0.3">
      <c r="A54" s="73"/>
      <c r="B54" s="45" t="s">
        <v>300</v>
      </c>
      <c r="C54" s="51">
        <v>517</v>
      </c>
      <c r="D54" s="109">
        <v>0.28000000000000003</v>
      </c>
      <c r="E54" s="51">
        <v>20</v>
      </c>
      <c r="F54" s="74" t="s">
        <v>114</v>
      </c>
      <c r="G54" s="46" t="s">
        <v>249</v>
      </c>
      <c r="H54" s="73"/>
    </row>
    <row r="55" spans="1:8" ht="28.8" x14ac:dyDescent="0.3">
      <c r="A55" s="73"/>
      <c r="B55" s="45" t="s">
        <v>68</v>
      </c>
      <c r="C55" s="51">
        <v>518</v>
      </c>
      <c r="D55" s="108">
        <v>0.5</v>
      </c>
      <c r="E55" s="51">
        <v>10</v>
      </c>
      <c r="F55" s="74" t="s">
        <v>114</v>
      </c>
      <c r="G55" s="46" t="s">
        <v>301</v>
      </c>
      <c r="H55" s="73"/>
    </row>
    <row r="56" spans="1:8" ht="28.8" x14ac:dyDescent="0.3">
      <c r="A56" s="73"/>
      <c r="B56" s="45" t="s">
        <v>302</v>
      </c>
      <c r="C56" s="51">
        <v>519</v>
      </c>
      <c r="D56" s="108">
        <v>0.25</v>
      </c>
      <c r="E56" s="51">
        <v>10</v>
      </c>
      <c r="F56" s="110" t="s">
        <v>115</v>
      </c>
      <c r="G56" s="46" t="s">
        <v>303</v>
      </c>
      <c r="H56" s="73"/>
    </row>
    <row r="57" spans="1:8" ht="28.8" x14ac:dyDescent="0.3">
      <c r="A57" s="73"/>
      <c r="B57" s="45" t="s">
        <v>304</v>
      </c>
      <c r="C57" s="51">
        <v>520</v>
      </c>
      <c r="D57" s="108">
        <v>0.4</v>
      </c>
      <c r="E57" s="51">
        <v>10</v>
      </c>
      <c r="F57" s="110" t="s">
        <v>115</v>
      </c>
      <c r="G57" s="46" t="s">
        <v>303</v>
      </c>
      <c r="H57" s="73"/>
    </row>
    <row r="58" spans="1:8" ht="28.8" x14ac:dyDescent="0.3">
      <c r="A58" s="73"/>
      <c r="B58" s="45" t="s">
        <v>305</v>
      </c>
      <c r="C58" s="51">
        <v>521</v>
      </c>
      <c r="D58" s="108">
        <v>0.25</v>
      </c>
      <c r="E58" s="51">
        <v>10</v>
      </c>
      <c r="F58" s="110" t="s">
        <v>115</v>
      </c>
      <c r="G58" s="46" t="s">
        <v>303</v>
      </c>
      <c r="H58" s="73"/>
    </row>
    <row r="59" spans="1:8" ht="28.8" x14ac:dyDescent="0.3">
      <c r="A59" s="73"/>
      <c r="B59" s="45" t="s">
        <v>306</v>
      </c>
      <c r="C59" s="51">
        <v>522</v>
      </c>
      <c r="D59" s="108">
        <v>0.4</v>
      </c>
      <c r="E59" s="51">
        <v>10</v>
      </c>
      <c r="F59" s="110" t="s">
        <v>115</v>
      </c>
      <c r="G59" s="46" t="s">
        <v>303</v>
      </c>
      <c r="H59" s="73"/>
    </row>
    <row r="60" spans="1:8" x14ac:dyDescent="0.3">
      <c r="A60" s="73"/>
      <c r="B60" s="45" t="s">
        <v>307</v>
      </c>
      <c r="C60" s="51">
        <v>523</v>
      </c>
      <c r="D60" s="108">
        <v>0.95</v>
      </c>
      <c r="E60" s="51">
        <v>10</v>
      </c>
      <c r="F60" s="74" t="s">
        <v>134</v>
      </c>
      <c r="G60" s="74" t="s">
        <v>134</v>
      </c>
      <c r="H60" s="73"/>
    </row>
    <row r="61" spans="1:8" x14ac:dyDescent="0.3">
      <c r="A61" s="73"/>
      <c r="B61" s="46" t="s">
        <v>308</v>
      </c>
      <c r="C61" s="51">
        <v>525</v>
      </c>
      <c r="D61" s="108">
        <v>0.68</v>
      </c>
      <c r="E61" s="51">
        <v>10</v>
      </c>
      <c r="F61" s="74" t="s">
        <v>114</v>
      </c>
      <c r="G61" s="46" t="s">
        <v>309</v>
      </c>
      <c r="H61" s="73"/>
    </row>
    <row r="62" spans="1:8" ht="28.8" x14ac:dyDescent="0.3">
      <c r="A62" s="73"/>
      <c r="B62" s="45" t="s">
        <v>310</v>
      </c>
      <c r="C62" s="51">
        <v>532</v>
      </c>
      <c r="D62" s="109">
        <v>0.15</v>
      </c>
      <c r="E62" s="51">
        <v>10</v>
      </c>
      <c r="F62" s="74" t="s">
        <v>114</v>
      </c>
      <c r="G62" s="46" t="s">
        <v>252</v>
      </c>
      <c r="H62" s="73"/>
    </row>
    <row r="63" spans="1:8" ht="28.8" x14ac:dyDescent="0.3">
      <c r="A63" s="73"/>
      <c r="B63" s="45" t="s">
        <v>311</v>
      </c>
      <c r="C63" s="51">
        <v>533</v>
      </c>
      <c r="D63" s="108">
        <v>7.0000000000000007E-2</v>
      </c>
      <c r="E63" s="51">
        <v>5</v>
      </c>
      <c r="F63" s="74" t="s">
        <v>114</v>
      </c>
      <c r="G63" s="46" t="s">
        <v>312</v>
      </c>
      <c r="H63" s="73"/>
    </row>
    <row r="64" spans="1:8" ht="28.8" x14ac:dyDescent="0.3">
      <c r="A64" s="73"/>
      <c r="B64" s="45" t="s">
        <v>313</v>
      </c>
      <c r="C64" s="51">
        <v>534</v>
      </c>
      <c r="D64" s="108">
        <v>0.17</v>
      </c>
      <c r="E64" s="51">
        <v>4</v>
      </c>
      <c r="F64" s="74" t="s">
        <v>114</v>
      </c>
      <c r="G64" s="46" t="s">
        <v>312</v>
      </c>
      <c r="H64" s="73"/>
    </row>
    <row r="65" spans="1:8" x14ac:dyDescent="0.3">
      <c r="A65" s="73"/>
      <c r="B65" s="45" t="s">
        <v>314</v>
      </c>
      <c r="C65" s="51">
        <v>536</v>
      </c>
      <c r="D65" s="108">
        <v>0.31</v>
      </c>
      <c r="E65" s="51">
        <v>20</v>
      </c>
      <c r="F65" s="74" t="s">
        <v>114</v>
      </c>
      <c r="G65" s="46" t="s">
        <v>270</v>
      </c>
      <c r="H65" s="73"/>
    </row>
    <row r="66" spans="1:8" x14ac:dyDescent="0.3">
      <c r="A66" s="73"/>
      <c r="B66" s="45" t="s">
        <v>315</v>
      </c>
      <c r="C66" s="51">
        <v>537</v>
      </c>
      <c r="D66" s="108">
        <v>0.4</v>
      </c>
      <c r="E66" s="51">
        <v>20</v>
      </c>
      <c r="F66" s="74" t="s">
        <v>114</v>
      </c>
      <c r="G66" s="46" t="s">
        <v>270</v>
      </c>
      <c r="H66" s="73"/>
    </row>
    <row r="67" spans="1:8" ht="28.8" x14ac:dyDescent="0.3">
      <c r="A67" s="73"/>
      <c r="B67" s="45" t="s">
        <v>316</v>
      </c>
      <c r="C67" s="51">
        <v>538</v>
      </c>
      <c r="D67" s="108">
        <v>0.45</v>
      </c>
      <c r="E67" s="51">
        <v>20</v>
      </c>
      <c r="F67" s="74" t="s">
        <v>114</v>
      </c>
      <c r="G67" s="46" t="s">
        <v>252</v>
      </c>
      <c r="H67" s="73"/>
    </row>
    <row r="68" spans="1:8" ht="28.8" x14ac:dyDescent="0.3">
      <c r="A68" s="73"/>
      <c r="B68" s="45" t="s">
        <v>317</v>
      </c>
      <c r="C68" s="51">
        <v>540</v>
      </c>
      <c r="D68" s="108">
        <v>0.25</v>
      </c>
      <c r="E68" s="51">
        <v>10</v>
      </c>
      <c r="F68" s="74" t="s">
        <v>114</v>
      </c>
      <c r="G68" s="46" t="s">
        <v>252</v>
      </c>
      <c r="H68" s="73"/>
    </row>
    <row r="69" spans="1:8" ht="28.8" x14ac:dyDescent="0.3">
      <c r="A69" s="73"/>
      <c r="B69" s="45" t="s">
        <v>318</v>
      </c>
      <c r="C69" s="51">
        <v>541</v>
      </c>
      <c r="D69" s="108">
        <v>0.3</v>
      </c>
      <c r="E69" s="51">
        <v>20</v>
      </c>
      <c r="F69" s="74" t="s">
        <v>114</v>
      </c>
      <c r="G69" s="46" t="s">
        <v>252</v>
      </c>
      <c r="H69" s="73"/>
    </row>
    <row r="70" spans="1:8" ht="28.8" x14ac:dyDescent="0.3">
      <c r="A70" s="73"/>
      <c r="B70" s="45" t="s">
        <v>319</v>
      </c>
      <c r="C70" s="51">
        <v>542</v>
      </c>
      <c r="D70" s="108">
        <v>0.26</v>
      </c>
      <c r="E70" s="51">
        <v>10</v>
      </c>
      <c r="F70" s="74" t="s">
        <v>114</v>
      </c>
      <c r="G70" s="46" t="s">
        <v>252</v>
      </c>
      <c r="H70" s="73"/>
    </row>
    <row r="71" spans="1:8" ht="28.8" x14ac:dyDescent="0.3">
      <c r="A71" s="73"/>
      <c r="B71" s="45" t="s">
        <v>320</v>
      </c>
      <c r="C71" s="51">
        <v>543</v>
      </c>
      <c r="D71" s="108">
        <v>7.0000000000000007E-2</v>
      </c>
      <c r="E71" s="51">
        <v>5</v>
      </c>
      <c r="F71" s="74" t="s">
        <v>114</v>
      </c>
      <c r="G71" s="46" t="s">
        <v>252</v>
      </c>
      <c r="H71" s="73"/>
    </row>
    <row r="72" spans="1:8" ht="28.8" x14ac:dyDescent="0.3">
      <c r="A72" s="73"/>
      <c r="B72" s="45" t="s">
        <v>321</v>
      </c>
      <c r="C72" s="51">
        <v>544</v>
      </c>
      <c r="D72" s="108">
        <v>0.17</v>
      </c>
      <c r="E72" s="51">
        <v>4</v>
      </c>
      <c r="F72" s="74" t="s">
        <v>114</v>
      </c>
      <c r="G72" s="46" t="s">
        <v>252</v>
      </c>
      <c r="H72" s="73"/>
    </row>
    <row r="73" spans="1:8" x14ac:dyDescent="0.3">
      <c r="A73" s="73"/>
      <c r="B73" s="45" t="s">
        <v>322</v>
      </c>
      <c r="C73" s="51">
        <v>545</v>
      </c>
      <c r="D73" s="108">
        <v>0.15</v>
      </c>
      <c r="E73" s="51">
        <v>5</v>
      </c>
      <c r="F73" s="110" t="s">
        <v>115</v>
      </c>
      <c r="G73" s="46" t="s">
        <v>115</v>
      </c>
      <c r="H73" s="73"/>
    </row>
    <row r="74" spans="1:8" x14ac:dyDescent="0.3">
      <c r="A74" s="73"/>
      <c r="B74" s="45" t="s">
        <v>323</v>
      </c>
      <c r="C74" s="51">
        <v>547</v>
      </c>
      <c r="D74" s="108">
        <v>0.4</v>
      </c>
      <c r="E74" s="51">
        <v>10</v>
      </c>
      <c r="F74" s="110" t="s">
        <v>115</v>
      </c>
      <c r="G74" s="46" t="s">
        <v>115</v>
      </c>
      <c r="H74" s="73"/>
    </row>
    <row r="75" spans="1:8" x14ac:dyDescent="0.3">
      <c r="A75" s="73"/>
      <c r="B75" s="73"/>
      <c r="C75" s="73"/>
      <c r="D75" s="73"/>
      <c r="E75" s="73"/>
      <c r="F75" s="96"/>
      <c r="G75" s="144"/>
      <c r="H75" s="73"/>
    </row>
    <row r="76" spans="1:8" x14ac:dyDescent="0.3">
      <c r="A76" s="73"/>
      <c r="B76" s="73"/>
      <c r="C76" s="73"/>
      <c r="D76" s="73"/>
      <c r="E76" s="73"/>
      <c r="F76" s="96"/>
      <c r="G76" s="144"/>
      <c r="H76" s="73"/>
    </row>
    <row r="77" spans="1:8" x14ac:dyDescent="0.3">
      <c r="A77" s="73"/>
      <c r="B77" s="73"/>
      <c r="C77" s="73"/>
      <c r="D77" s="73"/>
      <c r="E77" s="73"/>
      <c r="F77" s="96"/>
      <c r="G77" s="144"/>
      <c r="H77" s="73"/>
    </row>
    <row r="78" spans="1:8" x14ac:dyDescent="0.3">
      <c r="A78" s="73"/>
      <c r="B78" s="105" t="s">
        <v>227</v>
      </c>
      <c r="C78" s="111" t="s">
        <v>228</v>
      </c>
      <c r="D78" s="73"/>
      <c r="E78" s="73"/>
      <c r="F78" s="96"/>
      <c r="G78" s="144"/>
      <c r="H78" s="73"/>
    </row>
    <row r="79" spans="1:8" x14ac:dyDescent="0.3">
      <c r="A79" s="73"/>
      <c r="B79" s="45" t="s">
        <v>240</v>
      </c>
      <c r="C79" s="51">
        <v>110</v>
      </c>
      <c r="D79" s="73"/>
      <c r="E79" s="73"/>
      <c r="F79" s="96"/>
      <c r="G79" s="144"/>
      <c r="H79" s="73"/>
    </row>
    <row r="80" spans="1:8" x14ac:dyDescent="0.3">
      <c r="A80" s="73"/>
      <c r="B80" s="45" t="s">
        <v>258</v>
      </c>
      <c r="C80" s="51">
        <v>131</v>
      </c>
      <c r="D80" s="73"/>
      <c r="E80" s="73"/>
      <c r="F80" s="96"/>
      <c r="G80" s="144"/>
      <c r="H80" s="73"/>
    </row>
    <row r="81" spans="1:8" x14ac:dyDescent="0.3">
      <c r="A81" s="73"/>
      <c r="B81" s="46" t="s">
        <v>285</v>
      </c>
      <c r="C81" s="51">
        <v>403</v>
      </c>
      <c r="D81" s="73"/>
      <c r="E81" s="73"/>
      <c r="F81" s="96"/>
      <c r="G81" s="144"/>
      <c r="H81" s="73"/>
    </row>
    <row r="82" spans="1:8" x14ac:dyDescent="0.3">
      <c r="A82" s="73"/>
      <c r="B82" s="45" t="s">
        <v>78</v>
      </c>
      <c r="C82" s="51">
        <v>407</v>
      </c>
      <c r="D82" s="73"/>
      <c r="E82" s="73"/>
      <c r="F82" s="96"/>
      <c r="G82" s="144"/>
      <c r="H82" s="73"/>
    </row>
    <row r="83" spans="1:8" x14ac:dyDescent="0.3">
      <c r="A83" s="73"/>
      <c r="B83" s="45" t="s">
        <v>116</v>
      </c>
      <c r="C83" s="51">
        <v>0</v>
      </c>
      <c r="D83" s="73"/>
      <c r="E83" s="73"/>
      <c r="F83" s="96"/>
      <c r="G83" s="144"/>
      <c r="H83" s="73"/>
    </row>
    <row r="84" spans="1:8" x14ac:dyDescent="0.3">
      <c r="A84" s="73"/>
      <c r="B84" s="73"/>
      <c r="C84" s="73"/>
      <c r="D84" s="73"/>
      <c r="E84" s="73"/>
      <c r="F84" s="96"/>
      <c r="G84" s="144"/>
      <c r="H84" s="73"/>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E06632-6169-4B3F-AFE7-9D49D1CC156E}">
  <ds:schemaRefs>
    <ds:schemaRef ds:uri="http://schemas.microsoft.com/office/2006/metadata/properties"/>
    <ds:schemaRef ds:uri="http://schemas.microsoft.com/office/infopath/2007/PartnerControls"/>
    <ds:schemaRef ds:uri="465bea7d-86ad-477c-b808-18989319c381"/>
    <ds:schemaRef ds:uri="b1ea3359-8be3-4799-bc0c-1bb6e52db833"/>
  </ds:schemaRefs>
</ds:datastoreItem>
</file>

<file path=customXml/itemProps2.xml><?xml version="1.0" encoding="utf-8"?>
<ds:datastoreItem xmlns:ds="http://schemas.openxmlformats.org/officeDocument/2006/customXml" ds:itemID="{6B4EA86C-7DAE-463A-8C7F-B899EC014B55}"/>
</file>

<file path=customXml/itemProps3.xml><?xml version="1.0" encoding="utf-8"?>
<ds:datastoreItem xmlns:ds="http://schemas.openxmlformats.org/officeDocument/2006/customXml" ds:itemID="{C3F18689-68D8-4516-AEDD-5D80C4E10CEC}">
  <ds:schemaRefs>
    <ds:schemaRef ds:uri="http://schemas.microsoft.com/sharepoint/v3/contenttype/forms"/>
  </ds:schemaRefs>
</ds:datastoreItem>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Manager/>
  <Company>Houston-Galveston Area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wurdlow</dc:creator>
  <cp:keywords/>
  <dc:description/>
  <cp:lastModifiedBy>Cross, Taylor - HPW</cp:lastModifiedBy>
  <cp:revision/>
  <dcterms:created xsi:type="dcterms:W3CDTF">2012-07-25T15:48:32Z</dcterms:created>
  <dcterms:modified xsi:type="dcterms:W3CDTF">2024-08-22T20:57:41Z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10962700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