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ttps://houtx.sharepoint.com/sites/TDO-TrafficManagement/Shared Documents/1-Grants/2023 TIP/2023 2024 Submissions/Gellhorn Dr/BCA/"/>
    </mc:Choice>
  </mc:AlternateContent>
  <xr:revisionPtr revIDLastSave="7" documentId="8_{88778E8A-4021-4145-9CE3-E108A7D9E26A}" xr6:coauthVersionLast="47" xr6:coauthVersionMax="47" xr10:uidLastSave="{AC4CD83A-EDF5-4A58-85A6-60D6E90A4413}"/>
  <bookViews>
    <workbookView xWindow="-108" yWindow="-108" windowWidth="23256" windowHeight="12576" activeTab="1" xr2:uid="{0B1164FA-36C9-4288-BE82-99995C5B54F7}"/>
  </bookViews>
  <sheets>
    <sheet name="Summary" sheetId="7" r:id="rId1"/>
    <sheet name="SOGR" sheetId="5" r:id="rId2"/>
    <sheet name="Pavement Lifecycle" sheetId="3" r:id="rId3"/>
    <sheet name="PCI" sheetId="4" r:id="rId4"/>
  </sheets>
  <externalReferences>
    <externalReference r:id="rId5"/>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M15" i="5"/>
  <c r="B192" i="5"/>
  <c r="B191" i="5"/>
  <c r="C190" i="5"/>
  <c r="B190" i="5"/>
  <c r="A190" i="5"/>
  <c r="B189" i="5"/>
  <c r="B187" i="5"/>
  <c r="B188" i="5" s="1"/>
  <c r="C184" i="5"/>
  <c r="A184" i="5"/>
  <c r="B178" i="5"/>
  <c r="B177" i="5"/>
  <c r="B176" i="5"/>
  <c r="B175" i="5"/>
  <c r="B173" i="5"/>
  <c r="B174" i="5" s="1"/>
  <c r="E170" i="5"/>
  <c r="A170" i="5"/>
  <c r="F169" i="5"/>
  <c r="G169" i="5" s="1"/>
  <c r="A169" i="5"/>
  <c r="B163" i="5"/>
  <c r="I155" i="5"/>
  <c r="H155" i="5"/>
  <c r="G155" i="5"/>
  <c r="F155" i="5"/>
  <c r="E155" i="5"/>
  <c r="C155" i="5"/>
  <c r="D155" i="5" s="1"/>
  <c r="I154" i="5"/>
  <c r="H154" i="5"/>
  <c r="G154" i="5"/>
  <c r="F154" i="5"/>
  <c r="E154" i="5"/>
  <c r="D154" i="5"/>
  <c r="C154" i="5"/>
  <c r="I153" i="5"/>
  <c r="H153" i="5"/>
  <c r="G153" i="5"/>
  <c r="F153" i="5"/>
  <c r="E153" i="5"/>
  <c r="D153" i="5"/>
  <c r="C153" i="5"/>
  <c r="I152" i="5"/>
  <c r="H152" i="5"/>
  <c r="G152" i="5"/>
  <c r="F152" i="5"/>
  <c r="E152" i="5"/>
  <c r="C152" i="5"/>
  <c r="D152" i="5" s="1"/>
  <c r="I151" i="5"/>
  <c r="H151" i="5"/>
  <c r="G151" i="5"/>
  <c r="F151" i="5"/>
  <c r="E151" i="5"/>
  <c r="D151" i="5"/>
  <c r="C151" i="5"/>
  <c r="I150" i="5"/>
  <c r="H150" i="5"/>
  <c r="G150" i="5"/>
  <c r="F150" i="5"/>
  <c r="E150" i="5"/>
  <c r="C150" i="5"/>
  <c r="D150" i="5" s="1"/>
  <c r="D136" i="5"/>
  <c r="B133" i="5"/>
  <c r="A133" i="5"/>
  <c r="B132" i="5"/>
  <c r="C126" i="5"/>
  <c r="A115" i="5"/>
  <c r="G114" i="5"/>
  <c r="I108" i="5" s="1"/>
  <c r="A114" i="5"/>
  <c r="C108" i="5"/>
  <c r="E169" i="5" s="1"/>
  <c r="H169" i="5" s="1"/>
  <c r="B108" i="5"/>
  <c r="B184" i="5" s="1"/>
  <c r="A108" i="5"/>
  <c r="A132" i="5" s="1"/>
  <c r="E100" i="5"/>
  <c r="A100" i="5"/>
  <c r="H100" i="5" s="1"/>
  <c r="J99" i="5"/>
  <c r="A99" i="5"/>
  <c r="H99" i="5" s="1"/>
  <c r="H98" i="5"/>
  <c r="C98" i="5" a="1"/>
  <c r="C98" i="5" s="1"/>
  <c r="D98" i="5" s="1"/>
  <c r="A98" i="5"/>
  <c r="A97" i="5"/>
  <c r="H97" i="5" s="1"/>
  <c r="H96" i="5"/>
  <c r="A96" i="5"/>
  <c r="C96" i="5" s="1" a="1"/>
  <c r="C96" i="5" s="1"/>
  <c r="D96" i="5" s="1"/>
  <c r="I95" i="5"/>
  <c r="A95" i="5"/>
  <c r="H95" i="5" s="1"/>
  <c r="H94" i="5"/>
  <c r="A94" i="5"/>
  <c r="E94" i="5" s="1"/>
  <c r="H93" i="5"/>
  <c r="A93" i="5"/>
  <c r="C93" i="5" s="1" a="1"/>
  <c r="C93" i="5" s="1"/>
  <c r="D93" i="5" s="1"/>
  <c r="E92" i="5"/>
  <c r="A92" i="5"/>
  <c r="H92" i="5" s="1"/>
  <c r="J91" i="5"/>
  <c r="A91" i="5"/>
  <c r="H91" i="5" s="1"/>
  <c r="H90" i="5"/>
  <c r="C90" i="5" a="1"/>
  <c r="C90" i="5" s="1"/>
  <c r="D90" i="5" s="1"/>
  <c r="A90" i="5"/>
  <c r="E90" i="5" s="1"/>
  <c r="A89" i="5"/>
  <c r="H89" i="5" s="1"/>
  <c r="H88" i="5"/>
  <c r="A88" i="5"/>
  <c r="A87" i="5"/>
  <c r="H87" i="5" s="1"/>
  <c r="H86" i="5"/>
  <c r="A86" i="5"/>
  <c r="H85" i="5"/>
  <c r="A85" i="5"/>
  <c r="C85" i="5" s="1" a="1"/>
  <c r="C85" i="5" s="1"/>
  <c r="D85" i="5" s="1"/>
  <c r="A84" i="5"/>
  <c r="H84" i="5" s="1"/>
  <c r="A83" i="5"/>
  <c r="H83" i="5" s="1"/>
  <c r="H82" i="5"/>
  <c r="C82" i="5" a="1"/>
  <c r="C82" i="5" s="1"/>
  <c r="D82" i="5" s="1"/>
  <c r="A82" i="5"/>
  <c r="A81" i="5"/>
  <c r="H81" i="5" s="1"/>
  <c r="H80" i="5"/>
  <c r="A80" i="5"/>
  <c r="A79" i="5"/>
  <c r="H79" i="5" s="1"/>
  <c r="H78" i="5"/>
  <c r="A78" i="5"/>
  <c r="H77" i="5"/>
  <c r="A77" i="5"/>
  <c r="C77" i="5" s="1" a="1"/>
  <c r="C77" i="5" s="1"/>
  <c r="D77" i="5" s="1"/>
  <c r="A76" i="5"/>
  <c r="H76" i="5" s="1"/>
  <c r="A75" i="5"/>
  <c r="H75" i="5" s="1"/>
  <c r="H74" i="5"/>
  <c r="C74" i="5" a="1"/>
  <c r="C74" i="5" s="1"/>
  <c r="D74" i="5" s="1"/>
  <c r="A74" i="5"/>
  <c r="A73" i="5"/>
  <c r="H73" i="5" s="1"/>
  <c r="H72" i="5"/>
  <c r="A72" i="5"/>
  <c r="A71" i="5"/>
  <c r="H71" i="5" s="1"/>
  <c r="H70" i="5"/>
  <c r="A70" i="5"/>
  <c r="H69" i="5"/>
  <c r="A69" i="5"/>
  <c r="C69" i="5" s="1" a="1"/>
  <c r="C69" i="5" s="1"/>
  <c r="D69" i="5" s="1"/>
  <c r="A68" i="5"/>
  <c r="A67" i="5"/>
  <c r="A66" i="5"/>
  <c r="C65" i="5" a="1"/>
  <c r="C65" i="5" s="1"/>
  <c r="D65" i="5" s="1"/>
  <c r="A65" i="5"/>
  <c r="H65" i="5" s="1"/>
  <c r="H64" i="5"/>
  <c r="A64" i="5"/>
  <c r="H63" i="5"/>
  <c r="A63" i="5"/>
  <c r="E63" i="5" s="1"/>
  <c r="A62" i="5"/>
  <c r="H62" i="5" s="1"/>
  <c r="A61" i="5"/>
  <c r="C61" i="5" s="1" a="1"/>
  <c r="C61" i="5" s="1"/>
  <c r="D61" i="5" s="1"/>
  <c r="H60" i="5"/>
  <c r="A60" i="5"/>
  <c r="C60" i="5" s="1" a="1"/>
  <c r="C60" i="5" s="1"/>
  <c r="D60" i="5" s="1"/>
  <c r="D54" i="5"/>
  <c r="A54" i="5"/>
  <c r="J100" i="5" s="1"/>
  <c r="D53" i="5"/>
  <c r="B53" i="5"/>
  <c r="B99" i="5" s="1"/>
  <c r="A53" i="5"/>
  <c r="I99" i="5" s="1"/>
  <c r="K99" i="5" s="1"/>
  <c r="G52" i="5" a="1"/>
  <c r="G52" i="5" s="1"/>
  <c r="D52" i="5"/>
  <c r="A52" i="5"/>
  <c r="J98" i="5" s="1"/>
  <c r="D51" i="5"/>
  <c r="A51" i="5"/>
  <c r="H51" i="5" s="1"/>
  <c r="G50" i="5" a="1"/>
  <c r="G50" i="5" s="1"/>
  <c r="D50" i="5"/>
  <c r="A50" i="5"/>
  <c r="B50" i="5" s="1"/>
  <c r="B96" i="5" s="1"/>
  <c r="D49" i="5"/>
  <c r="A49" i="5"/>
  <c r="G49" i="5" s="1" a="1"/>
  <c r="G49" i="5" s="1"/>
  <c r="I48" i="5"/>
  <c r="G48" i="5" a="1"/>
  <c r="G48" i="5" s="1"/>
  <c r="D48" i="5"/>
  <c r="B48" i="5"/>
  <c r="B94" i="5" s="1"/>
  <c r="A48" i="5"/>
  <c r="J94" i="5" s="1"/>
  <c r="E47" i="5"/>
  <c r="D47" i="5"/>
  <c r="A47" i="5"/>
  <c r="J47" i="5" s="1"/>
  <c r="H46" i="5"/>
  <c r="D46" i="5"/>
  <c r="A46" i="5"/>
  <c r="G46" i="5" s="1" a="1"/>
  <c r="G46" i="5" s="1"/>
  <c r="J45" i="5"/>
  <c r="G45" i="5"/>
  <c r="G45" i="5" a="1"/>
  <c r="D45" i="5"/>
  <c r="A45" i="5"/>
  <c r="I91" i="5" s="1"/>
  <c r="K91" i="5" s="1"/>
  <c r="F44" i="5"/>
  <c r="D44" i="5"/>
  <c r="A44" i="5"/>
  <c r="J44" i="5" s="1"/>
  <c r="I43" i="5"/>
  <c r="D43" i="5"/>
  <c r="A43" i="5"/>
  <c r="H43" i="5" s="1"/>
  <c r="D42" i="5"/>
  <c r="A42" i="5"/>
  <c r="B42" i="5" s="1"/>
  <c r="B88" i="5" s="1"/>
  <c r="G41" i="5" a="1"/>
  <c r="G41" i="5" s="1"/>
  <c r="D41" i="5"/>
  <c r="A41" i="5"/>
  <c r="C170" i="5" s="1"/>
  <c r="D40" i="5"/>
  <c r="A40" i="5"/>
  <c r="G39" i="5"/>
  <c r="G39" i="5" a="1"/>
  <c r="F39" i="5"/>
  <c r="D39" i="5"/>
  <c r="A39" i="5"/>
  <c r="D38" i="5"/>
  <c r="A38" i="5"/>
  <c r="D37" i="5"/>
  <c r="B37" i="5"/>
  <c r="B83" i="5" s="1"/>
  <c r="A37" i="5"/>
  <c r="G36" i="5" a="1"/>
  <c r="G36" i="5" s="1"/>
  <c r="D36" i="5"/>
  <c r="A36" i="5"/>
  <c r="D35" i="5"/>
  <c r="A35" i="5"/>
  <c r="G34" i="5" a="1"/>
  <c r="G34" i="5" s="1"/>
  <c r="D34" i="5"/>
  <c r="F34" i="5" s="1"/>
  <c r="A34" i="5"/>
  <c r="B34" i="5" s="1"/>
  <c r="B80" i="5" s="1"/>
  <c r="D33" i="5"/>
  <c r="A33" i="5"/>
  <c r="G33" i="5" s="1" a="1"/>
  <c r="G33" i="5" s="1"/>
  <c r="G32" i="5" a="1"/>
  <c r="G32" i="5" s="1"/>
  <c r="D32" i="5"/>
  <c r="F32" i="5" s="1"/>
  <c r="B32" i="5"/>
  <c r="A32" i="5"/>
  <c r="G31" i="5" a="1"/>
  <c r="G31" i="5" s="1"/>
  <c r="D31" i="5"/>
  <c r="A31" i="5"/>
  <c r="D30" i="5"/>
  <c r="A30" i="5"/>
  <c r="G30" i="5" s="1" a="1"/>
  <c r="G30" i="5" s="1"/>
  <c r="G29" i="5"/>
  <c r="G29" i="5" a="1"/>
  <c r="D29" i="5"/>
  <c r="F29" i="5" s="1"/>
  <c r="A29" i="5"/>
  <c r="F28" i="5"/>
  <c r="D28" i="5"/>
  <c r="A28" i="5"/>
  <c r="D27" i="5"/>
  <c r="A27" i="5"/>
  <c r="G26" i="5" a="1"/>
  <c r="G26" i="5" s="1"/>
  <c r="E26" i="5"/>
  <c r="D26" i="5"/>
  <c r="A26" i="5"/>
  <c r="J26" i="5" s="1"/>
  <c r="G25" i="5" a="1"/>
  <c r="G25" i="5" s="1"/>
  <c r="D25" i="5"/>
  <c r="A25" i="5"/>
  <c r="D24" i="5"/>
  <c r="A24" i="5"/>
  <c r="G23" i="5"/>
  <c r="G23" i="5" a="1"/>
  <c r="F23" i="5"/>
  <c r="D23" i="5"/>
  <c r="A23" i="5"/>
  <c r="D22" i="5"/>
  <c r="A22" i="5"/>
  <c r="D21" i="5"/>
  <c r="B21" i="5"/>
  <c r="A21" i="5"/>
  <c r="G20" i="5" a="1"/>
  <c r="G20" i="5" s="1"/>
  <c r="D20" i="5"/>
  <c r="A20" i="5"/>
  <c r="D19" i="5"/>
  <c r="A19" i="5"/>
  <c r="G18" i="5" a="1"/>
  <c r="G18" i="5" s="1"/>
  <c r="D18" i="5"/>
  <c r="F18" i="5" s="1"/>
  <c r="A18" i="5"/>
  <c r="B18" i="5" s="1"/>
  <c r="J17" i="5"/>
  <c r="I17" i="5"/>
  <c r="K17" i="5" s="1"/>
  <c r="D17" i="5"/>
  <c r="A17" i="5"/>
  <c r="G17" i="5" s="1" a="1"/>
  <c r="G17" i="5" s="1"/>
  <c r="J16" i="5"/>
  <c r="I16" i="5"/>
  <c r="K16" i="5" s="1"/>
  <c r="G16" i="5" a="1"/>
  <c r="G16" i="5" s="1"/>
  <c r="F16" i="5"/>
  <c r="E16" i="5"/>
  <c r="D16" i="5"/>
  <c r="B16" i="5"/>
  <c r="B62" i="5" s="1"/>
  <c r="A16" i="5"/>
  <c r="J62" i="5" s="1"/>
  <c r="G15" i="5" a="1"/>
  <c r="G15" i="5" s="1"/>
  <c r="E15" i="5"/>
  <c r="D15" i="5"/>
  <c r="A15" i="5"/>
  <c r="J15" i="5" s="1"/>
  <c r="J14" i="5"/>
  <c r="H14" i="5"/>
  <c r="D14" i="5"/>
  <c r="C169" i="5" s="1"/>
  <c r="A14" i="5"/>
  <c r="G14" i="5" s="1" a="1"/>
  <c r="G14" i="5" s="1"/>
  <c r="H9" i="5"/>
  <c r="C64" i="5" s="1" a="1"/>
  <c r="C64" i="5" s="1"/>
  <c r="D64" i="5" s="1"/>
  <c r="G8" i="5"/>
  <c r="H7" i="5"/>
  <c r="E96" i="5" s="1"/>
  <c r="G7" i="5"/>
  <c r="H6" i="5"/>
  <c r="F21" i="5" s="1"/>
  <c r="G6" i="5"/>
  <c r="E6" i="5"/>
  <c r="B26" i="5" s="1"/>
  <c r="B72" i="5" s="1"/>
  <c r="H5" i="5"/>
  <c r="F37" i="5" s="1"/>
  <c r="G5" i="5"/>
  <c r="L150" i="5"/>
  <c r="M150" i="5"/>
  <c r="N150" i="5"/>
  <c r="P150" i="5" s="1"/>
  <c r="O150" i="5"/>
  <c r="L151" i="5"/>
  <c r="M151" i="5"/>
  <c r="N151" i="5"/>
  <c r="P151" i="5" s="1"/>
  <c r="B193" i="5"/>
  <c r="A194" i="5"/>
  <c r="B194" i="5"/>
  <c r="C194" i="5"/>
  <c r="B195" i="5"/>
  <c r="B196" i="5"/>
  <c r="D142" i="5" l="1"/>
  <c r="D141" i="5"/>
  <c r="D140" i="5"/>
  <c r="D139" i="5"/>
  <c r="D138" i="5"/>
  <c r="E42" i="5" s="1"/>
  <c r="D137" i="5"/>
  <c r="H170" i="5"/>
  <c r="K43" i="5"/>
  <c r="H27" i="5"/>
  <c r="K95" i="5"/>
  <c r="N49" i="5" s="1"/>
  <c r="H21" i="5"/>
  <c r="H30" i="5"/>
  <c r="H18" i="5"/>
  <c r="H28" i="5"/>
  <c r="H20" i="5"/>
  <c r="D169" i="5"/>
  <c r="I169" i="5" s="1"/>
  <c r="J169" i="5" s="1"/>
  <c r="H23" i="5"/>
  <c r="H36" i="5"/>
  <c r="J28" i="5"/>
  <c r="E23" i="5"/>
  <c r="E69" i="5" s="1"/>
  <c r="J18" i="5"/>
  <c r="B64" i="5"/>
  <c r="E74" i="5"/>
  <c r="J83" i="5"/>
  <c r="M16" i="5"/>
  <c r="I14" i="5"/>
  <c r="K14" i="5" s="1"/>
  <c r="H17" i="5"/>
  <c r="B19" i="5"/>
  <c r="B65" i="5" s="1"/>
  <c r="J65" i="5" s="1"/>
  <c r="F26" i="5"/>
  <c r="H33" i="5"/>
  <c r="B35" i="5"/>
  <c r="B81" i="5" s="1"/>
  <c r="J81" i="5" s="1"/>
  <c r="F42" i="5"/>
  <c r="J43" i="5"/>
  <c r="E45" i="5"/>
  <c r="I46" i="5"/>
  <c r="H49" i="5"/>
  <c r="B51" i="5"/>
  <c r="B97" i="5" s="1"/>
  <c r="C66" i="5" a="1"/>
  <c r="C66" i="5" s="1"/>
  <c r="E77" i="5"/>
  <c r="E93" i="5"/>
  <c r="I96" i="5"/>
  <c r="K96" i="5" s="1"/>
  <c r="N50" i="5" s="1"/>
  <c r="F170" i="5"/>
  <c r="G170" i="5" s="1"/>
  <c r="E184" i="5"/>
  <c r="H184" i="5" s="1"/>
  <c r="B38" i="5"/>
  <c r="F45" i="5"/>
  <c r="J46" i="5"/>
  <c r="E48" i="5"/>
  <c r="I49" i="5"/>
  <c r="K49" i="5" s="1"/>
  <c r="H52" i="5"/>
  <c r="B54" i="5"/>
  <c r="B100" i="5" s="1"/>
  <c r="E61" i="5"/>
  <c r="I64" i="5"/>
  <c r="C71" i="5" a="1"/>
  <c r="C71" i="5" s="1"/>
  <c r="D71" i="5" s="1"/>
  <c r="E71" i="5" s="1"/>
  <c r="J72" i="5"/>
  <c r="C79" i="5" a="1"/>
  <c r="C79" i="5" s="1"/>
  <c r="D79" i="5" s="1"/>
  <c r="C87" i="5" a="1"/>
  <c r="C87" i="5" s="1"/>
  <c r="D87" i="5" s="1"/>
  <c r="E87" i="5" s="1"/>
  <c r="C95" i="5" a="1"/>
  <c r="C95" i="5" s="1"/>
  <c r="D95" i="5" s="1"/>
  <c r="J96" i="5"/>
  <c r="F184" i="5"/>
  <c r="G184" i="5" s="1"/>
  <c r="B22" i="5"/>
  <c r="E19" i="5"/>
  <c r="B25" i="5"/>
  <c r="B71" i="5" s="1"/>
  <c r="E35" i="5"/>
  <c r="H39" i="5"/>
  <c r="B41" i="5"/>
  <c r="D170" i="5" s="1"/>
  <c r="I170" i="5" s="1"/>
  <c r="J170" i="5" s="1"/>
  <c r="H41" i="5" s="1"/>
  <c r="F48" i="5"/>
  <c r="J49" i="5"/>
  <c r="E51" i="5"/>
  <c r="I52" i="5"/>
  <c r="K52" i="5" s="1"/>
  <c r="H61" i="5"/>
  <c r="C63" i="5" a="1"/>
  <c r="C63" i="5" s="1"/>
  <c r="D63" i="5" s="1"/>
  <c r="J64" i="5"/>
  <c r="I93" i="5"/>
  <c r="E98" i="5"/>
  <c r="B169" i="5"/>
  <c r="H42" i="5"/>
  <c r="B44" i="5"/>
  <c r="B90" i="5" s="1"/>
  <c r="F51" i="5"/>
  <c r="J52" i="5"/>
  <c r="E54" i="5"/>
  <c r="I61" i="5"/>
  <c r="C68" i="5" a="1"/>
  <c r="C68" i="5" s="1"/>
  <c r="D68" i="5" s="1"/>
  <c r="C76" i="5" a="1"/>
  <c r="C76" i="5" s="1"/>
  <c r="D76" i="5" s="1"/>
  <c r="E76" i="5" s="1"/>
  <c r="C84" i="5" a="1"/>
  <c r="C84" i="5" s="1"/>
  <c r="D84" i="5" s="1"/>
  <c r="E84" i="5" s="1"/>
  <c r="C92" i="5" a="1"/>
  <c r="C92" i="5" s="1"/>
  <c r="D92" i="5" s="1"/>
  <c r="J93" i="5"/>
  <c r="C100" i="5" a="1"/>
  <c r="C100" i="5" s="1"/>
  <c r="D100" i="5" s="1"/>
  <c r="F19" i="5"/>
  <c r="F35" i="5"/>
  <c r="B15" i="5"/>
  <c r="B61" i="5" s="1"/>
  <c r="G19" i="5" a="1"/>
  <c r="G19" i="5" s="1"/>
  <c r="F22" i="5"/>
  <c r="J23" i="5"/>
  <c r="E25" i="5"/>
  <c r="I26" i="5"/>
  <c r="K26" i="5" s="1"/>
  <c r="H29" i="5"/>
  <c r="B31" i="5"/>
  <c r="B77" i="5" s="1"/>
  <c r="J77" i="5" s="1"/>
  <c r="G35" i="5" a="1"/>
  <c r="G35" i="5" s="1"/>
  <c r="F38" i="5"/>
  <c r="E41" i="5"/>
  <c r="H45" i="5"/>
  <c r="B47" i="5"/>
  <c r="B93" i="5" s="1"/>
  <c r="G51" i="5" a="1"/>
  <c r="G51" i="5" s="1"/>
  <c r="F54" i="5"/>
  <c r="J61" i="5"/>
  <c r="E79" i="5"/>
  <c r="I90" i="5"/>
  <c r="E95" i="5"/>
  <c r="I98" i="5"/>
  <c r="K98" i="5" s="1"/>
  <c r="B28" i="5"/>
  <c r="B74" i="5" s="1"/>
  <c r="I74" i="5" s="1"/>
  <c r="H16" i="5"/>
  <c r="G22" i="5" a="1"/>
  <c r="G22" i="5" s="1"/>
  <c r="F25" i="5"/>
  <c r="E28" i="5"/>
  <c r="I29" i="5"/>
  <c r="H32" i="5"/>
  <c r="G38" i="5" a="1"/>
  <c r="G38" i="5" s="1"/>
  <c r="F41" i="5"/>
  <c r="J42" i="5"/>
  <c r="E44" i="5"/>
  <c r="I45" i="5"/>
  <c r="K45" i="5" s="1"/>
  <c r="H48" i="5"/>
  <c r="G54" i="5" a="1"/>
  <c r="G54" i="5" s="1"/>
  <c r="C73" i="5" a="1"/>
  <c r="C73" i="5" s="1"/>
  <c r="D73" i="5" s="1"/>
  <c r="C81" i="5" a="1"/>
  <c r="C81" i="5" s="1"/>
  <c r="D81" i="5" s="1"/>
  <c r="C89" i="5" a="1"/>
  <c r="C89" i="5" s="1"/>
  <c r="D89" i="5" s="1"/>
  <c r="J90" i="5"/>
  <c r="C97" i="5" a="1"/>
  <c r="C97" i="5" s="1"/>
  <c r="D97" i="5" s="1"/>
  <c r="B78" i="5"/>
  <c r="J78" i="5" s="1"/>
  <c r="F15" i="5"/>
  <c r="E18" i="5"/>
  <c r="E64" i="5" s="1"/>
  <c r="H22" i="5"/>
  <c r="B24" i="5"/>
  <c r="I24" i="5" s="1"/>
  <c r="G28" i="5" a="1"/>
  <c r="G28" i="5" s="1"/>
  <c r="F31" i="5"/>
  <c r="J32" i="5"/>
  <c r="E34" i="5"/>
  <c r="H38" i="5"/>
  <c r="B40" i="5"/>
  <c r="G44" i="5" a="1"/>
  <c r="G44" i="5" s="1"/>
  <c r="F47" i="5"/>
  <c r="J48" i="5"/>
  <c r="K48" i="5" s="1"/>
  <c r="M48" i="5" s="1"/>
  <c r="O48" i="5" s="1"/>
  <c r="P48" i="5" s="1"/>
  <c r="E50" i="5"/>
  <c r="I51" i="5"/>
  <c r="K51" i="5" s="1"/>
  <c r="M51" i="5" s="1"/>
  <c r="H54" i="5"/>
  <c r="E60" i="5"/>
  <c r="I63" i="5"/>
  <c r="K63" i="5" s="1"/>
  <c r="C70" i="5" a="1"/>
  <c r="C70" i="5" s="1"/>
  <c r="D70" i="5" s="1"/>
  <c r="E70" i="5" s="1"/>
  <c r="C78" i="5" a="1"/>
  <c r="C78" i="5" s="1"/>
  <c r="D78" i="5" s="1"/>
  <c r="E78" i="5" s="1"/>
  <c r="C86" i="5" a="1"/>
  <c r="C86" i="5" s="1"/>
  <c r="D86" i="5" s="1"/>
  <c r="E86" i="5" s="1"/>
  <c r="C94" i="5" a="1"/>
  <c r="C94" i="5" s="1"/>
  <c r="D94" i="5" s="1"/>
  <c r="J95" i="5"/>
  <c r="B27" i="5"/>
  <c r="B43" i="5"/>
  <c r="B89" i="5" s="1"/>
  <c r="G47" i="5" a="1"/>
  <c r="G47" i="5" s="1"/>
  <c r="F50" i="5"/>
  <c r="J51" i="5"/>
  <c r="E53" i="5"/>
  <c r="I54" i="5"/>
  <c r="K54" i="5" s="1"/>
  <c r="C62" i="5" a="1"/>
  <c r="C62" i="5" s="1"/>
  <c r="D62" i="5" s="1"/>
  <c r="J63" i="5"/>
  <c r="B67" i="5"/>
  <c r="J67" i="5" s="1"/>
  <c r="E73" i="5"/>
  <c r="E89" i="5"/>
  <c r="I92" i="5"/>
  <c r="E97" i="5"/>
  <c r="I100" i="5"/>
  <c r="K100" i="5" s="1"/>
  <c r="N54" i="5" s="1"/>
  <c r="H35" i="5"/>
  <c r="J19" i="5"/>
  <c r="H25" i="5"/>
  <c r="E40" i="5"/>
  <c r="H44" i="5"/>
  <c r="B46" i="5"/>
  <c r="B92" i="5" s="1"/>
  <c r="F53" i="5"/>
  <c r="J54" i="5"/>
  <c r="I60" i="5"/>
  <c r="K60" i="5" s="1"/>
  <c r="N14" i="5" s="1"/>
  <c r="E65" i="5"/>
  <c r="C67" i="5" a="1"/>
  <c r="C67" i="5" s="1"/>
  <c r="D67" i="5" s="1"/>
  <c r="C75" i="5" a="1"/>
  <c r="C75" i="5" s="1"/>
  <c r="D75" i="5" s="1"/>
  <c r="C83" i="5" a="1"/>
  <c r="C83" i="5" s="1"/>
  <c r="D83" i="5" s="1"/>
  <c r="C91" i="5" a="1"/>
  <c r="C91" i="5" s="1"/>
  <c r="D91" i="5" s="1"/>
  <c r="J92" i="5"/>
  <c r="C99" i="5" a="1"/>
  <c r="C99" i="5" s="1"/>
  <c r="D99" i="5" s="1"/>
  <c r="H19" i="5"/>
  <c r="B14" i="5"/>
  <c r="B60" i="5" s="1"/>
  <c r="B30" i="5"/>
  <c r="B76" i="5" s="1"/>
  <c r="I76" i="5" s="1"/>
  <c r="H15" i="5"/>
  <c r="B17" i="5"/>
  <c r="B63" i="5" s="1"/>
  <c r="G21" i="5" a="1"/>
  <c r="G21" i="5" s="1"/>
  <c r="F24" i="5"/>
  <c r="J25" i="5"/>
  <c r="H31" i="5"/>
  <c r="B33" i="5"/>
  <c r="G37" i="5" a="1"/>
  <c r="G37" i="5" s="1"/>
  <c r="F40" i="5"/>
  <c r="J41" i="5"/>
  <c r="E43" i="5"/>
  <c r="I44" i="5"/>
  <c r="K44" i="5" s="1"/>
  <c r="H47" i="5"/>
  <c r="B49" i="5"/>
  <c r="B95" i="5" s="1"/>
  <c r="G53" i="5" a="1"/>
  <c r="G53" i="5" s="1"/>
  <c r="J60" i="5"/>
  <c r="I89" i="5"/>
  <c r="K89" i="5" s="1"/>
  <c r="N43" i="5" s="1"/>
  <c r="I97" i="5"/>
  <c r="E24" i="5"/>
  <c r="I15" i="5"/>
  <c r="K15" i="5" s="1"/>
  <c r="B20" i="5"/>
  <c r="G24" i="5" a="1"/>
  <c r="G24" i="5" s="1"/>
  <c r="F27" i="5"/>
  <c r="E30" i="5"/>
  <c r="I31" i="5"/>
  <c r="H34" i="5"/>
  <c r="B36" i="5"/>
  <c r="I36" i="5" s="1"/>
  <c r="G40" i="5" a="1"/>
  <c r="G40" i="5" s="1"/>
  <c r="F43" i="5"/>
  <c r="E46" i="5"/>
  <c r="I47" i="5"/>
  <c r="K47" i="5" s="1"/>
  <c r="M47" i="5" s="1"/>
  <c r="H50" i="5"/>
  <c r="B52" i="5"/>
  <c r="B98" i="5" s="1"/>
  <c r="E62" i="5"/>
  <c r="I65" i="5"/>
  <c r="C72" i="5" a="1"/>
  <c r="C72" i="5" s="1"/>
  <c r="D72" i="5" s="1"/>
  <c r="E72" i="5" s="1"/>
  <c r="C80" i="5" a="1"/>
  <c r="C80" i="5" s="1"/>
  <c r="D80" i="5" s="1"/>
  <c r="E80" i="5" s="1"/>
  <c r="C88" i="5" a="1"/>
  <c r="C88" i="5" s="1"/>
  <c r="D88" i="5" s="1"/>
  <c r="E88" i="5" s="1"/>
  <c r="J89" i="5"/>
  <c r="J97" i="5"/>
  <c r="E14" i="5"/>
  <c r="O151" i="5"/>
  <c r="I19" i="5" s="1"/>
  <c r="K19" i="5" s="1"/>
  <c r="F14" i="5"/>
  <c r="E17" i="5"/>
  <c r="B23" i="5"/>
  <c r="G27" i="5" a="1"/>
  <c r="G27" i="5" s="1"/>
  <c r="F30" i="5"/>
  <c r="E33" i="5"/>
  <c r="I34" i="5"/>
  <c r="K34" i="5" s="1"/>
  <c r="H37" i="5"/>
  <c r="B39" i="5"/>
  <c r="G43" i="5" a="1"/>
  <c r="G43" i="5" s="1"/>
  <c r="F46" i="5"/>
  <c r="E49" i="5"/>
  <c r="I50" i="5"/>
  <c r="H53" i="5"/>
  <c r="E75" i="5"/>
  <c r="E83" i="5"/>
  <c r="E91" i="5"/>
  <c r="I94" i="5"/>
  <c r="K94" i="5" s="1"/>
  <c r="N48" i="5" s="1"/>
  <c r="E99" i="5"/>
  <c r="F101" i="5"/>
  <c r="B170" i="5"/>
  <c r="H24" i="5"/>
  <c r="F33" i="5"/>
  <c r="J34" i="5"/>
  <c r="E36" i="5"/>
  <c r="I37" i="5"/>
  <c r="H40" i="5"/>
  <c r="F49" i="5"/>
  <c r="J50" i="5"/>
  <c r="E52" i="5"/>
  <c r="I53" i="5"/>
  <c r="K53" i="5" s="1"/>
  <c r="M53" i="5" s="1"/>
  <c r="I62" i="5"/>
  <c r="K62" i="5" s="1"/>
  <c r="G101" i="5"/>
  <c r="F17" i="5"/>
  <c r="M17" i="5" s="1"/>
  <c r="O17" i="5" s="1"/>
  <c r="P17" i="5" s="1"/>
  <c r="F20" i="5"/>
  <c r="F55" i="5" s="1"/>
  <c r="J21" i="5"/>
  <c r="B29" i="5"/>
  <c r="F36" i="5"/>
  <c r="J37" i="5"/>
  <c r="B45" i="5"/>
  <c r="B91" i="5" s="1"/>
  <c r="F52" i="5"/>
  <c r="J53" i="5"/>
  <c r="N17" i="5"/>
  <c r="M52" i="5"/>
  <c r="N52" i="5"/>
  <c r="N53" i="5"/>
  <c r="N16" i="5"/>
  <c r="M43" i="5"/>
  <c r="N45" i="5"/>
  <c r="M14" i="5"/>
  <c r="A4" i="4"/>
  <c r="B85" i="5" l="1"/>
  <c r="I39" i="5"/>
  <c r="K92" i="5"/>
  <c r="N46" i="5" s="1"/>
  <c r="K64" i="5"/>
  <c r="I88" i="5"/>
  <c r="K88" i="5" s="1"/>
  <c r="I30" i="5"/>
  <c r="O53" i="5"/>
  <c r="P53" i="5" s="1"/>
  <c r="J20" i="5"/>
  <c r="J55" i="5" s="1"/>
  <c r="B66" i="5"/>
  <c r="I20" i="5"/>
  <c r="K20" i="5" s="1"/>
  <c r="I33" i="5"/>
  <c r="B79" i="5"/>
  <c r="J76" i="5"/>
  <c r="K76" i="5" s="1"/>
  <c r="N30" i="5" s="1"/>
  <c r="J35" i="5"/>
  <c r="E85" i="5"/>
  <c r="E29" i="5"/>
  <c r="K65" i="5"/>
  <c r="B73" i="5"/>
  <c r="I27" i="5"/>
  <c r="J27" i="5"/>
  <c r="I42" i="5"/>
  <c r="K42" i="5" s="1"/>
  <c r="M42" i="5" s="1"/>
  <c r="K93" i="5"/>
  <c r="N47" i="5" s="1"/>
  <c r="O47" i="5" s="1"/>
  <c r="P47" i="5" s="1"/>
  <c r="J33" i="5"/>
  <c r="I80" i="5"/>
  <c r="E82" i="5"/>
  <c r="J172" i="5"/>
  <c r="I32" i="5"/>
  <c r="K32" i="5" s="1"/>
  <c r="O16" i="5"/>
  <c r="P16" i="5" s="1"/>
  <c r="I28" i="5"/>
  <c r="K28" i="5" s="1"/>
  <c r="E81" i="5"/>
  <c r="B86" i="5"/>
  <c r="J40" i="5"/>
  <c r="I71" i="5"/>
  <c r="K97" i="5"/>
  <c r="N51" i="5" s="1"/>
  <c r="O51" i="5" s="1"/>
  <c r="P51" i="5" s="1"/>
  <c r="E27" i="5"/>
  <c r="J74" i="5"/>
  <c r="K74" i="5" s="1"/>
  <c r="J39" i="5"/>
  <c r="I77" i="5"/>
  <c r="K77" i="5" s="1"/>
  <c r="I72" i="5"/>
  <c r="K72" i="5" s="1"/>
  <c r="I21" i="5"/>
  <c r="K21" i="5" s="1"/>
  <c r="M21" i="5" s="1"/>
  <c r="H26" i="5"/>
  <c r="H55" i="5" s="1"/>
  <c r="I35" i="5"/>
  <c r="K35" i="5" s="1"/>
  <c r="I78" i="5"/>
  <c r="K78" i="5" s="1"/>
  <c r="B69" i="5"/>
  <c r="I23" i="5"/>
  <c r="K23" i="5" s="1"/>
  <c r="I81" i="5"/>
  <c r="K81" i="5" s="1"/>
  <c r="K90" i="5"/>
  <c r="I83" i="5"/>
  <c r="K83" i="5" s="1"/>
  <c r="N37" i="5" s="1"/>
  <c r="E31" i="5"/>
  <c r="E32" i="5"/>
  <c r="M32" i="5" s="1"/>
  <c r="I41" i="5"/>
  <c r="K41" i="5" s="1"/>
  <c r="M41" i="5" s="1"/>
  <c r="B87" i="5"/>
  <c r="E20" i="5"/>
  <c r="E21" i="5"/>
  <c r="E67" i="5" s="1"/>
  <c r="I22" i="5"/>
  <c r="J22" i="5"/>
  <c r="B68" i="5"/>
  <c r="G42" i="5" a="1"/>
  <c r="G42" i="5" s="1"/>
  <c r="G55" i="5" s="1"/>
  <c r="M45" i="5"/>
  <c r="O45" i="5" s="1"/>
  <c r="P45" i="5" s="1"/>
  <c r="J31" i="5"/>
  <c r="K31" i="5" s="1"/>
  <c r="M31" i="5" s="1"/>
  <c r="O31" i="5" s="1"/>
  <c r="P31" i="5" s="1"/>
  <c r="I40" i="5"/>
  <c r="K40" i="5" s="1"/>
  <c r="E37" i="5"/>
  <c r="E22" i="5"/>
  <c r="E68" i="5" s="1"/>
  <c r="E38" i="5"/>
  <c r="J71" i="5"/>
  <c r="J38" i="5"/>
  <c r="I38" i="5"/>
  <c r="K38" i="5" s="1"/>
  <c r="M38" i="5" s="1"/>
  <c r="B84" i="5"/>
  <c r="K37" i="5"/>
  <c r="B70" i="5"/>
  <c r="J24" i="5"/>
  <c r="K24" i="5" s="1"/>
  <c r="M24" i="5" s="1"/>
  <c r="K61" i="5"/>
  <c r="N15" i="5" s="1"/>
  <c r="O15" i="5" s="1"/>
  <c r="P15" i="5" s="1"/>
  <c r="J88" i="5"/>
  <c r="J30" i="5"/>
  <c r="K46" i="5"/>
  <c r="M46" i="5" s="1"/>
  <c r="O46" i="5" s="1"/>
  <c r="P46" i="5" s="1"/>
  <c r="I18" i="5"/>
  <c r="O14" i="5"/>
  <c r="P14" i="5" s="1"/>
  <c r="I25" i="5"/>
  <c r="K25" i="5" s="1"/>
  <c r="M25" i="5" s="1"/>
  <c r="E39" i="5"/>
  <c r="B82" i="5"/>
  <c r="J36" i="5"/>
  <c r="K36" i="5" s="1"/>
  <c r="M36" i="5" s="1"/>
  <c r="J29" i="5"/>
  <c r="K29" i="5" s="1"/>
  <c r="M29" i="5" s="1"/>
  <c r="B75" i="5"/>
  <c r="K50" i="5"/>
  <c r="M50" i="5" s="1"/>
  <c r="J80" i="5"/>
  <c r="I67" i="5"/>
  <c r="K67" i="5" s="1"/>
  <c r="M54" i="5"/>
  <c r="O54" i="5" s="1"/>
  <c r="P54" i="5" s="1"/>
  <c r="M23" i="5"/>
  <c r="M44" i="5"/>
  <c r="O44" i="5" s="1"/>
  <c r="P44" i="5" s="1"/>
  <c r="M35" i="5"/>
  <c r="M49" i="5"/>
  <c r="O49" i="5" s="1"/>
  <c r="P49" i="5" s="1"/>
  <c r="O50" i="5"/>
  <c r="P50" i="5" s="1"/>
  <c r="M20" i="5"/>
  <c r="M40" i="5"/>
  <c r="M34" i="5"/>
  <c r="N35" i="5"/>
  <c r="N31" i="5"/>
  <c r="O52" i="5"/>
  <c r="P52" i="5" s="1"/>
  <c r="M28" i="5"/>
  <c r="N44" i="5"/>
  <c r="O43" i="5"/>
  <c r="P43" i="5" s="1"/>
  <c r="C4" i="7"/>
  <c r="K27" i="5" l="1"/>
  <c r="N18" i="5"/>
  <c r="I82" i="5"/>
  <c r="J82" i="5"/>
  <c r="I73" i="5"/>
  <c r="J73" i="5"/>
  <c r="K71" i="5"/>
  <c r="K39" i="5"/>
  <c r="M39" i="5" s="1"/>
  <c r="J85" i="5"/>
  <c r="I85" i="5"/>
  <c r="K85" i="5" s="1"/>
  <c r="N39" i="5" s="1"/>
  <c r="I86" i="5"/>
  <c r="K86" i="5" s="1"/>
  <c r="N40" i="5" s="1"/>
  <c r="O40" i="5" s="1"/>
  <c r="P40" i="5" s="1"/>
  <c r="J86" i="5"/>
  <c r="J69" i="5"/>
  <c r="I69" i="5"/>
  <c r="K69" i="5" s="1"/>
  <c r="N23" i="5" s="1"/>
  <c r="O23" i="5" s="1"/>
  <c r="P23" i="5" s="1"/>
  <c r="K18" i="5"/>
  <c r="I55" i="5"/>
  <c r="I79" i="5"/>
  <c r="J79" i="5"/>
  <c r="J68" i="5"/>
  <c r="I68" i="5"/>
  <c r="K68" i="5" s="1"/>
  <c r="K33" i="5"/>
  <c r="M33" i="5" s="1"/>
  <c r="J75" i="5"/>
  <c r="I75" i="5"/>
  <c r="K75" i="5" s="1"/>
  <c r="N29" i="5" s="1"/>
  <c r="O29" i="5" s="1"/>
  <c r="P29" i="5" s="1"/>
  <c r="K22" i="5"/>
  <c r="M22" i="5" s="1"/>
  <c r="D184" i="5"/>
  <c r="I184" i="5" s="1"/>
  <c r="J184" i="5" s="1"/>
  <c r="J188" i="5" s="1"/>
  <c r="I66" i="5"/>
  <c r="J66" i="5"/>
  <c r="I70" i="5"/>
  <c r="J70" i="5"/>
  <c r="K80" i="5"/>
  <c r="N34" i="5" s="1"/>
  <c r="O34" i="5" s="1"/>
  <c r="P34" i="5" s="1"/>
  <c r="M37" i="5"/>
  <c r="O37" i="5" s="1"/>
  <c r="P37" i="5" s="1"/>
  <c r="E66" i="5"/>
  <c r="E101" i="5" s="1"/>
  <c r="E55" i="5"/>
  <c r="I84" i="5"/>
  <c r="J84" i="5"/>
  <c r="I87" i="5"/>
  <c r="J87" i="5"/>
  <c r="K30" i="5"/>
  <c r="M30" i="5" s="1"/>
  <c r="O30" i="5" s="1"/>
  <c r="P30" i="5" s="1"/>
  <c r="M26" i="5"/>
  <c r="N32" i="5"/>
  <c r="M19" i="5"/>
  <c r="N42" i="5"/>
  <c r="O42" i="5" s="1"/>
  <c r="P42" i="5" s="1"/>
  <c r="N25" i="5"/>
  <c r="O25" i="5" s="1"/>
  <c r="P25" i="5" s="1"/>
  <c r="M27" i="5"/>
  <c r="J195" i="5"/>
  <c r="O35" i="5"/>
  <c r="P35" i="5" s="1"/>
  <c r="O32" i="5"/>
  <c r="P32" i="5" s="1"/>
  <c r="B5" i="7"/>
  <c r="B4" i="7"/>
  <c r="O39" i="5" l="1"/>
  <c r="P39" i="5" s="1"/>
  <c r="K84" i="5"/>
  <c r="N38" i="5" s="1"/>
  <c r="O38" i="5" s="1"/>
  <c r="P38" i="5" s="1"/>
  <c r="K73" i="5"/>
  <c r="N27" i="5" s="1"/>
  <c r="K82" i="5"/>
  <c r="N36" i="5" s="1"/>
  <c r="O36" i="5" s="1"/>
  <c r="P36" i="5" s="1"/>
  <c r="K79" i="5"/>
  <c r="N33" i="5" s="1"/>
  <c r="O33" i="5" s="1"/>
  <c r="P33" i="5" s="1"/>
  <c r="K87" i="5"/>
  <c r="N41" i="5" s="1"/>
  <c r="O41" i="5" s="1"/>
  <c r="P41" i="5" s="1"/>
  <c r="K70" i="5"/>
  <c r="N24" i="5" s="1"/>
  <c r="O24" i="5" s="1"/>
  <c r="P24" i="5" s="1"/>
  <c r="M18" i="5"/>
  <c r="O18" i="5" s="1"/>
  <c r="P18" i="5" s="1"/>
  <c r="K55" i="5"/>
  <c r="M55" i="5" s="1"/>
  <c r="O27" i="5"/>
  <c r="P27" i="5" s="1"/>
  <c r="J101" i="5"/>
  <c r="K66" i="5"/>
  <c r="I101" i="5"/>
  <c r="H66" i="5"/>
  <c r="H101" i="5" s="1"/>
  <c r="H68" i="5"/>
  <c r="N22" i="5" s="1"/>
  <c r="O22" i="5" s="1"/>
  <c r="P22" i="5" s="1"/>
  <c r="H67" i="5"/>
  <c r="N21" i="5" s="1"/>
  <c r="O21" i="5" s="1"/>
  <c r="P21" i="5" s="1"/>
  <c r="N26" i="5"/>
  <c r="O26" i="5" s="1"/>
  <c r="P26" i="5" s="1"/>
  <c r="N28" i="5"/>
  <c r="O28" i="5" s="1"/>
  <c r="P28" i="5" s="1"/>
  <c r="N19" i="5"/>
  <c r="O19" i="5" s="1"/>
  <c r="P19" i="5" s="1"/>
  <c r="C3" i="7"/>
  <c r="B3" i="7"/>
  <c r="K101" i="5" l="1"/>
  <c r="N55" i="5" s="1"/>
  <c r="O55" i="5" s="1"/>
  <c r="P55" i="5" s="1"/>
  <c r="N20" i="5"/>
  <c r="O20" i="5" s="1"/>
  <c r="P20" i="5" s="1"/>
  <c r="B6" i="7"/>
  <c r="C6" i="7" l="1"/>
  <c r="B10" i="7"/>
  <c r="C5" i="7" l="1"/>
  <c r="C8" i="7" l="1"/>
  <c r="B8" i="7" l="1"/>
  <c r="B9" i="7"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<sst xmlns="http://schemas.openxmlformats.org/spreadsheetml/2006/main" count="765" uniqueCount="329">
  <si>
    <t>State of Good Repair Calculation</t>
  </si>
  <si>
    <t>No Build</t>
  </si>
  <si>
    <t xml:space="preserve">Build </t>
  </si>
  <si>
    <t>On-going Maintenance Cost</t>
  </si>
  <si>
    <t>Rehab Cost</t>
  </si>
  <si>
    <t>Residual Life of Rehab</t>
  </si>
  <si>
    <t>Vehicle Wear and Tear</t>
  </si>
  <si>
    <t>Total in Real $</t>
  </si>
  <si>
    <t>Total Monetized Benefit Real $ (No Build - Build)</t>
  </si>
  <si>
    <t>Total Monetized Benefit Discounted @ 3.1% (No Build - Build)</t>
  </si>
  <si>
    <t>Year</t>
  </si>
  <si>
    <t>Average Daily Traffic</t>
  </si>
  <si>
    <t>Life Cycle Phase</t>
  </si>
  <si>
    <t>Rehab Type</t>
  </si>
  <si>
    <t>On-Going Maintenance Cost</t>
  </si>
  <si>
    <t>Car Wear and Tear Cost  Differential</t>
  </si>
  <si>
    <t>Truck Wear and Tear Cost  Differential</t>
  </si>
  <si>
    <t>Total Wear and Tear Cost</t>
  </si>
  <si>
    <t>Total No Build</t>
  </si>
  <si>
    <t>Total Build</t>
  </si>
  <si>
    <t>Delta - No Discount</t>
  </si>
  <si>
    <t>Delta Discoutned @ 3.1%</t>
  </si>
  <si>
    <t>Poor</t>
  </si>
  <si>
    <t>Light Rehabilitation</t>
  </si>
  <si>
    <t>Very Good</t>
  </si>
  <si>
    <t>Good</t>
  </si>
  <si>
    <t>Fair</t>
  </si>
  <si>
    <t>Total</t>
  </si>
  <si>
    <t>Build</t>
  </si>
  <si>
    <t>New</t>
  </si>
  <si>
    <t>On-Going Maintenance Costs</t>
  </si>
  <si>
    <t>Lane Miles</t>
  </si>
  <si>
    <t>City(wide) of Houston</t>
  </si>
  <si>
    <t>Source: Houston Public Works https://www.houstonpublicworks.org/transportation-drainage</t>
  </si>
  <si>
    <t>Budget Expenditures</t>
  </si>
  <si>
    <t xml:space="preserve">Total </t>
  </si>
  <si>
    <t>Street &amp; Bridge</t>
  </si>
  <si>
    <t>in discount year</t>
  </si>
  <si>
    <t>Per Lane Mile</t>
  </si>
  <si>
    <t>Source: City of Houston, Adopted Operating Budget for the period July 1, 2022 to June 30, 2023, retrieved from https://www.houstontx.gov/budget/</t>
  </si>
  <si>
    <t xml:space="preserve">Lane Miles </t>
  </si>
  <si>
    <t xml:space="preserve">Cost of Annual Maintenance by Condition </t>
  </si>
  <si>
    <t>Phase</t>
  </si>
  <si>
    <t>Failure Rate Factor</t>
  </si>
  <si>
    <t>Percent of Life</t>
  </si>
  <si>
    <t>Very Poor</t>
  </si>
  <si>
    <t>Source: FHWA, Reformulated Pavement Remaining Service Life Framework, retrieved June 2020 from https://www.fhwa.dot.gov/publications/research/infrastructure/pavements/13038/13038.pdf</t>
  </si>
  <si>
    <t>Vehicle Operating Costs</t>
  </si>
  <si>
    <t>Vehicle Class</t>
  </si>
  <si>
    <t>Road Class</t>
  </si>
  <si>
    <r>
      <t>Baseline Conditions (</t>
    </r>
    <r>
      <rPr>
        <sz val="11"/>
        <color theme="1"/>
        <rFont val="Calibri"/>
        <family val="2"/>
      </rPr>
      <t xml:space="preserve">¢/mi) </t>
    </r>
    <r>
      <rPr>
        <sz val="10"/>
        <rFont val="Arial"/>
        <family val="2"/>
      </rPr>
      <t>(IRI = 1) (2007)</t>
    </r>
  </si>
  <si>
    <t xml:space="preserve">Inflated Baseline (¢/mi) 
(IRI = 1) </t>
  </si>
  <si>
    <t>Adjustment Factors from Baseline Conditions
(Note:  Pavement Assessment Tool assumes IRI can be linked to condition assessment for approximate cost estimating purposes)</t>
  </si>
  <si>
    <t>Pavement Roughness (IRI = International Roughness Index)</t>
  </si>
  <si>
    <t>PMIS Overall Condition Assessment</t>
  </si>
  <si>
    <t>Car</t>
  </si>
  <si>
    <t>Collector</t>
  </si>
  <si>
    <t>Arterial</t>
  </si>
  <si>
    <t>Highway</t>
  </si>
  <si>
    <t>Truck</t>
  </si>
  <si>
    <t>Source: Nat'l Academy of Sciences, Engineering, and Medicine, 2012, Estimating Effects of Pavement Condition on Vehicle Operating Costs, retrieved June 2020 from https://doi.org/10.17226/22808</t>
  </si>
  <si>
    <t>Adapted from Table 7-5. Effect of roughness on vehicle operating costs.</t>
  </si>
  <si>
    <t>Assumes correlation between pavement roughness index (IRI) and TxDOT pavement management information system (PMIS) categories</t>
  </si>
  <si>
    <t xml:space="preserve">Rehab Costs </t>
  </si>
  <si>
    <t>Light Rehabilitation (ACP)</t>
  </si>
  <si>
    <t>Travel Time Cost for Rehab (No-build)</t>
  </si>
  <si>
    <t>Key Facility Characteristics</t>
  </si>
  <si>
    <t>Roadway</t>
  </si>
  <si>
    <t>Length (ft)</t>
  </si>
  <si>
    <t>AADT
Year</t>
  </si>
  <si>
    <t>AADT</t>
  </si>
  <si>
    <t>Miles</t>
  </si>
  <si>
    <t>MPH</t>
  </si>
  <si>
    <t xml:space="preserve">MPH During Construction </t>
  </si>
  <si>
    <t>Travel Time Increase Per Vehicle</t>
  </si>
  <si>
    <t>Travel Time Increase All Persons During Rehab Phase</t>
  </si>
  <si>
    <t xml:space="preserve">Monetized Value (benefit) </t>
  </si>
  <si>
    <t>User Costs During Major Rehab Assumptions</t>
  </si>
  <si>
    <t>Current Speed Limit</t>
  </si>
  <si>
    <t>MPH on roadway</t>
  </si>
  <si>
    <t>Speed Limit During Rehab</t>
  </si>
  <si>
    <t>MPH on roadway - During Rehab</t>
  </si>
  <si>
    <t>Weighted vehicle occupancy</t>
  </si>
  <si>
    <t>USDOT Benefit-Cost Analysis Guidance for Discretionary Grant Programs</t>
  </si>
  <si>
    <t>Rehabilitation days per mile</t>
  </si>
  <si>
    <t xml:space="preserve">Assume 50% of 240 working days </t>
  </si>
  <si>
    <t>Weighted value of travel time (VoTT)</t>
  </si>
  <si>
    <t>Speed Reduction</t>
  </si>
  <si>
    <t>Standard</t>
  </si>
  <si>
    <t>Travel Time Cost for Construction of New Facility (Build)</t>
  </si>
  <si>
    <t>AADT Year</t>
  </si>
  <si>
    <t>User Costs (VOTT)</t>
  </si>
  <si>
    <t>User Costs During Reconstruction Assumptions</t>
  </si>
  <si>
    <t xml:space="preserve">Worksheet Title: </t>
  </si>
  <si>
    <t>Costs for Preventive Maintenance and Rehibilitation</t>
  </si>
  <si>
    <t>Life Cycle of Rehabilitation by Pavement Type (conservative planning estimates)</t>
  </si>
  <si>
    <t>Preventive Maintenance</t>
  </si>
  <si>
    <t>Cost</t>
  </si>
  <si>
    <t>Life Cycle of Asphalt Overlay and Concrete Pavement (Years):</t>
  </si>
  <si>
    <t>ACP</t>
  </si>
  <si>
    <t>Thin Overlay ≤ 2"</t>
  </si>
  <si>
    <t xml:space="preserve"> Asphalt</t>
  </si>
  <si>
    <t>Concrete</t>
  </si>
  <si>
    <t>CRCP</t>
  </si>
  <si>
    <t>Thin ACP Overlay ≤ 2"</t>
  </si>
  <si>
    <t>No build</t>
  </si>
  <si>
    <t>JCP</t>
  </si>
  <si>
    <t>Selective Slab Replacement</t>
  </si>
  <si>
    <t xml:space="preserve"> </t>
  </si>
  <si>
    <t>Overlay 2-4"</t>
  </si>
  <si>
    <t>ACP Overlay 2-4"</t>
  </si>
  <si>
    <t>Total Life</t>
  </si>
  <si>
    <t>Medium Rehabilitation</t>
  </si>
  <si>
    <t>Overlay 4-6"</t>
  </si>
  <si>
    <t>Reference Table for Life Cycle of Asphalt Overlay and Concrete Pavement (Pavement Condition)</t>
  </si>
  <si>
    <t>ACP Overlay 4-6"</t>
  </si>
  <si>
    <t>Concrete Pavement</t>
  </si>
  <si>
    <t>Build - Asphalt</t>
  </si>
  <si>
    <t>No Build - Asphalt</t>
  </si>
  <si>
    <t>Build - CP</t>
  </si>
  <si>
    <t>No Build - CP</t>
  </si>
  <si>
    <t>Heavy Rehabilitation</t>
  </si>
  <si>
    <t>Reconstruction</t>
  </si>
  <si>
    <t>Notes:</t>
  </si>
  <si>
    <t>Asphalt Concrete Pavement</t>
  </si>
  <si>
    <t>Continuously Reinforced Concrete Pavement</t>
  </si>
  <si>
    <t>Jointed Concrete Pavement</t>
  </si>
  <si>
    <t>Overlay</t>
  </si>
  <si>
    <t>Layer of ACP placed on top of existing pavement</t>
  </si>
  <si>
    <t>Full-depth replacement of deteriorated panels</t>
  </si>
  <si>
    <t>Complete removal and replacement of roadway including subgrade</t>
  </si>
  <si>
    <t>Total project development and construction costs per lane-mile</t>
  </si>
  <si>
    <t>Source</t>
  </si>
  <si>
    <t>TxDOT 2022 Transportation Asset Management Plan (June 2022)</t>
  </si>
  <si>
    <t>https://ftp.dot.state.tx.us/pub/txdot-info/brg/transportation-asset-management-plan-2022.pdf</t>
  </si>
  <si>
    <t>Validation</t>
  </si>
  <si>
    <t>ACP Overlay 2-4" &amp; ACP Reconstruction validated via separate quantities take-offs</t>
  </si>
  <si>
    <t>Calibration</t>
  </si>
  <si>
    <t>Engineering will update costs annually</t>
  </si>
  <si>
    <t>Sources:</t>
  </si>
  <si>
    <t>No-Build CP</t>
  </si>
  <si>
    <t>Email</t>
  </si>
  <si>
    <t>On July 22nd 2021, Robert, Reese, Monisha and Eagle agreed on: 1. existing condition-- we assume to start from the middle of that phase's life cycle 2. Texas Asset Manual Page 51 shows a concept of "Rehab Strategy" that starts at the beginning of the "Poor" Phase. However, Reese and ET thought it's too early to rehab (since it still would have 18 years of life left), ET and Reese decided to do the rehab at the first year of the "Very Poor" phase.</t>
  </si>
  <si>
    <t>BCA SOGR Amendment</t>
  </si>
  <si>
    <t>Pavement Condition</t>
  </si>
  <si>
    <t>Rating</t>
  </si>
  <si>
    <t>Section_Ke</t>
  </si>
  <si>
    <t>Show</t>
  </si>
  <si>
    <t>Color</t>
  </si>
  <si>
    <t>StreetID</t>
  </si>
  <si>
    <t>SectionID</t>
  </si>
  <si>
    <t>STREETNAME</t>
  </si>
  <si>
    <t>ShapeKey</t>
  </si>
  <si>
    <t>RoadName</t>
  </si>
  <si>
    <t>RoadNumber</t>
  </si>
  <si>
    <t>BegLocatio</t>
  </si>
  <si>
    <t>EndLocatio</t>
  </si>
  <si>
    <t>CurrentPCI</t>
  </si>
  <si>
    <t>RemainingL</t>
  </si>
  <si>
    <t>Lanes</t>
  </si>
  <si>
    <t>NeedsUntre</t>
  </si>
  <si>
    <t>FCDetail</t>
  </si>
  <si>
    <t>SurfaceTyp</t>
  </si>
  <si>
    <t>SectionLen</t>
  </si>
  <si>
    <t>SectionWid</t>
  </si>
  <si>
    <t>SectionAre</t>
  </si>
  <si>
    <t>SlabLength</t>
  </si>
  <si>
    <t>SlabWidth</t>
  </si>
  <si>
    <t>NumSlabs</t>
  </si>
  <si>
    <t>CulDeSac</t>
  </si>
  <si>
    <t>DateOfOrig</t>
  </si>
  <si>
    <t>YearOfCons</t>
  </si>
  <si>
    <t>GenCode</t>
  </si>
  <si>
    <t>TrafficInd</t>
  </si>
  <si>
    <t>ADTQuantit</t>
  </si>
  <si>
    <t>ADTDate</t>
  </si>
  <si>
    <t>ShoulderWi</t>
  </si>
  <si>
    <t>AreaID</t>
  </si>
  <si>
    <t>FundSource</t>
  </si>
  <si>
    <t>Inspection</t>
  </si>
  <si>
    <t>BegPoint</t>
  </si>
  <si>
    <t>EndPoint</t>
  </si>
  <si>
    <t>PCIDate</t>
  </si>
  <si>
    <t>PCI</t>
  </si>
  <si>
    <t>PCIHI</t>
  </si>
  <si>
    <t>PCILow</t>
  </si>
  <si>
    <t>PCTLoad</t>
  </si>
  <si>
    <t>PCTEnviron</t>
  </si>
  <si>
    <t>PCTOther</t>
  </si>
  <si>
    <t>PCIFromVis</t>
  </si>
  <si>
    <t>PCIHasSpec</t>
  </si>
  <si>
    <t>KntInsp</t>
  </si>
  <si>
    <t>KntUnit</t>
  </si>
  <si>
    <t>NHS</t>
  </si>
  <si>
    <t>PCIExFlg</t>
  </si>
  <si>
    <t>Comments</t>
  </si>
  <si>
    <t>YearToInsp</t>
  </si>
  <si>
    <t>Shift</t>
  </si>
  <si>
    <t>Chi</t>
  </si>
  <si>
    <t>ExcludeCen</t>
  </si>
  <si>
    <t>IRI_Ave_IR</t>
  </si>
  <si>
    <t>IRI_Ave_I1</t>
  </si>
  <si>
    <t>PCR_2012_1</t>
  </si>
  <si>
    <t>PCR_2009_1</t>
  </si>
  <si>
    <t>Road_ID</t>
  </si>
  <si>
    <t>User8</t>
  </si>
  <si>
    <t>User9</t>
  </si>
  <si>
    <t>User10</t>
  </si>
  <si>
    <t>GISSection</t>
  </si>
  <si>
    <t>StartStree</t>
  </si>
  <si>
    <t>StartLengt</t>
  </si>
  <si>
    <t>StartY</t>
  </si>
  <si>
    <t>StartX</t>
  </si>
  <si>
    <t>EndStreetI</t>
  </si>
  <si>
    <t>EndLength</t>
  </si>
  <si>
    <t>EndY</t>
  </si>
  <si>
    <t>EndX</t>
  </si>
  <si>
    <t>Offset</t>
  </si>
  <si>
    <t>LinkRoad</t>
  </si>
  <si>
    <t>ProjSecPCI</t>
  </si>
  <si>
    <t>StIDSecID</t>
  </si>
  <si>
    <t>SurfaceTy1</t>
  </si>
  <si>
    <t>FCDetail_K</t>
  </si>
  <si>
    <t>ST_ID</t>
  </si>
  <si>
    <t>MaC - Major Collector (5)</t>
  </si>
  <si>
    <t>0</t>
  </si>
  <si>
    <t/>
  </si>
  <si>
    <t>1</t>
  </si>
  <si>
    <t>SYS0000022</t>
  </si>
  <si>
    <t>Segment</t>
  </si>
  <si>
    <t xml:space="preserve">Worksheet Description:  </t>
  </si>
  <si>
    <t>Growth Rate</t>
  </si>
  <si>
    <t>Projection Year</t>
  </si>
  <si>
    <t xml:space="preserve">Compounded Annual Growth Rate </t>
  </si>
  <si>
    <t>a</t>
  </si>
  <si>
    <t xml:space="preserve">Data Source: </t>
  </si>
  <si>
    <t>1. Growth Rate is obtained from "Future Traffic &amp; Percent Truck" in the TxDOT Statewide Planning Map  https://www.txdot.gov/apps/statewide_mapping/StatewidePlanningMap.html</t>
  </si>
  <si>
    <t>2. 2022 traffic volume is obtained from TxDOT Traffic Count Database System (TCDS). https://txdot.public.ms2soft.com/tcds/tsearch.asp?loc=Txdot&amp;mod=TCDS</t>
  </si>
  <si>
    <t>Major Assumptions</t>
  </si>
  <si>
    <t>Data Point</t>
  </si>
  <si>
    <t xml:space="preserve">Source </t>
  </si>
  <si>
    <t>Major Assumption Key</t>
  </si>
  <si>
    <t>Project Open Year:</t>
  </si>
  <si>
    <t>User Costs (Value of Travel Time)</t>
  </si>
  <si>
    <t>Build Scenario - Concrete</t>
  </si>
  <si>
    <t>Maintenance Cost</t>
  </si>
  <si>
    <r>
      <t xml:space="preserve">Rehab Cost
</t>
    </r>
    <r>
      <rPr>
        <b/>
        <i/>
        <sz val="11"/>
        <color theme="1"/>
        <rFont val="Calibri"/>
        <family val="2"/>
        <scheme val="minor"/>
      </rPr>
      <t>See Cost Summary Tab for Reconstruction</t>
    </r>
  </si>
  <si>
    <r>
      <t xml:space="preserve">Residual Life of Rehab
</t>
    </r>
    <r>
      <rPr>
        <b/>
        <i/>
        <sz val="11"/>
        <color theme="1"/>
        <rFont val="Calibri"/>
        <family val="2"/>
        <scheme val="minor"/>
      </rPr>
      <t>See Useful Life Tab</t>
    </r>
  </si>
  <si>
    <t>Background Data and References</t>
  </si>
  <si>
    <t>See "LN_MILES" in TxDOT Roadway Inventory</t>
  </si>
  <si>
    <t>Segments</t>
  </si>
  <si>
    <t>Pavement</t>
  </si>
  <si>
    <t>Class</t>
  </si>
  <si>
    <t>Number of Lanes</t>
  </si>
  <si>
    <t>Lane Width (ft)</t>
  </si>
  <si>
    <t>Current Condition</t>
  </si>
  <si>
    <t>Truck Percent</t>
  </si>
  <si>
    <t>Condition Assessment by Number of Blocks on Likert scale</t>
  </si>
  <si>
    <t>City Rating</t>
  </si>
  <si>
    <t>Very Poor (1)</t>
  </si>
  <si>
    <t>Poor (2)</t>
  </si>
  <si>
    <t>Fair (3)</t>
  </si>
  <si>
    <t>Satisfactory (4)</t>
  </si>
  <si>
    <t>Good (5)</t>
  </si>
  <si>
    <t>Overall</t>
  </si>
  <si>
    <t>SOGR Rating</t>
  </si>
  <si>
    <t xml:space="preserve">Rating </t>
  </si>
  <si>
    <t xml:space="preserve">Pavement Condition Collection Year: </t>
  </si>
  <si>
    <t>Source: Houston Public Works, GIMS Application Portal, retrieved from https://geogimsprod.houstontx.gov/Html5Viewer/index.html?viewer=geolink-public</t>
  </si>
  <si>
    <t>HLOOKUP Factors</t>
  </si>
  <si>
    <t>Facility</t>
  </si>
  <si>
    <t>Total Monetized Value</t>
  </si>
  <si>
    <t>Travel Time Cost for Construction over Rehab (Benefit)</t>
  </si>
  <si>
    <t xml:space="preserve">Source: </t>
  </si>
  <si>
    <t>Houston Public Works, GIMS Application Portal, retrieved from https://geogimsprod.houstontx.gov/Html5Viewer/index.html?viewer=geolink-public</t>
  </si>
  <si>
    <t>FID</t>
  </si>
  <si>
    <t>Shape *</t>
  </si>
  <si>
    <t>2015Averag</t>
  </si>
  <si>
    <t>2020IRI</t>
  </si>
  <si>
    <t>FCDetail_K2</t>
  </si>
  <si>
    <t>Shape_1</t>
  </si>
  <si>
    <t>STLength__</t>
  </si>
  <si>
    <t>Traffic growth rate and rehabilitation/vehicle costs - Asphalt</t>
  </si>
  <si>
    <t>Gellhorn</t>
  </si>
  <si>
    <t>IH10 to 1H610</t>
  </si>
  <si>
    <t>No Build Scenario - Concrete</t>
  </si>
  <si>
    <t>Constructiom</t>
  </si>
  <si>
    <t>CCP</t>
  </si>
  <si>
    <t>Polyline</t>
  </si>
  <si>
    <t>FF0005480B</t>
  </si>
  <si>
    <t>GELLHORNDR</t>
  </si>
  <si>
    <t>10110738</t>
  </si>
  <si>
    <t>GELLHORN DR - 0149</t>
  </si>
  <si>
    <t>GELLHORN DR</t>
  </si>
  <si>
    <t>0149</t>
  </si>
  <si>
    <t>P - PCC</t>
  </si>
  <si>
    <t>451.512500000</t>
  </si>
  <si>
    <t>462.587500000</t>
  </si>
  <si>
    <t>69.3461650000</t>
  </si>
  <si>
    <t>72.4186120000</t>
  </si>
  <si>
    <t>10110738.0000</t>
  </si>
  <si>
    <t>397.066700000</t>
  </si>
  <si>
    <t>532</t>
  </si>
  <si>
    <t>FF0005480F</t>
  </si>
  <si>
    <t>GELLHORNDR - 10110738</t>
  </si>
  <si>
    <t>SYS0000004</t>
  </si>
  <si>
    <t>FF00054810</t>
  </si>
  <si>
    <t>10110829</t>
  </si>
  <si>
    <t>457.975000000</t>
  </si>
  <si>
    <t>425.687500000</t>
  </si>
  <si>
    <t>71.1262290000</t>
  </si>
  <si>
    <t>73.5281023800</t>
  </si>
  <si>
    <t>10110829.0000</t>
  </si>
  <si>
    <t>290.550000000</t>
  </si>
  <si>
    <t>586</t>
  </si>
  <si>
    <t>FF00054814</t>
  </si>
  <si>
    <t>GELLHORNDR - 10110829</t>
  </si>
  <si>
    <t>FF00054815</t>
  </si>
  <si>
    <t>10110795</t>
  </si>
  <si>
    <t>GELLHORN</t>
  </si>
  <si>
    <t>465.400000000</t>
  </si>
  <si>
    <t>501.000000000</t>
  </si>
  <si>
    <t>68.2648200000</t>
  </si>
  <si>
    <t>70.4319092300</t>
  </si>
  <si>
    <t>10110795.0000</t>
  </si>
  <si>
    <t>108.500000000</t>
  </si>
  <si>
    <t>368</t>
  </si>
  <si>
    <t>FF00054819</t>
  </si>
  <si>
    <t>GELLHORNDR - 10110795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</si>
</sst>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5" formatCode="&quot;$&quot;#,##0_);\(&quot;$&quot;#,##0\)"/>
    <numFmt numFmtId="6" formatCode="&quot;$&quot;#,##0_);[Red]\(&quot;$&quot;#,##0\)"/>
    <numFmt numFmtId="8" formatCode="&quot;$&quot;#,##0.00_);[Red]\(&quot;$&quot;#,##0.00\)"/>
    <numFmt numFmtId="44" formatCode="_(&quot;$&quot;* #,##0.00_);_(&quot;$&quot;* \(#,##0.00\);_(&quot;$&quot;* &quot;-&quot;??_);_(@_)"/>
    <numFmt numFmtId="43" formatCode="_(* #,##0.00_);_(* \(#,##0.00\);_(* &quot;-&quot;??_);_(@_)"/>
    <numFmt numFmtId="164" formatCode="&quot;$&quot;#,##0"/>
    <numFmt numFmtId="165" formatCode="0.000%"/>
    <numFmt numFmtId="166" formatCode="0.0"/>
    <numFmt numFmtId="167" formatCode="0.00000%"/>
    <numFmt numFmtId="168" formatCode="&quot;$&quot;#,##0.000"/>
    <numFmt numFmtId="169" formatCode="_(* #,##0_);_(* \(#,##0\);_(* &quot;-&quot;??_);_(@_)"/>
    <numFmt numFmtId="170" formatCode="_(&quot;$&quot;* #,##0_);_(&quot;$&quot;* \(#,##0\);_(&quot;$&quot;* &quot;-&quot;??_);_(@_)"/>
    <numFmt numFmtId="171" formatCode="0.000"/>
  </numFmts>
  <fonts count="34" x14ac:knownFonts="1">
    <font>
      <sz val="11"/>
      <color theme="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sz val="11"/>
      <color theme="1"/>
      <name val="Calibri"/>
      <family val="2"/>
    </font>
    <font>
      <sz val="10"/>
      <name val="Arial"/>
      <family val="2"/>
    </font>
    <font>
      <sz val="10"/>
      <name val="Arial"/>
      <family val="2"/>
    </font>
    <font>
      <sz val="11"/>
      <color theme="1"/>
      <name val="Times New Roman"/>
      <family val="2"/>
    </font>
    <font>
      <sz val="12"/>
      <name val="Times New Roman"/>
      <family val="1"/>
    </font>
    <font>
      <sz val="10"/>
      <color indexed="8"/>
      <name val="Arial"/>
      <family val="2"/>
    </font>
    <font>
      <sz val="10"/>
      <color theme="1"/>
      <name val="Calibri"/>
      <family val="2"/>
      <scheme val="minor"/>
    </font>
    <font>
      <sz val="10"/>
      <name val="Microsoft Sans Serif"/>
      <family val="2"/>
    </font>
    <font>
      <b/>
      <sz val="18"/>
      <name val="Arial"/>
      <family val="2"/>
    </font>
    <font>
      <b/>
      <sz val="12"/>
      <name val="Arial"/>
      <family val="2"/>
    </font>
    <font>
      <sz val="10"/>
      <color theme="1"/>
      <name val="Arial"/>
      <family val="2"/>
    </font>
    <font>
      <sz val="12"/>
      <name val="Arial"/>
      <family val="2"/>
    </font>
    <font>
      <u/>
      <sz val="10"/>
      <color indexed="12"/>
      <name val="Courier"/>
      <family val="3"/>
    </font>
    <font>
      <sz val="10"/>
      <color rgb="FF9C0006"/>
      <name val="Calibri"/>
      <family val="2"/>
      <scheme val="minor"/>
    </font>
    <font>
      <sz val="10"/>
      <color rgb="FF3F3F76"/>
      <name val="Calibri"/>
      <family val="2"/>
      <scheme val="minor"/>
    </font>
    <font>
      <i/>
      <sz val="11"/>
      <color theme="1"/>
      <name val="Calibri"/>
      <family val="2"/>
      <scheme val="minor"/>
    </font>
    <font>
      <sz val="10"/>
      <color rgb="FF000000"/>
      <name val="Times New Roman"/>
      <family val="1"/>
    </font>
    <font>
      <sz val="14"/>
      <color theme="1"/>
      <name val="Calibri"/>
      <family val="2"/>
      <scheme val="minor"/>
    </font>
    <font>
      <u/>
      <sz val="11"/>
      <color theme="10"/>
      <name val="Calibri"/>
      <family val="2"/>
      <scheme val="minor"/>
    </font>
    <font>
      <u/>
      <sz val="11"/>
      <color theme="10"/>
      <name val="Calibri"/>
      <family val="2"/>
    </font>
    <font>
      <u/>
      <sz val="10"/>
      <color theme="10"/>
      <name val="Arial"/>
      <family val="2"/>
    </font>
    <font>
      <b/>
      <sz val="10"/>
      <name val="Arial"/>
      <family val="2"/>
    </font>
    <font>
      <b/>
      <sz val="14"/>
      <name val="Calibri"/>
      <family val="2"/>
      <scheme val="minor"/>
    </font>
    <font>
      <b/>
      <sz val="11"/>
      <name val="Calibri"/>
      <family val="2"/>
      <scheme val="minor"/>
    </font>
    <font>
      <sz val="11"/>
      <name val="Calibri"/>
      <family val="2"/>
      <scheme val="minor"/>
    </font>
    <font>
      <b/>
      <sz val="10"/>
      <color theme="3"/>
      <name val="Calibri"/>
      <family val="2"/>
      <scheme val="minor"/>
    </font>
    <font>
      <b/>
      <sz val="12"/>
      <name val="Calibri"/>
      <family val="2"/>
      <scheme val="minor"/>
    </font>
    <font>
      <b/>
      <i/>
      <sz val="11"/>
      <color theme="1"/>
      <name val="Calibri"/>
      <family val="2"/>
      <scheme val="minor"/>
    </font>
    <font>
      <sz val="10"/>
      <color theme="1"/>
      <name val="Arial"/>
    </font>
  </fonts>
  <fills count="18">
    <fill>
      <patternFill patternType="none"/>
    </fill>
    <fill>
      <patternFill patternType="gray125"/>
    </fill>
    <fill>
      <patternFill patternType="solid">
        <fgColor rgb="FFFFC7CE"/>
      </patternFill>
    </fill>
    <fill>
      <patternFill patternType="solid">
        <fgColor rgb="FFFFCC99"/>
      </patternFill>
    </fill>
    <fill>
      <patternFill patternType="solid">
        <fgColor rgb="FFFFFF00"/>
        <bgColor indexed="64"/>
      </patternFill>
    </fill>
    <fill>
      <patternFill patternType="solid">
        <fgColor theme="5" tint="0.79998168889431442"/>
        <bgColor indexed="64"/>
      </patternFill>
    </fill>
    <fill>
      <patternFill patternType="solid">
        <fgColor theme="1"/>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D9D9D9"/>
        <bgColor indexed="64"/>
      </patternFill>
    </fill>
    <fill>
      <patternFill patternType="solid">
        <fgColor theme="1" tint="0.34998626667073579"/>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6"/>
        <bgColor indexed="64"/>
      </patternFill>
    </fill>
    <fill>
      <patternFill patternType="solid">
        <fgColor rgb="FF00B050"/>
        <bgColor indexed="6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37">
    <border>
      <left/>
      <right/>
      <top/>
      <bottom/>
      <diagonal/>
    </border>
    <border>
      <left style="thin">
        <color rgb="FF7F7F7F"/>
      </left>
      <right style="thin">
        <color rgb="FF7F7F7F"/>
      </right>
      <top style="thin">
        <color rgb="FF7F7F7F"/>
      </top>
      <bottom style="thin">
        <color rgb="FF7F7F7F"/>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double">
        <color indexed="0"/>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top/>
      <bottom/>
      <diagonal/>
    </border>
    <border>
      <left style="medium">
        <color indexed="64"/>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s>
  <cellStyleXfs count="216">
    <xf numFmtId="0" fontId="0" fillId="0" borderId="0"/>
    <xf numFmtId="0" fontId="6"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2" fillId="0" borderId="0"/>
    <xf numFmtId="44" fontId="7" fillId="0" borderId="0" applyFont="0" applyFill="0" applyBorder="0" applyAlignment="0" applyProtection="0"/>
    <xf numFmtId="0" fontId="8" fillId="0" borderId="0"/>
    <xf numFmtId="0" fontId="9" fillId="0" borderId="0"/>
    <xf numFmtId="9" fontId="8" fillId="0" borderId="0" applyFont="0" applyFill="0" applyBorder="0" applyAlignment="0" applyProtection="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4" fontId="8" fillId="0" borderId="0" applyFont="0" applyFill="0" applyBorder="0" applyAlignment="0" applyProtection="0"/>
    <xf numFmtId="0" fontId="2" fillId="0" borderId="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0" fontId="8" fillId="0" borderId="0"/>
    <xf numFmtId="0" fontId="2" fillId="0" borderId="0"/>
    <xf numFmtId="9" fontId="8" fillId="0" borderId="0" applyFont="0" applyFill="0" applyBorder="0" applyAlignment="0" applyProtection="0"/>
    <xf numFmtId="0" fontId="7" fillId="0" borderId="0"/>
    <xf numFmtId="0" fontId="10"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12" fillId="0" borderId="0"/>
    <xf numFmtId="43" fontId="12" fillId="0" borderId="0" applyFont="0" applyFill="0" applyBorder="0" applyAlignment="0" applyProtection="0"/>
    <xf numFmtId="3" fontId="7" fillId="0" borderId="0" applyFont="0" applyFill="0" applyBorder="0" applyAlignment="0" applyProtection="0"/>
    <xf numFmtId="5" fontId="7" fillId="0" borderId="0" applyFont="0" applyFill="0" applyBorder="0" applyAlignment="0" applyProtection="0"/>
    <xf numFmtId="14" fontId="7" fillId="0" borderId="0" applyFont="0" applyFill="0" applyBorder="0" applyAlignment="0" applyProtection="0"/>
    <xf numFmtId="2" fontId="7" fillId="0" borderId="0" applyFont="0" applyFill="0" applyBorder="0" applyAlignment="0" applyProtection="0"/>
    <xf numFmtId="0" fontId="13" fillId="0" borderId="0" applyNumberFormat="0" applyFont="0" applyFill="0" applyAlignment="0" applyProtection="0"/>
    <xf numFmtId="0" fontId="14" fillId="0" borderId="0" applyNumberFormat="0" applyFont="0" applyFill="0" applyAlignment="0" applyProtection="0"/>
    <xf numFmtId="0" fontId="7" fillId="0" borderId="15" applyNumberFormat="0" applyFont="0" applyBorder="0" applyAlignment="0" applyProtection="0"/>
    <xf numFmtId="0" fontId="11" fillId="0" borderId="0"/>
    <xf numFmtId="0" fontId="16" fillId="0" borderId="0"/>
    <xf numFmtId="0" fontId="7" fillId="0" borderId="0"/>
    <xf numFmtId="44" fontId="7"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5"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2" fillId="0" borderId="0" applyFont="0" applyFill="0" applyBorder="0" applyAlignment="0" applyProtection="0"/>
    <xf numFmtId="44" fontId="15"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 fillId="0" borderId="0"/>
    <xf numFmtId="0" fontId="15" fillId="0" borderId="0"/>
    <xf numFmtId="9" fontId="7"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5" fillId="0" borderId="0" applyFont="0" applyFill="0" applyBorder="0" applyAlignment="0" applyProtection="0"/>
    <xf numFmtId="44" fontId="11" fillId="0" borderId="0" applyFont="0" applyFill="0" applyBorder="0" applyAlignment="0" applyProtection="0"/>
    <xf numFmtId="9" fontId="11" fillId="0" borderId="0" applyFont="0" applyFill="0" applyBorder="0" applyAlignment="0" applyProtection="0"/>
    <xf numFmtId="43" fontId="11" fillId="0" borderId="0" applyFont="0" applyFill="0" applyBorder="0" applyAlignment="0" applyProtection="0"/>
    <xf numFmtId="0" fontId="2" fillId="0" borderId="0"/>
    <xf numFmtId="44" fontId="2" fillId="0" borderId="0" applyFont="0" applyFill="0" applyBorder="0" applyAlignment="0" applyProtection="0"/>
    <xf numFmtId="43" fontId="7" fillId="0" borderId="0" applyFont="0" applyFill="0" applyBorder="0" applyAlignment="0" applyProtection="0"/>
    <xf numFmtId="0" fontId="17" fillId="0" borderId="0" applyNumberFormat="0" applyFill="0" applyBorder="0" applyAlignment="0" applyProtection="0">
      <alignment vertical="top"/>
      <protection locked="0"/>
    </xf>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18" fillId="2" borderId="0" applyNumberFormat="0" applyBorder="0" applyAlignment="0" applyProtection="0"/>
    <xf numFmtId="0" fontId="19" fillId="3" borderId="1" applyNumberFormat="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1" fillId="0" borderId="0"/>
    <xf numFmtId="0" fontId="22" fillId="0" borderId="0"/>
    <xf numFmtId="9" fontId="21"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alignment vertical="top"/>
      <protection locked="0"/>
    </xf>
    <xf numFmtId="0" fontId="25"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9" fontId="9"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10" fillId="0" borderId="0"/>
    <xf numFmtId="0" fontId="2" fillId="0" borderId="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9" fontId="2" fillId="0" borderId="0" applyFont="0" applyFill="0" applyBorder="0" applyAlignment="0" applyProtection="0"/>
    <xf numFmtId="9" fontId="2" fillId="0" borderId="0" applyFont="0" applyFill="0" applyBorder="0" applyAlignment="0" applyProtection="0"/>
    <xf numFmtId="0" fontId="2" fillId="0" borderId="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43" fontId="2" fillId="0" borderId="0" applyFont="0" applyFill="0" applyBorder="0" applyAlignment="0" applyProtection="0"/>
    <xf numFmtId="0" fontId="21" fillId="0" borderId="0"/>
    <xf numFmtId="0" fontId="2"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cellStyleXfs>
  <cellXfs count="195">
    <xf numFmtId="0" fontId="0" fillId="0" borderId="0" xfId="0"/>
    <xf numFmtId="0" fontId="25" fillId="0" borderId="0" xfId="126" applyAlignment="1" applyProtection="1">
      <alignment horizontal="center" vertical="center"/>
      <protection hidden="1"/>
    </xf>
    <xf numFmtId="0" fontId="2" fillId="0" borderId="0" xfId="130" applyAlignment="1" applyProtection="1">
      <alignment vertical="center" wrapText="1"/>
      <protection hidden="1"/>
    </xf>
    <xf numFmtId="0" fontId="2" fillId="0" borderId="0" xfId="130" applyAlignment="1" applyProtection="1">
      <alignment horizontal="center" vertical="center"/>
      <protection hidden="1"/>
    </xf>
    <xf numFmtId="0" fontId="2" fillId="0" borderId="0" xfId="130" applyAlignment="1" applyProtection="1">
      <alignment vertical="center"/>
      <protection hidden="1"/>
    </xf>
    <xf numFmtId="0" fontId="2" fillId="0" borderId="0" xfId="130" applyAlignment="1" applyProtection="1">
      <alignment horizontal="center"/>
      <protection hidden="1"/>
    </xf>
    <xf numFmtId="164" fontId="0" fillId="0" borderId="0" xfId="0" applyNumberFormat="1"/>
    <xf numFmtId="0" fontId="23" fillId="0" borderId="0" xfId="124" applyProtection="1">
      <protection hidden="1"/>
    </xf>
    <xf numFmtId="0" fontId="2" fillId="0" borderId="0" xfId="130" applyProtection="1">
      <protection hidden="1"/>
    </xf>
    <xf numFmtId="0" fontId="2" fillId="0" borderId="0" xfId="130" applyAlignment="1" applyProtection="1">
      <alignment horizontal="left" vertical="center"/>
      <protection hidden="1"/>
    </xf>
    <xf numFmtId="164" fontId="2" fillId="0" borderId="0" xfId="130" applyNumberFormat="1" applyAlignment="1" applyProtection="1">
      <alignment horizontal="center" vertical="center"/>
      <protection hidden="1"/>
    </xf>
    <xf numFmtId="0" fontId="1" fillId="7" borderId="0" xfId="136" applyFont="1" applyFill="1" applyAlignment="1" applyProtection="1">
      <alignment vertical="top"/>
      <protection hidden="1"/>
    </xf>
    <xf numFmtId="0" fontId="1" fillId="7" borderId="0" xfId="136" applyFont="1" applyFill="1" applyAlignment="1" applyProtection="1">
      <alignment horizontal="center" vertical="center"/>
      <protection hidden="1"/>
    </xf>
    <xf numFmtId="0" fontId="2" fillId="7" borderId="0" xfId="136" applyFill="1" applyAlignment="1" applyProtection="1">
      <alignment horizontal="center" vertical="center"/>
      <protection hidden="1"/>
    </xf>
    <xf numFmtId="0" fontId="20" fillId="0" borderId="0" xfId="130" applyFont="1" applyProtection="1">
      <protection hidden="1"/>
    </xf>
    <xf numFmtId="0" fontId="2" fillId="4" borderId="0" xfId="130" applyFill="1" applyProtection="1">
      <protection hidden="1"/>
    </xf>
    <xf numFmtId="3" fontId="2" fillId="4" borderId="0" xfId="130" applyNumberFormat="1" applyFill="1" applyAlignment="1" applyProtection="1">
      <alignment horizontal="center" vertical="center"/>
      <protection hidden="1"/>
    </xf>
    <xf numFmtId="3" fontId="2" fillId="0" borderId="0" xfId="130" applyNumberFormat="1" applyAlignment="1" applyProtection="1">
      <alignment horizontal="center" vertical="center"/>
      <protection hidden="1"/>
    </xf>
    <xf numFmtId="164"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protection hidden="1"/>
    </xf>
    <xf numFmtId="0" fontId="20" fillId="0" borderId="0" xfId="130" quotePrefix="1" applyFont="1" applyProtection="1">
      <protection hidden="1"/>
    </xf>
    <xf numFmtId="0" fontId="2" fillId="0" borderId="0" xfId="136" applyAlignment="1" applyProtection="1">
      <alignment horizontal="center" vertical="center"/>
      <protection hidden="1"/>
    </xf>
    <xf numFmtId="0" fontId="2" fillId="0" borderId="7" xfId="130" applyBorder="1" applyAlignment="1" applyProtection="1">
      <alignment horizontal="center" vertical="center"/>
      <protection hidden="1"/>
    </xf>
    <xf numFmtId="0" fontId="2" fillId="0" borderId="7" xfId="130" applyBorder="1" applyAlignment="1" applyProtection="1">
      <alignment horizontal="center" vertical="center" wrapText="1"/>
      <protection hidden="1"/>
    </xf>
    <xf numFmtId="0" fontId="2" fillId="0" borderId="7" xfId="136" applyBorder="1" applyAlignment="1" applyProtection="1">
      <alignment horizontal="center" vertical="center"/>
      <protection hidden="1"/>
    </xf>
    <xf numFmtId="0" fontId="2" fillId="0" borderId="7" xfId="136" applyBorder="1" applyAlignment="1" applyProtection="1">
      <alignment horizontal="center" vertical="center" wrapText="1"/>
      <protection hidden="1"/>
    </xf>
    <xf numFmtId="3" fontId="2" fillId="0" borderId="0" xfId="130" applyNumberFormat="1" applyAlignment="1" applyProtection="1">
      <alignment horizontal="center"/>
      <protection hidden="1"/>
    </xf>
    <xf numFmtId="2" fontId="2" fillId="0" borderId="0" xfId="136" applyNumberFormat="1" applyAlignment="1" applyProtection="1">
      <alignment horizontal="center" vertical="center"/>
      <protection hidden="1"/>
    </xf>
    <xf numFmtId="6" fontId="2" fillId="0" borderId="0" xfId="136" applyNumberFormat="1" applyAlignment="1" applyProtection="1">
      <alignment horizontal="center" vertical="center"/>
      <protection hidden="1"/>
    </xf>
    <xf numFmtId="0" fontId="1" fillId="0" borderId="0" xfId="136" applyFont="1" applyAlignment="1" applyProtection="1">
      <alignment vertical="top"/>
      <protection hidden="1"/>
    </xf>
    <xf numFmtId="0" fontId="1" fillId="0" borderId="0" xfId="136" applyFont="1" applyAlignment="1" applyProtection="1">
      <alignment horizontal="center" vertical="center"/>
      <protection hidden="1"/>
    </xf>
    <xf numFmtId="1" fontId="2" fillId="0" borderId="0" xfId="136" applyNumberFormat="1" applyAlignment="1" applyProtection="1">
      <alignment horizontal="center" vertical="center"/>
      <protection hidden="1"/>
    </xf>
    <xf numFmtId="0" fontId="1" fillId="0" borderId="3" xfId="0" applyFont="1" applyBorder="1"/>
    <xf numFmtId="164" fontId="0" fillId="0" borderId="3" xfId="0" applyNumberFormat="1" applyBorder="1"/>
    <xf numFmtId="0" fontId="0" fillId="0" borderId="3" xfId="0" applyBorder="1"/>
    <xf numFmtId="164" fontId="0" fillId="5" borderId="3" xfId="0" applyNumberFormat="1" applyFill="1" applyBorder="1"/>
    <xf numFmtId="168" fontId="0" fillId="5" borderId="3" xfId="0" applyNumberFormat="1" applyFill="1" applyBorder="1"/>
    <xf numFmtId="0" fontId="1" fillId="8" borderId="3" xfId="0" applyFont="1" applyFill="1" applyBorder="1"/>
    <xf numFmtId="164" fontId="1" fillId="0" borderId="3" xfId="0" applyNumberFormat="1" applyFont="1" applyBorder="1"/>
    <xf numFmtId="3" fontId="2" fillId="0" borderId="30" xfId="130" applyNumberFormat="1" applyBorder="1" applyAlignment="1" applyProtection="1">
      <alignment horizontal="center"/>
      <protection hidden="1"/>
    </xf>
    <xf numFmtId="0" fontId="3" fillId="6" borderId="0" xfId="0" applyFont="1" applyFill="1" applyAlignment="1" applyProtection="1">
      <alignment horizontal="left" vertical="center"/>
      <protection hidden="1"/>
    </xf>
    <xf numFmtId="164" fontId="3" fillId="6" borderId="0" xfId="0" applyNumberFormat="1" applyFont="1" applyFill="1" applyAlignment="1" applyProtection="1">
      <alignment vertical="center"/>
      <protection hidden="1"/>
    </xf>
    <xf numFmtId="0" fontId="2" fillId="6" borderId="0" xfId="130" applyFill="1" applyProtection="1">
      <protection hidden="1"/>
    </xf>
    <xf numFmtId="0" fontId="27" fillId="0" borderId="0" xfId="130" applyFont="1" applyAlignment="1" applyProtection="1">
      <alignment vertical="center"/>
      <protection hidden="1"/>
    </xf>
    <xf numFmtId="0" fontId="1" fillId="0" borderId="0" xfId="130" applyFont="1" applyAlignment="1" applyProtection="1">
      <alignment horizontal="left" vertical="center"/>
      <protection hidden="1"/>
    </xf>
    <xf numFmtId="0" fontId="1" fillId="0" borderId="0" xfId="127" applyFont="1" applyProtection="1">
      <protection hidden="1"/>
    </xf>
    <xf numFmtId="0" fontId="28" fillId="9" borderId="4" xfId="130" applyFont="1" applyFill="1" applyBorder="1" applyAlignment="1" applyProtection="1">
      <alignment horizontal="center" vertical="center"/>
      <protection hidden="1"/>
    </xf>
    <xf numFmtId="0" fontId="28" fillId="4" borderId="4" xfId="130" applyFont="1" applyFill="1" applyBorder="1" applyAlignment="1" applyProtection="1">
      <alignment horizontal="center" vertical="center"/>
      <protection hidden="1"/>
    </xf>
    <xf numFmtId="0" fontId="2" fillId="4" borderId="3" xfId="130" applyFill="1" applyBorder="1" applyAlignment="1" applyProtection="1">
      <alignment horizontal="center" vertical="center"/>
      <protection hidden="1"/>
    </xf>
    <xf numFmtId="3" fontId="2" fillId="4" borderId="31" xfId="207" applyNumberFormat="1" applyFill="1" applyBorder="1" applyAlignment="1" applyProtection="1">
      <alignment horizontal="center"/>
      <protection hidden="1"/>
    </xf>
    <xf numFmtId="10" fontId="2" fillId="0" borderId="31" xfId="215" applyNumberFormat="1" applyFont="1" applyBorder="1" applyAlignment="1" applyProtection="1">
      <alignment horizontal="center" vertical="center"/>
      <protection hidden="1"/>
    </xf>
    <xf numFmtId="0" fontId="2" fillId="6" borderId="3" xfId="130" applyFill="1" applyBorder="1" applyAlignment="1" applyProtection="1">
      <alignment horizontal="center" vertical="center"/>
      <protection hidden="1"/>
    </xf>
    <xf numFmtId="10" fontId="2" fillId="6" borderId="31" xfId="215" applyNumberFormat="1" applyFont="1" applyFill="1" applyBorder="1" applyAlignment="1" applyProtection="1">
      <alignment horizontal="center" vertical="center"/>
      <protection hidden="1"/>
    </xf>
    <xf numFmtId="0" fontId="2" fillId="4" borderId="30" xfId="130" applyFill="1" applyBorder="1" applyAlignment="1" applyProtection="1">
      <alignment horizontal="center"/>
      <protection hidden="1"/>
    </xf>
    <xf numFmtId="0" fontId="2" fillId="0" borderId="30" xfId="130" applyBorder="1" applyAlignment="1" applyProtection="1">
      <alignment horizontal="center"/>
      <protection hidden="1"/>
    </xf>
    <xf numFmtId="164" fontId="2" fillId="0" borderId="30" xfId="130" applyNumberFormat="1" applyBorder="1" applyAlignment="1" applyProtection="1">
      <alignment horizontal="center"/>
      <protection hidden="1"/>
    </xf>
    <xf numFmtId="164" fontId="1" fillId="9" borderId="5" xfId="130" applyNumberFormat="1" applyFont="1" applyFill="1" applyBorder="1" applyAlignment="1" applyProtection="1">
      <alignment horizontal="center" vertical="center"/>
      <protection hidden="1"/>
    </xf>
    <xf numFmtId="0" fontId="3" fillId="10" borderId="24" xfId="128" applyFont="1" applyFill="1" applyBorder="1" applyAlignment="1" applyProtection="1">
      <alignment horizontal="center" vertical="center"/>
      <protection hidden="1"/>
    </xf>
    <xf numFmtId="0" fontId="3" fillId="10" borderId="26" xfId="128" applyFont="1" applyFill="1" applyBorder="1" applyAlignment="1" applyProtection="1">
      <alignment horizontal="center" vertical="center"/>
      <protection hidden="1"/>
    </xf>
    <xf numFmtId="0" fontId="3" fillId="10" borderId="27" xfId="128" applyFont="1" applyFill="1" applyBorder="1" applyAlignment="1" applyProtection="1">
      <alignment vertical="center"/>
      <protection hidden="1"/>
    </xf>
    <xf numFmtId="0" fontId="2" fillId="0" borderId="10" xfId="120" applyBorder="1" applyProtection="1">
      <protection hidden="1"/>
    </xf>
    <xf numFmtId="10" fontId="2" fillId="0" borderId="0" xfId="215" applyNumberFormat="1" applyFont="1" applyFill="1" applyBorder="1" applyAlignment="1" applyProtection="1">
      <alignment horizontal="center"/>
      <protection hidden="1"/>
    </xf>
    <xf numFmtId="0" fontId="29" fillId="0" borderId="11" xfId="0" applyFont="1" applyBorder="1" applyProtection="1">
      <protection hidden="1"/>
    </xf>
    <xf numFmtId="0" fontId="29" fillId="0" borderId="10" xfId="0" applyFont="1" applyBorder="1" applyProtection="1">
      <protection hidden="1"/>
    </xf>
    <xf numFmtId="0" fontId="29" fillId="0" borderId="0" xfId="0" applyFont="1" applyAlignment="1" applyProtection="1">
      <alignment horizontal="center"/>
      <protection hidden="1"/>
    </xf>
    <xf numFmtId="0" fontId="2" fillId="0" borderId="10" xfId="130" applyBorder="1" applyAlignment="1" applyProtection="1">
      <alignment horizontal="left" vertical="center"/>
      <protection hidden="1"/>
    </xf>
    <xf numFmtId="0" fontId="2" fillId="0" borderId="12" xfId="130" applyBorder="1" applyAlignment="1" applyProtection="1">
      <alignment horizontal="left" vertical="center"/>
      <protection hidden="1"/>
    </xf>
    <xf numFmtId="0" fontId="2" fillId="0" borderId="18" xfId="130" applyBorder="1" applyAlignment="1" applyProtection="1">
      <alignment horizontal="center" vertical="center"/>
      <protection hidden="1"/>
    </xf>
    <xf numFmtId="0" fontId="29" fillId="0" borderId="9" xfId="0" applyFont="1" applyBorder="1" applyProtection="1">
      <protection hidden="1"/>
    </xf>
    <xf numFmtId="0" fontId="28" fillId="0" borderId="0" xfId="0" applyFont="1" applyProtection="1">
      <protection hidden="1"/>
    </xf>
    <xf numFmtId="0" fontId="30" fillId="0" borderId="0" xfId="0" applyFont="1" applyAlignment="1" applyProtection="1">
      <alignment horizontal="center"/>
      <protection hidden="1"/>
    </xf>
    <xf numFmtId="0" fontId="29" fillId="0" borderId="0" xfId="0" applyFont="1" applyProtection="1">
      <protection hidden="1"/>
    </xf>
    <xf numFmtId="0" fontId="1" fillId="0" borderId="31" xfId="130" applyFont="1" applyBorder="1" applyAlignment="1" applyProtection="1">
      <alignment horizontal="left"/>
      <protection hidden="1"/>
    </xf>
    <xf numFmtId="0" fontId="1" fillId="0" borderId="31" xfId="130" applyFont="1" applyBorder="1" applyAlignment="1" applyProtection="1">
      <alignment horizontal="center" wrapText="1"/>
      <protection hidden="1"/>
    </xf>
    <xf numFmtId="0" fontId="1" fillId="0" borderId="31" xfId="130" applyFont="1" applyBorder="1" applyAlignment="1" applyProtection="1">
      <alignment horizontal="center"/>
      <protection hidden="1"/>
    </xf>
    <xf numFmtId="0" fontId="1" fillId="0" borderId="31" xfId="130" applyFont="1" applyBorder="1" applyAlignment="1" applyProtection="1">
      <alignment horizontal="center" vertical="center" wrapText="1"/>
      <protection hidden="1"/>
    </xf>
    <xf numFmtId="0" fontId="1" fillId="0" borderId="8" xfId="130" applyFont="1" applyBorder="1" applyAlignment="1" applyProtection="1">
      <alignment horizontal="center" vertical="center" wrapText="1"/>
      <protection hidden="1"/>
    </xf>
    <xf numFmtId="0" fontId="2" fillId="0" borderId="30" xfId="130" applyBorder="1" applyAlignment="1" applyProtection="1">
      <alignment horizontal="left"/>
      <protection hidden="1"/>
    </xf>
    <xf numFmtId="0" fontId="1" fillId="9" borderId="4" xfId="130" applyFont="1" applyFill="1" applyBorder="1" applyProtection="1">
      <protection hidden="1"/>
    </xf>
    <xf numFmtId="0" fontId="1" fillId="9" borderId="5" xfId="130" applyFont="1" applyFill="1" applyBorder="1" applyAlignment="1" applyProtection="1">
      <alignment horizontal="center"/>
      <protection hidden="1"/>
    </xf>
    <xf numFmtId="0" fontId="1" fillId="9" borderId="5" xfId="130" applyFont="1" applyFill="1" applyBorder="1" applyAlignment="1" applyProtection="1">
      <alignment horizontal="center" vertical="center"/>
      <protection hidden="1"/>
    </xf>
    <xf numFmtId="0" fontId="1" fillId="9" borderId="4" xfId="130" applyFont="1" applyFill="1" applyBorder="1" applyAlignment="1" applyProtection="1">
      <alignment horizontal="left"/>
      <protection hidden="1"/>
    </xf>
    <xf numFmtId="0" fontId="1" fillId="0" borderId="0" xfId="130" applyFont="1" applyAlignment="1" applyProtection="1">
      <alignment horizontal="left"/>
      <protection hidden="1"/>
    </xf>
    <xf numFmtId="0" fontId="1" fillId="0" borderId="0" xfId="130" applyFont="1" applyAlignment="1" applyProtection="1">
      <alignment horizontal="center"/>
      <protection hidden="1"/>
    </xf>
    <xf numFmtId="0" fontId="1" fillId="0" borderId="0" xfId="130" applyFont="1" applyAlignment="1" applyProtection="1">
      <alignment horizontal="center" vertical="center"/>
      <protection hidden="1"/>
    </xf>
    <xf numFmtId="164" fontId="1" fillId="0" borderId="0" xfId="130" applyNumberFormat="1" applyFont="1" applyAlignment="1" applyProtection="1">
      <alignment horizontal="center" vertical="center"/>
      <protection hidden="1"/>
    </xf>
    <xf numFmtId="2" fontId="2" fillId="4" borderId="0" xfId="130" applyNumberFormat="1" applyFill="1" applyAlignment="1" applyProtection="1">
      <alignment horizontal="center"/>
      <protection hidden="1"/>
    </xf>
    <xf numFmtId="0" fontId="2" fillId="4" borderId="0" xfId="130" applyFill="1" applyAlignment="1" applyProtection="1">
      <alignment horizontal="center" vertical="center"/>
      <protection hidden="1"/>
    </xf>
    <xf numFmtId="2" fontId="2" fillId="4" borderId="0" xfId="130" applyNumberFormat="1" applyFill="1" applyAlignment="1" applyProtection="1">
      <alignment horizontal="center" vertical="center"/>
      <protection hidden="1"/>
    </xf>
    <xf numFmtId="9" fontId="2" fillId="0" borderId="0" xfId="130" applyNumberFormat="1" applyAlignment="1" applyProtection="1">
      <alignment horizontal="center" vertical="center"/>
      <protection hidden="1"/>
    </xf>
    <xf numFmtId="169" fontId="2" fillId="0" borderId="0" xfId="213" applyNumberFormat="1" applyFont="1" applyAlignment="1" applyProtection="1">
      <alignment horizontal="center" vertical="center"/>
      <protection hidden="1"/>
    </xf>
    <xf numFmtId="2" fontId="2" fillId="0" borderId="0" xfId="130" applyNumberFormat="1" applyAlignment="1" applyProtection="1">
      <alignment horizontal="center"/>
      <protection hidden="1"/>
    </xf>
    <xf numFmtId="16" fontId="2" fillId="0" borderId="0" xfId="130" applyNumberFormat="1" applyAlignment="1" applyProtection="1">
      <alignment horizontal="center" vertical="center"/>
      <protection hidden="1"/>
    </xf>
    <xf numFmtId="2" fontId="2" fillId="0" borderId="0" xfId="130" applyNumberFormat="1" applyAlignment="1" applyProtection="1">
      <alignment horizontal="center" vertical="center"/>
      <protection hidden="1"/>
    </xf>
    <xf numFmtId="43" fontId="2" fillId="0" borderId="0" xfId="130" applyNumberFormat="1" applyAlignment="1" applyProtection="1">
      <alignment horizontal="center" vertical="center"/>
      <protection hidden="1"/>
    </xf>
    <xf numFmtId="0" fontId="2" fillId="4" borderId="0" xfId="130" applyFill="1" applyAlignment="1" applyProtection="1">
      <alignment horizontal="center"/>
      <protection hidden="1"/>
    </xf>
    <xf numFmtId="1" fontId="2" fillId="4" borderId="0" xfId="130" applyNumberFormat="1" applyFill="1" applyAlignment="1" applyProtection="1">
      <alignment horizontal="center" vertical="center"/>
      <protection hidden="1"/>
    </xf>
    <xf numFmtId="9" fontId="2" fillId="0" borderId="0" xfId="215" applyFont="1" applyAlignment="1" applyProtection="1">
      <alignment horizontal="center" vertical="center"/>
      <protection hidden="1"/>
    </xf>
    <xf numFmtId="170" fontId="2" fillId="0" borderId="0" xfId="214" applyNumberFormat="1" applyFont="1" applyAlignment="1" applyProtection="1">
      <alignment horizontal="center" vertical="center"/>
      <protection hidden="1"/>
    </xf>
    <xf numFmtId="164" fontId="2" fillId="0" borderId="0" xfId="214" applyNumberFormat="1" applyFont="1" applyAlignment="1" applyProtection="1">
      <alignment horizontal="center" vertical="center"/>
      <protection hidden="1"/>
    </xf>
    <xf numFmtId="39" fontId="2" fillId="0" borderId="0" xfId="213" applyNumberFormat="1" applyFont="1" applyAlignment="1" applyProtection="1">
      <alignment horizontal="center" vertical="center"/>
      <protection hidden="1"/>
    </xf>
    <xf numFmtId="165" fontId="2" fillId="0" borderId="0" xfId="215" applyNumberFormat="1" applyFont="1" applyAlignment="1" applyProtection="1">
      <alignment horizontal="center" vertical="center"/>
      <protection hidden="1"/>
    </xf>
    <xf numFmtId="167" fontId="2" fillId="0" borderId="0" xfId="215" applyNumberFormat="1" applyFont="1" applyAlignment="1" applyProtection="1">
      <alignment horizontal="center" vertical="center"/>
      <protection hidden="1"/>
    </xf>
    <xf numFmtId="2" fontId="2" fillId="0" borderId="0" xfId="215" applyNumberFormat="1" applyFont="1" applyAlignment="1" applyProtection="1">
      <alignment horizontal="center" vertical="center"/>
      <protection hidden="1"/>
    </xf>
    <xf numFmtId="166" fontId="2" fillId="0" borderId="0" xfId="215" applyNumberFormat="1" applyFont="1" applyAlignment="1" applyProtection="1">
      <alignment horizontal="center" vertical="center"/>
      <protection hidden="1"/>
    </xf>
    <xf numFmtId="1" fontId="2" fillId="0" borderId="0" xfId="215" applyNumberFormat="1" applyFont="1" applyAlignment="1" applyProtection="1">
      <alignment horizontal="center" vertical="center"/>
      <protection hidden="1"/>
    </xf>
    <xf numFmtId="0" fontId="0" fillId="0" borderId="0" xfId="0" applyProtection="1">
      <protection hidden="1"/>
    </xf>
    <xf numFmtId="0" fontId="6" fillId="0" borderId="0" xfId="0" applyFont="1" applyProtection="1">
      <protection hidden="1"/>
    </xf>
    <xf numFmtId="0" fontId="0" fillId="0" borderId="3" xfId="0" applyBorder="1" applyAlignment="1" applyProtection="1">
      <alignment vertical="center" wrapText="1"/>
      <protection hidden="1"/>
    </xf>
    <xf numFmtId="0" fontId="0" fillId="0" borderId="3" xfId="0" applyBorder="1" applyAlignment="1" applyProtection="1">
      <alignment horizontal="center" vertical="center" wrapText="1"/>
      <protection hidden="1"/>
    </xf>
    <xf numFmtId="0" fontId="0" fillId="0" borderId="3" xfId="0" applyBorder="1" applyAlignment="1" applyProtection="1">
      <alignment horizontal="center" wrapText="1"/>
      <protection hidden="1"/>
    </xf>
    <xf numFmtId="0" fontId="6" fillId="0" borderId="3" xfId="0" applyFont="1" applyBorder="1" applyAlignment="1" applyProtection="1">
      <alignment horizontal="center" wrapText="1"/>
      <protection hidden="1"/>
    </xf>
    <xf numFmtId="0" fontId="0" fillId="0" borderId="0" xfId="0" applyAlignment="1" applyProtection="1">
      <alignment horizontal="center"/>
      <protection hidden="1"/>
    </xf>
    <xf numFmtId="0" fontId="6" fillId="0" borderId="3" xfId="0" applyFont="1" applyBorder="1" applyAlignment="1" applyProtection="1">
      <alignment horizontal="center"/>
      <protection hidden="1"/>
    </xf>
    <xf numFmtId="0" fontId="0" fillId="0" borderId="3" xfId="0" applyBorder="1" applyAlignment="1" applyProtection="1">
      <alignment horizontal="center"/>
      <protection hidden="1"/>
    </xf>
    <xf numFmtId="166" fontId="0" fillId="0" borderId="3" xfId="0" applyNumberFormat="1" applyBorder="1" applyAlignment="1" applyProtection="1">
      <alignment horizontal="center"/>
      <protection hidden="1"/>
    </xf>
    <xf numFmtId="2" fontId="0" fillId="0" borderId="3" xfId="0" applyNumberFormat="1" applyBorder="1" applyAlignment="1" applyProtection="1">
      <alignment horizontal="center"/>
      <protection hidden="1"/>
    </xf>
    <xf numFmtId="10" fontId="2" fillId="0" borderId="0" xfId="215" applyNumberFormat="1" applyFont="1" applyAlignment="1" applyProtection="1">
      <alignment horizontal="center" vertical="center"/>
      <protection hidden="1"/>
    </xf>
    <xf numFmtId="0" fontId="2" fillId="0" borderId="0" xfId="136" applyAlignment="1" applyProtection="1">
      <alignment horizontal="center" vertical="center" wrapText="1"/>
      <protection hidden="1"/>
    </xf>
    <xf numFmtId="171" fontId="2" fillId="0" borderId="0" xfId="136" applyNumberFormat="1" applyAlignment="1" applyProtection="1">
      <alignment horizontal="center" vertical="center"/>
      <protection hidden="1"/>
    </xf>
    <xf numFmtId="0" fontId="26" fillId="13" borderId="0" xfId="0" applyFont="1" applyFill="1" applyProtection="1">
      <protection hidden="1"/>
    </xf>
    <xf numFmtId="6" fontId="0" fillId="0" borderId="0" xfId="0" applyNumberFormat="1" applyProtection="1">
      <protection hidden="1"/>
    </xf>
    <xf numFmtId="1" fontId="0" fillId="0" borderId="0" xfId="0" applyNumberFormat="1" applyProtection="1">
      <protection hidden="1"/>
    </xf>
    <xf numFmtId="2" fontId="0" fillId="0" borderId="0" xfId="0" applyNumberFormat="1" applyProtection="1">
      <protection hidden="1"/>
    </xf>
    <xf numFmtId="0" fontId="4" fillId="0" borderId="0" xfId="0" applyFont="1" applyProtection="1">
      <protection hidden="1"/>
    </xf>
    <xf numFmtId="8" fontId="0" fillId="0" borderId="0" xfId="0" applyNumberFormat="1" applyProtection="1">
      <protection hidden="1"/>
    </xf>
    <xf numFmtId="9" fontId="0" fillId="0" borderId="0" xfId="215" applyFont="1" applyProtection="1">
      <protection hidden="1"/>
    </xf>
    <xf numFmtId="6" fontId="26" fillId="0" borderId="0" xfId="0" applyNumberFormat="1" applyFont="1" applyProtection="1">
      <protection hidden="1"/>
    </xf>
    <xf numFmtId="0" fontId="14" fillId="0" borderId="0" xfId="0" applyFont="1" applyProtection="1">
      <protection hidden="1"/>
    </xf>
    <xf numFmtId="0" fontId="26" fillId="14" borderId="0" xfId="0" applyFont="1" applyFill="1" applyProtection="1">
      <protection hidden="1"/>
    </xf>
    <xf numFmtId="0" fontId="0" fillId="15" borderId="33" xfId="0" applyFill="1" applyBorder="1" applyProtection="1">
      <protection hidden="1"/>
    </xf>
    <xf numFmtId="0" fontId="0" fillId="14" borderId="0" xfId="0" applyFill="1" applyProtection="1">
      <protection hidden="1"/>
    </xf>
    <xf numFmtId="14" fontId="0" fillId="0" borderId="0" xfId="0" applyNumberFormat="1" applyProtection="1">
      <protection hidden="1"/>
    </xf>
    <xf numFmtId="0" fontId="5" fillId="16" borderId="34" xfId="1" applyFont="1" applyFill="1" applyBorder="1"/>
    <xf numFmtId="0" fontId="33" fillId="16" borderId="35" xfId="0" applyFont="1" applyFill="1" applyBorder="1"/>
    <xf numFmtId="0" fontId="5" fillId="17" borderId="34" xfId="1" applyFont="1" applyFill="1" applyBorder="1"/>
    <xf numFmtId="0" fontId="33" fillId="17" borderId="35" xfId="0" applyFont="1" applyFill="1" applyBorder="1"/>
    <xf numFmtId="0" fontId="0" fillId="6" borderId="0" xfId="0" applyFill="1" applyProtection="1">
      <protection hidden="1"/>
    </xf>
    <xf numFmtId="0" fontId="26" fillId="0" borderId="0" xfId="0" applyFont="1" applyProtection="1">
      <protection hidden="1"/>
    </xf>
    <xf numFmtId="0" fontId="26" fillId="0" borderId="3" xfId="0" applyFont="1" applyBorder="1" applyProtection="1">
      <protection hidden="1"/>
    </xf>
    <xf numFmtId="0" fontId="0" fillId="0" borderId="3" xfId="0" applyBorder="1" applyProtection="1">
      <protection hidden="1"/>
    </xf>
    <xf numFmtId="6" fontId="0" fillId="0" borderId="3" xfId="0" applyNumberFormat="1" applyBorder="1" applyProtection="1">
      <protection hidden="1"/>
    </xf>
    <xf numFmtId="0" fontId="0" fillId="0" borderId="13" xfId="0" applyBorder="1" applyProtection="1">
      <protection hidden="1"/>
    </xf>
    <xf numFmtId="0" fontId="26" fillId="0" borderId="20" xfId="0" applyFont="1" applyBorder="1" applyProtection="1">
      <protection hidden="1"/>
    </xf>
    <xf numFmtId="0" fontId="26" fillId="0" borderId="17" xfId="0" applyFont="1" applyBorder="1" applyAlignment="1" applyProtection="1">
      <alignment horizontal="center" vertical="center"/>
      <protection hidden="1"/>
    </xf>
    <xf numFmtId="0" fontId="26" fillId="0" borderId="14" xfId="0" applyFont="1" applyBorder="1" applyAlignment="1" applyProtection="1">
      <alignment horizontal="center" vertical="center"/>
      <protection hidden="1"/>
    </xf>
    <xf numFmtId="0" fontId="26" fillId="0" borderId="6" xfId="0" applyFont="1"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6" xfId="0" applyBorder="1" applyAlignment="1" applyProtection="1">
      <alignment horizontal="center" vertical="center"/>
      <protection hidden="1"/>
    </xf>
    <xf numFmtId="0" fontId="26" fillId="0" borderId="21" xfId="0" applyFont="1" applyBorder="1" applyProtection="1">
      <protection hidden="1"/>
    </xf>
    <xf numFmtId="0" fontId="0" fillId="0" borderId="22" xfId="0" applyBorder="1" applyAlignment="1" applyProtection="1">
      <alignment horizontal="center" vertical="center"/>
      <protection hidden="1"/>
    </xf>
    <xf numFmtId="0" fontId="0" fillId="0" borderId="25" xfId="0" applyBorder="1" applyAlignment="1" applyProtection="1">
      <alignment horizontal="center" vertical="center"/>
      <protection hidden="1"/>
    </xf>
    <xf numFmtId="0" fontId="0" fillId="0" borderId="29" xfId="0" applyBorder="1" applyAlignment="1" applyProtection="1">
      <alignment horizontal="center" vertical="center"/>
      <protection hidden="1"/>
    </xf>
    <xf numFmtId="0" fontId="26" fillId="0" borderId="10" xfId="0" applyFont="1" applyBorder="1" applyProtection="1">
      <protection hidden="1"/>
    </xf>
    <xf numFmtId="0" fontId="26" fillId="0" borderId="11" xfId="0" applyFont="1" applyBorder="1" applyProtection="1">
      <protection hidden="1"/>
    </xf>
    <xf numFmtId="0" fontId="0" fillId="0" borderId="10" xfId="0" applyBorder="1" applyProtection="1">
      <protection hidden="1"/>
    </xf>
    <xf numFmtId="0" fontId="0" fillId="0" borderId="11" xfId="0" applyBorder="1" applyProtection="1">
      <protection hidden="1"/>
    </xf>
    <xf numFmtId="0" fontId="6" fillId="0" borderId="10" xfId="0" applyFont="1" applyBorder="1" applyProtection="1">
      <protection hidden="1"/>
    </xf>
    <xf numFmtId="0" fontId="6" fillId="0" borderId="11" xfId="0" applyFont="1" applyBorder="1" applyProtection="1">
      <protection hidden="1"/>
    </xf>
    <xf numFmtId="0" fontId="0" fillId="0" borderId="12" xfId="0" applyBorder="1" applyProtection="1">
      <protection hidden="1"/>
    </xf>
    <xf numFmtId="0" fontId="0" fillId="0" borderId="18" xfId="0" applyBorder="1" applyProtection="1">
      <protection hidden="1"/>
    </xf>
    <xf numFmtId="0" fontId="0" fillId="0" borderId="9" xfId="0" applyBorder="1" applyProtection="1">
      <protection hidden="1"/>
    </xf>
    <xf numFmtId="0" fontId="26" fillId="0" borderId="0" xfId="0" applyFont="1" applyAlignment="1" applyProtection="1">
      <alignment horizontal="center"/>
      <protection hidden="1"/>
    </xf>
    <xf numFmtId="0" fontId="0" fillId="0" borderId="0" xfId="0" applyAlignment="1" applyProtection="1">
      <alignment horizontal="center" vertical="center"/>
      <protection hidden="1"/>
    </xf>
    <xf numFmtId="0" fontId="33" fillId="16" borderId="36" xfId="0" applyFont="1" applyFill="1" applyBorder="1"/>
    <xf numFmtId="0" fontId="33" fillId="16" borderId="34" xfId="0" applyFont="1" applyFill="1" applyBorder="1"/>
    <xf numFmtId="0" fontId="33" fillId="17" borderId="36" xfId="0" applyFont="1" applyFill="1" applyBorder="1"/>
    <xf numFmtId="0" fontId="33" fillId="17" borderId="34" xfId="0" applyFont="1" applyFill="1" applyBorder="1"/>
    <xf numFmtId="164" fontId="0" fillId="0" borderId="3" xfId="0" applyNumberFormat="1" applyBorder="1" applyAlignment="1">
      <alignment horizontal="center"/>
    </xf>
    <xf numFmtId="164" fontId="1" fillId="0" borderId="3" xfId="0" applyNumberFormat="1" applyFont="1" applyBorder="1" applyAlignment="1">
      <alignment horizontal="center"/>
    </xf>
    <xf numFmtId="0" fontId="0" fillId="0" borderId="0" xfId="0" applyAlignment="1" applyProtection="1">
      <alignment horizontal="center"/>
      <protection hidden="1"/>
    </xf>
    <xf numFmtId="0" fontId="28" fillId="9" borderId="8" xfId="130" applyFont="1" applyFill="1" applyBorder="1" applyAlignment="1" applyProtection="1">
      <alignment horizontal="center" vertical="center"/>
      <protection hidden="1"/>
    </xf>
    <xf numFmtId="0" fontId="28" fillId="9" borderId="2" xfId="130" applyFont="1" applyFill="1" applyBorder="1" applyAlignment="1" applyProtection="1">
      <alignment horizontal="center" vertical="center"/>
      <protection hidden="1"/>
    </xf>
    <xf numFmtId="0" fontId="28" fillId="9" borderId="3" xfId="130" applyFont="1" applyFill="1" applyBorder="1" applyAlignment="1" applyProtection="1">
      <alignment horizontal="center" vertical="center" wrapText="1"/>
      <protection hidden="1"/>
    </xf>
    <xf numFmtId="0" fontId="0" fillId="0" borderId="4" xfId="0" applyBorder="1" applyAlignment="1" applyProtection="1">
      <alignment horizontal="left"/>
      <protection hidden="1"/>
    </xf>
    <xf numFmtId="0" fontId="0" fillId="0" borderId="5" xfId="0" applyBorder="1" applyAlignment="1" applyProtection="1">
      <alignment horizontal="left"/>
      <protection hidden="1"/>
    </xf>
    <xf numFmtId="0" fontId="0" fillId="0" borderId="6" xfId="0" applyBorder="1" applyAlignment="1" applyProtection="1">
      <alignment horizontal="left"/>
      <protection hidden="1"/>
    </xf>
    <xf numFmtId="0" fontId="0" fillId="0" borderId="8" xfId="0" applyBorder="1" applyAlignment="1" applyProtection="1">
      <alignment horizontal="left" vertical="center"/>
      <protection hidden="1"/>
    </xf>
    <xf numFmtId="0" fontId="0" fillId="0" borderId="19" xfId="0" applyBorder="1" applyAlignment="1" applyProtection="1">
      <alignment horizontal="left" vertical="center"/>
      <protection hidden="1"/>
    </xf>
    <xf numFmtId="0" fontId="0" fillId="0" borderId="2" xfId="0" applyBorder="1" applyAlignment="1" applyProtection="1">
      <alignment horizontal="left" vertical="center"/>
      <protection hidden="1"/>
    </xf>
    <xf numFmtId="0" fontId="26" fillId="13" borderId="0" xfId="0" applyFont="1" applyFill="1" applyAlignment="1" applyProtection="1">
      <alignment horizontal="center"/>
      <protection hidden="1"/>
    </xf>
    <xf numFmtId="0" fontId="31" fillId="11" borderId="32" xfId="130" applyFont="1" applyFill="1" applyBorder="1" applyAlignment="1" applyProtection="1">
      <alignment horizontal="center" vertical="center"/>
      <protection hidden="1"/>
    </xf>
    <xf numFmtId="0" fontId="31" fillId="11" borderId="0" xfId="130" applyFont="1" applyFill="1" applyAlignment="1" applyProtection="1">
      <alignment horizontal="center" vertical="center"/>
      <protection hidden="1"/>
    </xf>
    <xf numFmtId="0" fontId="31" fillId="12" borderId="32" xfId="130" applyFont="1" applyFill="1" applyBorder="1" applyAlignment="1" applyProtection="1">
      <alignment horizontal="center" vertical="center"/>
      <protection hidden="1"/>
    </xf>
    <xf numFmtId="0" fontId="31" fillId="12" borderId="0" xfId="130" applyFont="1" applyFill="1" applyAlignment="1" applyProtection="1">
      <alignment horizontal="center" vertical="center"/>
      <protection hidden="1"/>
    </xf>
    <xf numFmtId="0" fontId="0" fillId="0" borderId="4" xfId="0" applyBorder="1" applyAlignment="1" applyProtection="1">
      <alignment horizontal="center" vertical="center" wrapText="1"/>
      <protection hidden="1"/>
    </xf>
    <xf numFmtId="0" fontId="0" fillId="0" borderId="5" xfId="0"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26" fillId="0" borderId="24" xfId="0" applyFont="1" applyBorder="1" applyAlignment="1" applyProtection="1">
      <alignment horizontal="center"/>
      <protection hidden="1"/>
    </xf>
    <xf numFmtId="0" fontId="26" fillId="0" borderId="26" xfId="0" applyFont="1" applyBorder="1" applyAlignment="1" applyProtection="1">
      <alignment horizontal="center"/>
      <protection hidden="1"/>
    </xf>
    <xf numFmtId="0" fontId="26" fillId="0" borderId="27" xfId="0" applyFont="1" applyBorder="1" applyAlignment="1" applyProtection="1">
      <alignment horizontal="center"/>
      <protection hidden="1"/>
    </xf>
    <xf numFmtId="0" fontId="26" fillId="0" borderId="23" xfId="0" applyFont="1" applyBorder="1" applyAlignment="1" applyProtection="1">
      <alignment horizontal="center" vertical="center"/>
      <protection hidden="1"/>
    </xf>
    <xf numFmtId="0" fontId="26" fillId="0" borderId="16" xfId="0" applyFont="1" applyBorder="1" applyAlignment="1" applyProtection="1">
      <alignment horizontal="center" vertical="center"/>
      <protection hidden="1"/>
    </xf>
    <xf numFmtId="0" fontId="26" fillId="0" borderId="28" xfId="0" applyFont="1" applyBorder="1" applyAlignment="1" applyProtection="1">
      <alignment horizontal="center" vertical="center"/>
      <protection hidden="1"/>
    </xf>
  </cellXfs>
  <cellStyles count="216">
    <cellStyle name="Bad 2" xfId="111" xr:uid="{E2DEAF12-ABA4-43B8-9363-8B244CAB7F17}"/>
    <cellStyle name="Comma" xfId="213" builtinId="3"/>
    <cellStyle name="Comma 10" xfId="209" xr:uid="{DA6BF319-D87B-44FC-A0AD-5FC804484F61}"/>
    <cellStyle name="Comma 11" xfId="2" xr:uid="{987E2736-3E2C-45E5-A3E1-F61CEC8462E9}"/>
    <cellStyle name="Comma 2" xfId="11" xr:uid="{D732C5AA-75FA-4917-8E20-2C4F17BB726E}"/>
    <cellStyle name="Comma 2 2" xfId="12" xr:uid="{3EA190C1-02E4-4D5A-B4E0-68D299176004}"/>
    <cellStyle name="Comma 2 2 2" xfId="154" xr:uid="{E8E5CF8B-A74A-4D83-8FC9-85DDAC86C9EE}"/>
    <cellStyle name="Comma 2 3" xfId="17" xr:uid="{AFE5AAEA-61F3-481B-ADB9-223B7B351FBF}"/>
    <cellStyle name="Comma 2 4" xfId="32" xr:uid="{36BF0505-2D7E-4537-A945-B0BF7CE33533}"/>
    <cellStyle name="Comma 2 5" xfId="44" xr:uid="{7BCFC6D4-9594-4BFD-83F9-BF45D26D6AD8}"/>
    <cellStyle name="Comma 2 5 2" xfId="163" xr:uid="{5E70134A-E6E3-4087-ABCE-5F3E27B7871F}"/>
    <cellStyle name="Comma 2 6" xfId="153" xr:uid="{C5B9F8E5-6BB9-4A14-8841-85DCED9E934F}"/>
    <cellStyle name="Comma 3" xfId="16" xr:uid="{F162D60A-4FEE-475E-BF83-C875215462DA}"/>
    <cellStyle name="Comma 3 2" xfId="45" xr:uid="{B3B1714D-443C-4552-9463-99B384312422}"/>
    <cellStyle name="Comma 3 2 2" xfId="164" xr:uid="{F8655213-CA70-4274-80B6-D8C4E2BC43E4}"/>
    <cellStyle name="Comma 4" xfId="18" xr:uid="{E528E6B4-6F4A-45C1-991C-1C48129ADE87}"/>
    <cellStyle name="Comma 4 2" xfId="46" xr:uid="{89A5E375-C393-4302-A17E-5AAC3AAF564A}"/>
    <cellStyle name="Comma 5" xfId="19" xr:uid="{3391C625-656F-462C-BBBF-3303E6B06065}"/>
    <cellStyle name="Comma 5 2" xfId="105" xr:uid="{AFBCEF53-975A-4274-BDD6-19CB74DCD27D}"/>
    <cellStyle name="Comma 6" xfId="30" xr:uid="{B3FCE6BC-79DB-4BD8-AC86-6F9CB1EDA76B}"/>
    <cellStyle name="Comma 6 2" xfId="110" xr:uid="{8A8692BC-E121-49CA-9267-0CFFFEADA0D1}"/>
    <cellStyle name="Comma 6 2 2" xfId="174" xr:uid="{BE323518-B3E0-4472-BF6A-F0B554BD3AE5}"/>
    <cellStyle name="Comma 6 3" xfId="162" xr:uid="{E375411B-6C09-4A15-8540-FB0AE6D90AAB}"/>
    <cellStyle name="Comma 7" xfId="102" xr:uid="{2F664BE5-ECC3-4E69-8B81-FD0F1E4EB474}"/>
    <cellStyle name="Comma 8" xfId="114" xr:uid="{1F937F10-66C0-4339-A99E-BF1B52BEC1EF}"/>
    <cellStyle name="Comma 8 2" xfId="176" xr:uid="{4EA1364F-1D9D-47FB-858B-653123D9F2C3}"/>
    <cellStyle name="Comma 9" xfId="121" xr:uid="{8A6EFE86-21AB-4006-A452-AAB416C6AE7B}"/>
    <cellStyle name="Comma 9 2" xfId="129" xr:uid="{D93274D4-466F-4EB1-B568-4B7AD867B32A}"/>
    <cellStyle name="Comma 9 2 2" xfId="185" xr:uid="{F076FEA5-77F7-4298-B9D2-ACAC75365459}"/>
    <cellStyle name="Comma 9 3" xfId="143" xr:uid="{237481B4-8048-4AAF-9034-711D981ED190}"/>
    <cellStyle name="Comma 9 3 2" xfId="199" xr:uid="{2DAFF413-AD0B-44E9-9C97-0E634EB3B808}"/>
    <cellStyle name="Comma 9 4" xfId="148" xr:uid="{F5B091F1-2D07-4A14-9987-44C8C3BA9021}"/>
    <cellStyle name="Comma 9 4 2" xfId="204" xr:uid="{0F3ACE80-5A57-4B8A-A073-E8398C0B3FB8}"/>
    <cellStyle name="Comma 9 5" xfId="180" xr:uid="{E9819F49-30F8-451B-A624-CEF1C77E54A5}"/>
    <cellStyle name="Comma0" xfId="33" xr:uid="{6FFD9371-6BAD-41D2-B252-6D68D401D27C}"/>
    <cellStyle name="Currency" xfId="214" builtinId="4"/>
    <cellStyle name="Currency 10" xfId="3" xr:uid="{DFA283CA-4087-46A3-8321-E329A110B11B}"/>
    <cellStyle name="Currency 2" xfId="6" xr:uid="{F521E170-6FA0-4F55-BC94-02118C05FF52}"/>
    <cellStyle name="Currency 2 10" xfId="47" xr:uid="{A6D1A2D7-2AED-4622-AD35-9CA14E8981AE}"/>
    <cellStyle name="Currency 2 11" xfId="48" xr:uid="{F3560CFC-CC95-42A1-A07D-5EFC77AA4FFD}"/>
    <cellStyle name="Currency 2 12" xfId="49" xr:uid="{F0B47D8B-ABB7-4B4F-AFC4-E48B472C04C2}"/>
    <cellStyle name="Currency 2 13" xfId="50" xr:uid="{592ABA1D-717B-4AE6-917B-981305EEF1E2}"/>
    <cellStyle name="Currency 2 14" xfId="51" xr:uid="{A464753B-AF45-409B-AA04-9C2151D82152}"/>
    <cellStyle name="Currency 2 15" xfId="52" xr:uid="{B9D80CF1-7785-4E0E-8935-B649F2400505}"/>
    <cellStyle name="Currency 2 16" xfId="53" xr:uid="{BD564241-5C1C-49B8-9B68-4B10B56F7199}"/>
    <cellStyle name="Currency 2 17" xfId="104" xr:uid="{898C122B-06E2-41DA-9DEA-691867206DF5}"/>
    <cellStyle name="Currency 2 17 2" xfId="170" xr:uid="{4C909D11-CF31-4173-AF3F-6C698436FD1C}"/>
    <cellStyle name="Currency 2 18" xfId="43" xr:uid="{9E8B17CC-328B-4DF9-869B-2FE413677623}"/>
    <cellStyle name="Currency 2 2" xfId="54" xr:uid="{D49359F6-177C-4B51-B6A9-52F48720DFF8}"/>
    <cellStyle name="Currency 2 3" xfId="55" xr:uid="{3527A637-7A29-4EFD-B057-B544F92B37F8}"/>
    <cellStyle name="Currency 2 4" xfId="56" xr:uid="{E27B4E32-067C-4E80-AC60-B93948C4A436}"/>
    <cellStyle name="Currency 2 5" xfId="57" xr:uid="{B72C8152-5AD8-48BE-9F51-94B55EB800CC}"/>
    <cellStyle name="Currency 2 6" xfId="58" xr:uid="{E72E1959-76CB-44D4-97BE-5F0653A87D9B}"/>
    <cellStyle name="Currency 2 7" xfId="59" xr:uid="{2CDB5AF7-F1D8-4C0D-80A2-15609D307759}"/>
    <cellStyle name="Currency 2 8" xfId="60" xr:uid="{59AC4085-FED0-45E8-A49B-9B5F3239B436}"/>
    <cellStyle name="Currency 2 9" xfId="61" xr:uid="{9C3EBCEA-F0B9-435C-B324-0418CCBB277E}"/>
    <cellStyle name="Currency 3" xfId="14" xr:uid="{012B5002-64D3-4355-AD53-6689B3527C17}"/>
    <cellStyle name="Currency 3 2" xfId="62" xr:uid="{93392A2B-A601-4CCF-8F20-9CF447EDC25F}"/>
    <cellStyle name="Currency 3 2 2" xfId="165" xr:uid="{84D098BB-EFE5-4A94-BE9E-4330015D5924}"/>
    <cellStyle name="Currency 4" xfId="20" xr:uid="{858F0B1C-B63E-436D-A21A-05F621647BB8}"/>
    <cellStyle name="Currency 4 2" xfId="63" xr:uid="{5F62C9F8-7457-4F6B-8C92-7A7C882A13E0}"/>
    <cellStyle name="Currency 5" xfId="29" xr:uid="{22EEDC4A-C547-431F-8E70-E87BEF734719}"/>
    <cellStyle name="Currency 5 2" xfId="161" xr:uid="{7D90CFD7-B264-4804-9385-8846F350174C}"/>
    <cellStyle name="Currency 6" xfId="100" xr:uid="{895FE212-1C0C-4FA4-BD25-AE7110E64B2C}"/>
    <cellStyle name="Currency 7" xfId="116" xr:uid="{2AE5B708-510A-43BF-8A51-EEC3B414A6CB}"/>
    <cellStyle name="Currency 7 2" xfId="178" xr:uid="{516A53DF-CB0E-44D5-9631-46F69EF3B162}"/>
    <cellStyle name="Currency 8" xfId="123" xr:uid="{7B4B6652-BD0A-47B9-9266-FFFDFC016154}"/>
    <cellStyle name="Currency 8 2" xfId="182" xr:uid="{C05D6A96-54D0-4B60-B7D8-0C7C9119E357}"/>
    <cellStyle name="Currency 9" xfId="144" xr:uid="{995483C1-B7B7-4DED-A359-873CA2139245}"/>
    <cellStyle name="Currency 9 2" xfId="200" xr:uid="{59A8C4D8-843C-4AF1-9B6B-A68DF372D9C7}"/>
    <cellStyle name="Currency0" xfId="34" xr:uid="{04150862-B8A8-49DB-B610-92CD97C7CD9F}"/>
    <cellStyle name="Date" xfId="35" xr:uid="{4CABC825-21CD-4724-9925-D3D8E2BC67B7}"/>
    <cellStyle name="Fixed" xfId="36" xr:uid="{0D6AEECF-9229-4195-B5AE-3E80A781B023}"/>
    <cellStyle name="Heading 1 2" xfId="37" xr:uid="{274847C5-69C7-4AC9-B118-527FEFA388BC}"/>
    <cellStyle name="Heading 2 2" xfId="38" xr:uid="{C7E304F9-FA00-44BC-AB38-35CB538D0135}"/>
    <cellStyle name="Hyperlink" xfId="126" builtinId="8"/>
    <cellStyle name="Hyperlink 2" xfId="106" xr:uid="{68C0B409-0337-4C95-A66D-A84DA9C28E12}"/>
    <cellStyle name="Hyperlink 2 2" xfId="125" xr:uid="{159EF12C-A1BD-4D63-AE6A-1F843E3B0DE9}"/>
    <cellStyle name="Hyperlink 3" xfId="124" xr:uid="{71EF5C12-2C2B-4D1D-9220-266DB9762E46}"/>
    <cellStyle name="Input 2" xfId="112" xr:uid="{B707D7DC-552E-4D34-BBEC-0E8A76BA5007}"/>
    <cellStyle name="Normal" xfId="0" builtinId="0"/>
    <cellStyle name="Normal 10" xfId="113" xr:uid="{CDD19B77-6574-4C2C-963B-5C47E02127C1}"/>
    <cellStyle name="Normal 10 2" xfId="130" xr:uid="{B7FCB1F6-37FB-4C9B-9D3A-A5D6BF777EA8}"/>
    <cellStyle name="Normal 10 2 2" xfId="135" xr:uid="{AA296B72-0AAF-4CF6-AD36-A9004D14E0C2}"/>
    <cellStyle name="Normal 10 2 2 2" xfId="191" xr:uid="{652A1BF8-C7F0-44BC-9A5A-0B91AF751A35}"/>
    <cellStyle name="Normal 10 2 3" xfId="139" xr:uid="{7528EF67-1679-470C-840A-CEFA47497BFB}"/>
    <cellStyle name="Normal 10 2 3 2" xfId="195" xr:uid="{0B9DD0D9-AC0F-46C3-A5FD-F0F1992D6DC3}"/>
    <cellStyle name="Normal 10 2 4" xfId="186" xr:uid="{F79CACE6-1B9A-4947-894B-3ADAD5B8A260}"/>
    <cellStyle name="Normal 10 2 5" xfId="207" xr:uid="{A1D01ED2-BF8B-4FCB-A7E8-B73CE5316151}"/>
    <cellStyle name="Normal 10 3" xfId="133" xr:uid="{A0D07B6C-31BD-405A-A442-888D11AE2912}"/>
    <cellStyle name="Normal 10 3 2" xfId="149" xr:uid="{33AB44AE-3B9A-444A-BAD0-35721F8619E3}"/>
    <cellStyle name="Normal 10 3 2 2" xfId="205" xr:uid="{58AA5300-96C9-4636-A029-358F59B94A4A}"/>
    <cellStyle name="Normal 10 3 3" xfId="189" xr:uid="{3E39B1E3-B86F-4055-9FBD-527EA06DC505}"/>
    <cellStyle name="Normal 10 4" xfId="136" xr:uid="{0BA7AA44-1A4E-4233-BA5B-2A10C8C67756}"/>
    <cellStyle name="Normal 10 4 2" xfId="192" xr:uid="{210EED86-BE5A-4E2B-9CE1-4C52D95FC3D2}"/>
    <cellStyle name="Normal 10 5" xfId="137" xr:uid="{65B56D5F-C1D1-4565-A458-562C3983D9F0}"/>
    <cellStyle name="Normal 10 5 2" xfId="193" xr:uid="{56B9955F-F41E-4B80-A1C5-9A4BB9670615}"/>
    <cellStyle name="Normal 10 6" xfId="175" xr:uid="{3A7F401F-F889-4875-BFAE-BCC12C2960B4}"/>
    <cellStyle name="Normal 11" xfId="120" xr:uid="{8E539251-E2E5-44C5-B6D0-619131D21492}"/>
    <cellStyle name="Normal 11 2" xfId="128" xr:uid="{156A29EF-8CDF-4790-A9D6-8478FEFE0A64}"/>
    <cellStyle name="Normal 11 2 2" xfId="140" xr:uid="{350972B9-2B32-4D23-8DB1-C13B993C1A02}"/>
    <cellStyle name="Normal 11 2 2 2" xfId="196" xr:uid="{4700A9D3-06A7-417F-8569-DB8659ACF71B}"/>
    <cellStyle name="Normal 11 2 3" xfId="184" xr:uid="{797E90CB-3A05-49EA-96B4-96B45891929F}"/>
    <cellStyle name="Normal 11 3" xfId="131" xr:uid="{5DE8B90D-1F6E-4AD4-9430-FB758C39B720}"/>
    <cellStyle name="Normal 11 3 2" xfId="187" xr:uid="{01849043-2E68-458D-8F60-5F07F381A350}"/>
    <cellStyle name="Normal 11 4" xfId="142" xr:uid="{4849C3D7-159C-497B-B025-72DF6AC478C2}"/>
    <cellStyle name="Normal 11 4 2" xfId="198" xr:uid="{B6448C26-77F5-4B9F-A1CB-CFEE60044BFB}"/>
    <cellStyle name="Normal 11 5" xfId="146" xr:uid="{F17AF851-3265-4F46-B0C0-23BC07054BA4}"/>
    <cellStyle name="Normal 11 5 2" xfId="202" xr:uid="{03B25E67-9C54-42DD-9451-0EE39B222DA8}"/>
    <cellStyle name="Normal 11 6" xfId="179" xr:uid="{DEDFF796-24DC-4F6F-9495-7EDFA085E8BA}"/>
    <cellStyle name="Normal 12" xfId="208" xr:uid="{DD9B0B56-8769-44DC-B54A-620A45AE1ECB}"/>
    <cellStyle name="Normal 13" xfId="210" xr:uid="{B438D644-DE78-4FC5-9639-E8A4AA08C532}"/>
    <cellStyle name="Normal 14" xfId="211" xr:uid="{05BAF813-65CB-4310-9927-4A4B33E7DF4A}"/>
    <cellStyle name="Normal 15" xfId="212" xr:uid="{6ABF73D6-221E-45AE-BEAE-1617B24B3591}"/>
    <cellStyle name="Normal 16" xfId="1" xr:uid="{0575E82D-FE14-47D7-8C48-8EE9105DFDCB}"/>
    <cellStyle name="Normal 2" xfId="5" xr:uid="{21D0CE62-4EEB-4C33-B56E-565D5936330C}"/>
    <cellStyle name="Normal 2 10" xfId="64" xr:uid="{D986AE26-92DF-42B0-99BE-80D5FF30B8F0}"/>
    <cellStyle name="Normal 2 11" xfId="65" xr:uid="{FDA238F9-04FB-4752-8459-7D87A19832CA}"/>
    <cellStyle name="Normal 2 12" xfId="66" xr:uid="{A19B630D-7771-465B-AB15-5116AD8F301A}"/>
    <cellStyle name="Normal 2 13" xfId="67" xr:uid="{3860955E-7E0B-485B-AB18-2C66E4005BE5}"/>
    <cellStyle name="Normal 2 14" xfId="68" xr:uid="{7357AB0B-141F-4C99-AAB6-FE236B212F6B}"/>
    <cellStyle name="Normal 2 15" xfId="69" xr:uid="{B81CAC31-8A68-4975-BD97-523D594E5933}"/>
    <cellStyle name="Normal 2 16" xfId="70" xr:uid="{81F92E95-CFBB-4573-BB8B-B0484AD2EF48}"/>
    <cellStyle name="Normal 2 17" xfId="103" xr:uid="{C5ABC44C-B991-47E6-8391-5AAD26CFDBC6}"/>
    <cellStyle name="Normal 2 17 2" xfId="169" xr:uid="{667EDCCF-CF6E-4187-87C6-BC4EAE32E09A}"/>
    <cellStyle name="Normal 2 18" xfId="41" xr:uid="{F53B7656-F569-4D14-837D-D87E4F7509F4}"/>
    <cellStyle name="Normal 2 19" xfId="117" xr:uid="{4BB1A72F-A7E4-40F8-84D5-2CBC782F0E70}"/>
    <cellStyle name="Normal 2 2" xfId="15" xr:uid="{5E9E555C-2050-4B67-9547-5D404DD3BA81}"/>
    <cellStyle name="Normal 2 2 2" xfId="21" xr:uid="{65681AD7-E9A8-42B5-A6A3-52F93405E276}"/>
    <cellStyle name="Normal 2 2 3" xfId="71" xr:uid="{A8414F69-4A8D-417E-B634-0DC9CAA17B4B}"/>
    <cellStyle name="Normal 2 2 4" xfId="156" xr:uid="{262EA985-8FB0-43DF-AE9C-ED1181CD94D9}"/>
    <cellStyle name="Normal 2 20" xfId="118" xr:uid="{CC30345C-4A48-43AF-8261-E54741F7BA91}"/>
    <cellStyle name="Normal 2 21" xfId="151" xr:uid="{B5DBD411-681F-4184-BBA1-05B93FED9E06}"/>
    <cellStyle name="Normal 2 3" xfId="22" xr:uid="{422ABA86-40DD-44AE-B3D8-615C58FE0488}"/>
    <cellStyle name="Normal 2 3 2" xfId="72" xr:uid="{18A2D713-2971-41DE-B231-3B7EA5E4F0EE}"/>
    <cellStyle name="Normal 2 3 3" xfId="157" xr:uid="{1083CFCB-948B-41F2-A514-C734A32844F3}"/>
    <cellStyle name="Normal 2 4" xfId="73" xr:uid="{A4BA4663-CC42-40DB-AFB4-08C7C7774859}"/>
    <cellStyle name="Normal 2 5" xfId="74" xr:uid="{3742D895-F8E6-4073-A77E-DA529B9690F5}"/>
    <cellStyle name="Normal 2 6" xfId="75" xr:uid="{BBA210AD-F0F1-4624-A825-3AD125EDEE82}"/>
    <cellStyle name="Normal 2 7" xfId="76" xr:uid="{B1778F45-4963-4AF9-B40E-7F7879582523}"/>
    <cellStyle name="Normal 2 8" xfId="77" xr:uid="{B7F5308E-97AF-4FCD-8172-575DCCDAA373}"/>
    <cellStyle name="Normal 2 9" xfId="78" xr:uid="{1DE2166E-726E-4CD3-92D7-A419DD34A3B0}"/>
    <cellStyle name="Normal 3" xfId="8" xr:uid="{AF81E57D-9E71-40CC-93CD-3F9488CA68ED}"/>
    <cellStyle name="Normal 3 10" xfId="79" xr:uid="{2818B2B1-18F5-471B-AFBD-87A0C5FDE41D}"/>
    <cellStyle name="Normal 3 11" xfId="80" xr:uid="{2163BF51-E5FB-4F58-9D8D-E222B14184A5}"/>
    <cellStyle name="Normal 3 12" xfId="81" xr:uid="{7E0C9D75-FA89-4011-9AA3-16D9DDA6A5FC}"/>
    <cellStyle name="Normal 3 13" xfId="82" xr:uid="{3570BCEE-9B15-49E4-95D0-88ADACE53BA0}"/>
    <cellStyle name="Normal 3 14" xfId="83" xr:uid="{53D956B4-50C1-4C5B-AF9D-0EC2E30451F7}"/>
    <cellStyle name="Normal 3 15" xfId="84" xr:uid="{D253E9E8-A05C-4D4C-B3BD-64926F02F5A9}"/>
    <cellStyle name="Normal 3 16" xfId="85" xr:uid="{8E2A0EFA-E2C9-4BF4-BA49-ECB725FAA696}"/>
    <cellStyle name="Normal 3 17" xfId="42" xr:uid="{4C486DC4-2D2B-4342-90FE-690250ACEB45}"/>
    <cellStyle name="Normal 3 2" xfId="13" xr:uid="{A34E086F-31B6-496A-9309-7E12CE71C5E6}"/>
    <cellStyle name="Normal 3 2 2" xfId="86" xr:uid="{56BAD70A-303D-401C-8769-01913659B25A}"/>
    <cellStyle name="Normal 3 2 3" xfId="155" xr:uid="{53BDB6A0-A87A-4E1E-B6A7-CA9F7CC64C2B}"/>
    <cellStyle name="Normal 3 3" xfId="31" xr:uid="{17EAE787-3E26-4245-89E9-A2FF6DC7168C}"/>
    <cellStyle name="Normal 3 3 2" xfId="87" xr:uid="{C464CEBB-D1B4-43F6-AD75-3D23A17E9B3A}"/>
    <cellStyle name="Normal 3 4" xfId="88" xr:uid="{495C80EC-E84E-469D-86BF-E8A61EC80FF8}"/>
    <cellStyle name="Normal 3 5" xfId="89" xr:uid="{226587CA-EEA9-4932-A998-F7B1BE54F708}"/>
    <cellStyle name="Normal 3 6" xfId="90" xr:uid="{C475892D-828C-4444-8C28-3C22C4D235E6}"/>
    <cellStyle name="Normal 3 7" xfId="91" xr:uid="{C6AB2445-70B1-4516-B400-D667C5920E0C}"/>
    <cellStyle name="Normal 3 8" xfId="92" xr:uid="{38ACC1CB-6872-460F-9D95-80D1A0B0BBDF}"/>
    <cellStyle name="Normal 3 9" xfId="93" xr:uid="{E26852A9-ED8D-4A5F-96CC-D8DBD2C45F21}"/>
    <cellStyle name="Normal 4" xfId="7" xr:uid="{64C090D2-99C0-441B-8414-D8E8A86A4BAE}"/>
    <cellStyle name="Normal 4 2" xfId="94" xr:uid="{CCFB77EB-8D57-4CCD-9DFB-58EF8E1DF06F}"/>
    <cellStyle name="Normal 4 2 2" xfId="166" xr:uid="{192D8E0C-943E-4C00-A40D-FF03069A4504}"/>
    <cellStyle name="Normal 5" xfId="24" xr:uid="{97B60F5C-1D10-43E0-9557-045F8A71C559}"/>
    <cellStyle name="Normal 5 2" xfId="95" xr:uid="{6B547CF0-3BD3-468B-BD35-BBED83CC0CBD}"/>
    <cellStyle name="Normal 6" xfId="25" xr:uid="{6CDBDB2E-DCD5-4C7E-A71A-637FBBBB5BFB}"/>
    <cellStyle name="Normal 6 2" xfId="107" xr:uid="{8F7B80C1-A5DA-4C72-BD83-49A1B444F069}"/>
    <cellStyle name="Normal 6 2 2" xfId="171" xr:uid="{88265531-B6B5-4303-90FA-DAAD3CEDEC72}"/>
    <cellStyle name="Normal 7" xfId="26" xr:uid="{1825E076-4410-46AF-A12E-C7331CCB8BD7}"/>
    <cellStyle name="Normal 7 2" xfId="108" xr:uid="{7FBF4577-6EFE-4A26-96A0-E6EE0EED0236}"/>
    <cellStyle name="Normal 7 2 2" xfId="172" xr:uid="{D341AAE9-E4B1-4FA4-8DF0-E6044DA28E09}"/>
    <cellStyle name="Normal 7 3" xfId="158" xr:uid="{E1A5E352-50D1-4B61-9BDF-58C74F2AD0F7}"/>
    <cellStyle name="Normal 8" xfId="27" xr:uid="{F85B08E4-EBC5-4974-B763-41024B71BC55}"/>
    <cellStyle name="Normal 8 2" xfId="127" xr:uid="{238B7089-E17D-4F94-AC52-7961121DE103}"/>
    <cellStyle name="Normal 8 2 2" xfId="134" xr:uid="{D50234F0-3F87-467E-844C-314D57DD949C}"/>
    <cellStyle name="Normal 8 2 2 2" xfId="190" xr:uid="{B0CB57F7-66EA-4AF2-8955-1871CA3B1D63}"/>
    <cellStyle name="Normal 8 2 3" xfId="141" xr:uid="{C06594AD-93EF-4854-AC78-4C14F64CECDE}"/>
    <cellStyle name="Normal 8 2 3 2" xfId="197" xr:uid="{D3EE2A65-AA34-4AC5-A90C-BD4610A35CE8}"/>
    <cellStyle name="Normal 8 2 4" xfId="183" xr:uid="{EFE7C639-5DBD-47A9-B4C0-A57430B50296}"/>
    <cellStyle name="Normal 8 3" xfId="132" xr:uid="{32F7CD87-61F0-4C82-B0D9-BD7CBDBCB187}"/>
    <cellStyle name="Normal 8 3 2" xfId="150" xr:uid="{11BE5ED8-A27F-4D57-AEEF-DCBED317358B}"/>
    <cellStyle name="Normal 8 3 2 2" xfId="206" xr:uid="{6C736BA1-1EB7-4DAB-B8A4-800DD798035A}"/>
    <cellStyle name="Normal 8 3 3" xfId="188" xr:uid="{009BFBD4-A05F-40DC-8487-577F778DDB78}"/>
    <cellStyle name="Normal 8 4" xfId="138" xr:uid="{65AEFB35-E999-4322-8A94-28A56FC3CE59}"/>
    <cellStyle name="Normal 8 4 2" xfId="194" xr:uid="{E2DC6594-D2E6-43C4-AC5E-CDAA4A86D1FB}"/>
    <cellStyle name="Normal 8 5" xfId="147" xr:uid="{E6E43527-6C13-4305-A195-292969585833}"/>
    <cellStyle name="Normal 8 5 2" xfId="203" xr:uid="{9BDBE2AE-73F7-4885-8F9C-77950737E2A2}"/>
    <cellStyle name="Normal 8 6" xfId="159" xr:uid="{47A2FBE4-80E4-498C-82E2-1D20DAF44630}"/>
    <cellStyle name="Normal 9" xfId="40" xr:uid="{D846D40B-E81F-44E8-A3EB-F3A9AE4F8C7E}"/>
    <cellStyle name="Percent" xfId="215" builtinId="5"/>
    <cellStyle name="Percent 10" xfId="122" xr:uid="{FB921A22-661C-4966-99F4-E4A9ED8C3787}"/>
    <cellStyle name="Percent 10 2" xfId="181" xr:uid="{370D0816-B092-44E6-AE47-4106B617E653}"/>
    <cellStyle name="Percent 11" xfId="145" xr:uid="{07A4CE0B-86C3-4E59-8C71-B843050C0371}"/>
    <cellStyle name="Percent 11 2" xfId="201" xr:uid="{0F83DE76-CCBC-4810-89B8-67D26B68DD43}"/>
    <cellStyle name="Percent 12" xfId="4" xr:uid="{C5844373-3BC8-46CD-A710-653C500D1712}"/>
    <cellStyle name="Percent 2" xfId="10" xr:uid="{8386A176-E984-4897-858A-2345D721B207}"/>
    <cellStyle name="Percent 2 2" xfId="96" xr:uid="{0E6CA02D-54FE-4C74-977E-6896C39B5397}"/>
    <cellStyle name="Percent 2 3" xfId="152" xr:uid="{4B015E31-1BD4-4563-A0AB-8A92FFA2DB24}"/>
    <cellStyle name="Percent 3" xfId="9" xr:uid="{C0B4092C-220D-48E2-850A-897B70A11133}"/>
    <cellStyle name="Percent 3 2" xfId="97" xr:uid="{1FB54CDB-6A28-47DF-AD1F-2B93D156D1F6}"/>
    <cellStyle name="Percent 3 2 2" xfId="167" xr:uid="{FDD38A1A-9710-496D-AB53-594CF1726D3D}"/>
    <cellStyle name="Percent 4" xfId="23" xr:uid="{552F8790-AB26-450C-AA90-E29FE4641DE0}"/>
    <cellStyle name="Percent 4 2" xfId="98" xr:uid="{090E600E-4B76-4339-8BC1-09AC9AB821FF}"/>
    <cellStyle name="Percent 4 2 2" xfId="168" xr:uid="{DEE3B9ED-122F-4619-96AA-59A198723C1A}"/>
    <cellStyle name="Percent 5" xfId="28" xr:uid="{EEC4186D-F658-4B1F-A584-49ADF9B5FB1C}"/>
    <cellStyle name="Percent 5 2" xfId="99" xr:uid="{5DF39FBA-DAEA-4F30-B350-4270008994C5}"/>
    <cellStyle name="Percent 5 3" xfId="160" xr:uid="{FA7672C2-6F3B-42B5-976E-CD86B906BB50}"/>
    <cellStyle name="Percent 6" xfId="109" xr:uid="{0B221DEE-5EE7-447C-9489-C98CD1496446}"/>
    <cellStyle name="Percent 6 2" xfId="173" xr:uid="{8E657467-04CC-4565-9585-76902D4DE32B}"/>
    <cellStyle name="Percent 7" xfId="101" xr:uid="{13962F09-EC08-4C1B-8259-0DC74F593A94}"/>
    <cellStyle name="Percent 8" xfId="115" xr:uid="{77554B28-0A02-46F0-BAA5-86B2FCA39835}"/>
    <cellStyle name="Percent 8 2" xfId="177" xr:uid="{661C1C52-9479-4032-A382-70909DCE457B}"/>
    <cellStyle name="Percent 9" xfId="119" xr:uid="{56F81362-E3A3-4843-90E3-3E49B11E8BBA}"/>
    <cellStyle name="Total 2" xfId="39" xr:uid="{ED72F4F8-EA6D-4518-B1F0-88DBA177C2E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houtx.sharepoint.com/sites/TDO-TrafficManagement/Shared%20Documents/1-Grants/2023%20TIP/2023%202024%20Submissions/Gellhorn%20Dr/BCA/Copy%20of%202024_Aug_GELLHORN_HGAC%20(004).xlsm" TargetMode="External"/><Relationship Id="rId1" Type="http://schemas.openxmlformats.org/officeDocument/2006/relationships/externalLinkPath" Target="Copy%20of%202024_Aug_GELLHORN_HGAC%20(004).xlsm"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houtx.sharepoint.com/sites/TDO-TrafficManagement/Shared%20Documents/1-Grants/2023%20TIP/2023%202024%20Submissions/Dairy%20Ashford/BCAs/State%20of%20Good%20Repair%20Dairy%20Ashford_HGAC.xlsm" TargetMode="External"/><Relationship Id="rId1" Type="http://schemas.openxmlformats.org/officeDocument/2006/relationships/externalLinkPath" Target="/sites/TDO-TrafficManagement/Shared%20Documents/1-Grants/2023%20TIP/2023%202024%20Submissions/Dairy%20Ashford/BCAs/State%20of%20Good%20Repair%20Dairy%20Ashford_HGAC.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Tables for Memo HGAC"/>
      <sheetName val="Tables for Memo"/>
      <sheetName val="Master Key"/>
      <sheetName val="Major Assumption Key"/>
      <sheetName val="BCA Guide - Parameter Values"/>
      <sheetName val="BCA Summary"/>
      <sheetName val="Cost Summary"/>
      <sheetName val="Benefits Summary"/>
      <sheetName val="Break Note 1"/>
      <sheetName val="Useful Life"/>
      <sheetName val="Non-Roadway Maintenance"/>
      <sheetName val="State of Good Repair AP-CP"/>
      <sheetName val="SOGR Supporting AP-CP"/>
      <sheetName val="State of Good Repair - AP-AP"/>
      <sheetName val="SOGR Supporting AP-AP"/>
      <sheetName val="State of Good Repair CP-CP "/>
      <sheetName val="SOGR Supporting CP-CP"/>
      <sheetName val="Cost of Rehab"/>
      <sheetName val="Life Cycle of Rehabilitation"/>
      <sheetName val="Pavement Data"/>
      <sheetName val="Break Note 2"/>
      <sheetName val="Roadway Safety"/>
      <sheetName val="Road Safety CRTMeasure"/>
      <sheetName val="Road S Data CRTMeasure"/>
      <sheetName val="Pedestrian Safety"/>
      <sheetName val="Ped Safety CRTMeasure"/>
      <sheetName val="Ped S Data CRTMeasure"/>
      <sheetName val="Bike Safety"/>
      <sheetName val="Bike Safety CRTMeasure"/>
      <sheetName val="Bike S Data CRTMeasure "/>
      <sheetName val="Safety Ref. - All Crash Data"/>
      <sheetName val="Safety Ref. CRIS Codes"/>
      <sheetName val="Break Note 3"/>
      <sheetName val="Facility Improve - Ped"/>
      <sheetName val="Facility Improve - Bike"/>
      <sheetName val="Facility Improve - Transit Stop"/>
      <sheetName val="Serve Improve - Transit Mode"/>
      <sheetName val="Amenity Improve - Transit Veh "/>
      <sheetName val="Pedestrian Demand"/>
      <sheetName val="Bike Demand"/>
      <sheetName val="Transit Demand"/>
      <sheetName val="Transit Demand - Modal"/>
      <sheetName val="Amenity Condition"/>
      <sheetName val="BOOST Pilot Segment"/>
      <sheetName val="Metro_Ridership"/>
      <sheetName val="Break Note 4"/>
      <sheetName val="Value of Travel Time"/>
      <sheetName val="VOTT Supporting - Auto"/>
      <sheetName val="VOTT Supporting - Transit TSP"/>
      <sheetName val="VOTT Supporting - Transit"/>
      <sheetName val="VOTT Supporting - Walking"/>
      <sheetName val="VOTT Supporting - Cycling"/>
      <sheetName val="Break Note 5"/>
      <sheetName val="Operating Cost Savings"/>
      <sheetName val="Break Note 6"/>
      <sheetName val="Mortality Reduction - Walk"/>
      <sheetName val="Mortality Reduction - Bike"/>
      <sheetName val="Break Note 7"/>
      <sheetName val="Emission Reduction (VMT)"/>
      <sheetName val="Emission Reduction (Metric Ton)"/>
      <sheetName val="Other Highway Use Externalities"/>
      <sheetName val="VMT Reduction Supporting"/>
      <sheetName val="Emissions and Fuel"/>
      <sheetName val="Emission Factors"/>
      <sheetName val="Break Note 8"/>
      <sheetName val="Auto Idling Benefit - Fuel"/>
      <sheetName val="Auto Idling Env. Benefits"/>
      <sheetName val="Auto Idling Supporting"/>
      <sheetName val="Break Note 9"/>
      <sheetName val="Repurposed ROW"/>
      <sheetName val="Break Note 10"/>
      <sheetName val="Prop. Tax Inc Sidewalk"/>
      <sheetName val="Prop. Tax Inc Sidewalk Supp"/>
      <sheetName val="Prop. Tax Inc Bike Lane"/>
      <sheetName val="Prop. Tax Inc Bike Lane Supp"/>
      <sheetName val="Prop. Tax Inc Sidewalk &amp; Bike"/>
      <sheetName val="P. Tax Inc Sidewalk &amp; Bike Supp"/>
      <sheetName val="Prop. Tax Inc Shared Use Path"/>
      <sheetName val="P. Tax Inc Shared Use Path Supp"/>
      <sheetName val="HCAD Data"/>
      <sheetName val="LU Codes"/>
    </sheetNames>
    <sheetDataSet>
      <sheetData sheetId="0"/>
      <sheetData sheetId="1"/>
      <sheetData sheetId="2"/>
      <sheetData sheetId="3"/>
      <sheetData sheetId="4">
        <row r="3">
          <cell r="B3">
            <v>2029</v>
          </cell>
        </row>
        <row r="4">
          <cell r="A4" t="str">
            <v>Planning Horizon Begin Year:</v>
          </cell>
          <cell r="B4">
            <v>2024</v>
          </cell>
        </row>
        <row r="6">
          <cell r="A6" t="str">
            <v>Planning Horizon End Year:</v>
          </cell>
        </row>
        <row r="7">
          <cell r="A7" t="str">
            <v>Discount Year</v>
          </cell>
          <cell r="B7">
            <v>2022</v>
          </cell>
        </row>
        <row r="10">
          <cell r="A10" t="str">
            <v>Inflation Rate</v>
          </cell>
          <cell r="B10">
            <v>2.7894736842105264E-2</v>
          </cell>
        </row>
        <row r="13">
          <cell r="B13">
            <v>0.69</v>
          </cell>
        </row>
        <row r="19">
          <cell r="A19">
            <v>2020</v>
          </cell>
        </row>
        <row r="20">
          <cell r="A20">
            <v>2021</v>
          </cell>
        </row>
        <row r="21">
          <cell r="A21">
            <v>2022</v>
          </cell>
        </row>
        <row r="22">
          <cell r="A22">
            <v>2023</v>
          </cell>
        </row>
        <row r="23">
          <cell r="A23">
            <v>2024</v>
          </cell>
        </row>
        <row r="24">
          <cell r="A24">
            <v>2025</v>
          </cell>
        </row>
        <row r="25">
          <cell r="A25">
            <v>2026</v>
          </cell>
        </row>
        <row r="26">
          <cell r="A26">
            <v>2027</v>
          </cell>
        </row>
        <row r="27">
          <cell r="A27">
            <v>2028</v>
          </cell>
        </row>
        <row r="28">
          <cell r="A28">
            <v>2029</v>
          </cell>
        </row>
        <row r="29">
          <cell r="A29">
            <v>2030</v>
          </cell>
        </row>
        <row r="30">
          <cell r="A30">
            <v>2031</v>
          </cell>
        </row>
        <row r="31">
          <cell r="A31">
            <v>2032</v>
          </cell>
        </row>
        <row r="32">
          <cell r="A32">
            <v>2033</v>
          </cell>
        </row>
        <row r="33">
          <cell r="A33">
            <v>2034</v>
          </cell>
        </row>
        <row r="34">
          <cell r="A34">
            <v>2035</v>
          </cell>
        </row>
        <row r="35">
          <cell r="A35">
            <v>2036</v>
          </cell>
        </row>
        <row r="36">
          <cell r="A36">
            <v>2037</v>
          </cell>
        </row>
        <row r="37">
          <cell r="A37">
            <v>2038</v>
          </cell>
        </row>
        <row r="38">
          <cell r="A38">
            <v>2039</v>
          </cell>
        </row>
        <row r="39">
          <cell r="A39">
            <v>2040</v>
          </cell>
        </row>
        <row r="40">
          <cell r="A40">
            <v>2041</v>
          </cell>
        </row>
        <row r="41">
          <cell r="A41">
            <v>2042</v>
          </cell>
        </row>
        <row r="42">
          <cell r="A42">
            <v>2043</v>
          </cell>
        </row>
        <row r="43">
          <cell r="A43">
            <v>2044</v>
          </cell>
        </row>
        <row r="44">
          <cell r="A44">
            <v>2045</v>
          </cell>
        </row>
        <row r="45">
          <cell r="A45">
            <v>2046</v>
          </cell>
        </row>
        <row r="46">
          <cell r="A46">
            <v>2047</v>
          </cell>
        </row>
        <row r="47">
          <cell r="A47">
            <v>2048</v>
          </cell>
        </row>
        <row r="48">
          <cell r="A48">
            <v>2049</v>
          </cell>
        </row>
        <row r="49">
          <cell r="A49">
            <v>2050</v>
          </cell>
        </row>
        <row r="50">
          <cell r="A50">
            <v>2051</v>
          </cell>
        </row>
        <row r="51">
          <cell r="A51">
            <v>2052</v>
          </cell>
        </row>
        <row r="52">
          <cell r="A52">
            <v>2053</v>
          </cell>
        </row>
        <row r="53">
          <cell r="A53">
            <v>2054</v>
          </cell>
        </row>
        <row r="54">
          <cell r="A54">
            <v>2055</v>
          </cell>
        </row>
        <row r="55">
          <cell r="A55">
            <v>2056</v>
          </cell>
        </row>
        <row r="56">
          <cell r="A56">
            <v>2057</v>
          </cell>
        </row>
        <row r="57">
          <cell r="A57">
            <v>2058</v>
          </cell>
        </row>
        <row r="58">
          <cell r="A58">
            <v>2059</v>
          </cell>
        </row>
        <row r="59">
          <cell r="A59">
            <v>2060</v>
          </cell>
        </row>
        <row r="68">
          <cell r="B68">
            <v>1.37</v>
          </cell>
        </row>
      </sheetData>
      <sheetData sheetId="5"/>
      <sheetData sheetId="6"/>
      <sheetData sheetId="7">
        <row r="26">
          <cell r="C26">
            <v>2026</v>
          </cell>
          <cell r="D26">
            <v>2028</v>
          </cell>
        </row>
      </sheetData>
      <sheetData sheetId="8"/>
      <sheetData sheetId="9"/>
      <sheetData sheetId="10"/>
      <sheetData sheetId="11"/>
      <sheetData sheetId="12">
        <row r="21">
          <cell r="A21" t="str">
            <v>Reconstruction days</v>
          </cell>
          <cell r="B21">
            <v>240</v>
          </cell>
          <cell r="C21" t="str">
            <v>Per Mile - City of Houston Averages</v>
          </cell>
        </row>
        <row r="22">
          <cell r="B22">
            <v>120</v>
          </cell>
        </row>
        <row r="23">
          <cell r="B23">
            <v>0.75</v>
          </cell>
        </row>
        <row r="24">
          <cell r="B24">
            <v>35</v>
          </cell>
        </row>
        <row r="25">
          <cell r="B25">
            <v>283756</v>
          </cell>
        </row>
        <row r="26">
          <cell r="B26">
            <v>260</v>
          </cell>
        </row>
        <row r="32">
          <cell r="C32">
            <v>1.5909399999999998</v>
          </cell>
          <cell r="D32">
            <v>21.240200000000002</v>
          </cell>
        </row>
      </sheetData>
      <sheetData sheetId="13"/>
      <sheetData sheetId="14"/>
      <sheetData sheetId="15"/>
      <sheetData sheetId="16"/>
      <sheetData sheetId="17"/>
      <sheetData sheetId="18"/>
      <sheetData sheetId="19">
        <row r="19">
          <cell r="C19" t="str">
            <v>New</v>
          </cell>
        </row>
        <row r="20">
          <cell r="C20" t="str">
            <v>New</v>
          </cell>
        </row>
        <row r="21">
          <cell r="C21" t="str">
            <v>New</v>
          </cell>
        </row>
        <row r="22">
          <cell r="C22" t="str">
            <v>New</v>
          </cell>
        </row>
        <row r="23">
          <cell r="C23" t="str">
            <v>New</v>
          </cell>
        </row>
        <row r="24">
          <cell r="C24" t="str">
            <v>New</v>
          </cell>
        </row>
        <row r="25">
          <cell r="C25" t="str">
            <v>New</v>
          </cell>
        </row>
        <row r="26">
          <cell r="C26" t="str">
            <v>New</v>
          </cell>
        </row>
        <row r="27">
          <cell r="C27" t="str">
            <v>New</v>
          </cell>
        </row>
        <row r="28">
          <cell r="C28" t="str">
            <v>New</v>
          </cell>
        </row>
        <row r="29">
          <cell r="C29" t="str">
            <v>New</v>
          </cell>
        </row>
        <row r="30">
          <cell r="C30" t="str">
            <v>New</v>
          </cell>
        </row>
        <row r="31">
          <cell r="C31" t="str">
            <v>Very Good</v>
          </cell>
        </row>
        <row r="32">
          <cell r="C32" t="str">
            <v>Very Good</v>
          </cell>
        </row>
        <row r="33">
          <cell r="C33" t="str">
            <v>Very Good</v>
          </cell>
        </row>
        <row r="34">
          <cell r="C34" t="str">
            <v>Very Good</v>
          </cell>
        </row>
        <row r="35">
          <cell r="C35" t="str">
            <v>Very Good</v>
          </cell>
        </row>
        <row r="36">
          <cell r="C36" t="str">
            <v>Very Good</v>
          </cell>
        </row>
        <row r="37">
          <cell r="C37" t="str">
            <v>Very Good</v>
          </cell>
        </row>
        <row r="38">
          <cell r="C38" t="str">
            <v>Very Good</v>
          </cell>
        </row>
        <row r="39">
          <cell r="C39" t="str">
            <v>Good</v>
          </cell>
        </row>
        <row r="40">
          <cell r="C40" t="str">
            <v>Good</v>
          </cell>
        </row>
        <row r="41">
          <cell r="C41" t="str">
            <v>Good</v>
          </cell>
        </row>
        <row r="42">
          <cell r="C42" t="str">
            <v>Good</v>
          </cell>
        </row>
        <row r="43">
          <cell r="C43" t="str">
            <v>Good</v>
          </cell>
        </row>
        <row r="44">
          <cell r="C44" t="str">
            <v>Good</v>
          </cell>
        </row>
        <row r="45">
          <cell r="C45" t="str">
            <v>Fair</v>
          </cell>
        </row>
        <row r="46">
          <cell r="C46" t="str">
            <v>Fair</v>
          </cell>
        </row>
        <row r="47">
          <cell r="C47" t="str">
            <v>Fair</v>
          </cell>
        </row>
        <row r="48">
          <cell r="C48" t="str">
            <v>Fair</v>
          </cell>
        </row>
        <row r="49">
          <cell r="C49" t="str">
            <v>Fair</v>
          </cell>
        </row>
        <row r="50">
          <cell r="C50" t="str">
            <v>Fair</v>
          </cell>
        </row>
        <row r="51">
          <cell r="C51" t="str">
            <v>Poor</v>
          </cell>
        </row>
        <row r="52">
          <cell r="C52" t="str">
            <v>Poor</v>
          </cell>
        </row>
        <row r="53">
          <cell r="C53" t="str">
            <v>Poor</v>
          </cell>
        </row>
        <row r="54">
          <cell r="C54" t="str">
            <v>Poor</v>
          </cell>
        </row>
        <row r="55">
          <cell r="C55" t="str">
            <v>Poor</v>
          </cell>
        </row>
        <row r="56">
          <cell r="C56" t="str">
            <v>Poor</v>
          </cell>
        </row>
        <row r="57">
          <cell r="C57" t="str">
            <v>Poor</v>
          </cell>
        </row>
        <row r="58">
          <cell r="C58" t="str">
            <v>Poor</v>
          </cell>
        </row>
        <row r="59">
          <cell r="C59" t="str">
            <v>Light Rehabilitation</v>
          </cell>
        </row>
        <row r="60">
          <cell r="C60" t="str">
            <v>Very Good</v>
          </cell>
        </row>
        <row r="61">
          <cell r="C61" t="str">
            <v>Very Good</v>
          </cell>
        </row>
        <row r="62">
          <cell r="C62" t="str">
            <v>Very Good</v>
          </cell>
        </row>
        <row r="63">
          <cell r="C63" t="str">
            <v>Very Good</v>
          </cell>
        </row>
        <row r="64">
          <cell r="C64" t="str">
            <v>Very Good</v>
          </cell>
        </row>
        <row r="65">
          <cell r="C65" t="str">
            <v>Very Good</v>
          </cell>
        </row>
        <row r="66">
          <cell r="C66" t="str">
            <v>Very Good</v>
          </cell>
        </row>
        <row r="67">
          <cell r="C67" t="str">
            <v>Very Good</v>
          </cell>
        </row>
        <row r="68">
          <cell r="C68" t="str">
            <v>Good</v>
          </cell>
        </row>
        <row r="69">
          <cell r="C69" t="str">
            <v>Good</v>
          </cell>
        </row>
        <row r="70">
          <cell r="C70" t="str">
            <v>Good</v>
          </cell>
        </row>
        <row r="71">
          <cell r="C71" t="str">
            <v>Good</v>
          </cell>
        </row>
        <row r="72">
          <cell r="C72" t="str">
            <v>Good</v>
          </cell>
        </row>
        <row r="73">
          <cell r="C73" t="str">
            <v>Good</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Tables for Memo HGAC"/>
      <sheetName val="Tables for Memo"/>
      <sheetName val="Master Key"/>
      <sheetName val="Major Assumption Key"/>
      <sheetName val="BCA Guide - Parameter Values"/>
      <sheetName val="BCA Summary"/>
      <sheetName val="Cost Summary"/>
      <sheetName val="Benefits Summary"/>
      <sheetName val="Break Note 1"/>
      <sheetName val="Useful Life"/>
      <sheetName val="Non-Roadway Maintenance"/>
      <sheetName val="State of Good Repair AP-CP"/>
      <sheetName val="SOGR Supporting AP-CP"/>
      <sheetName val="State of Good Repair - AP-AP"/>
      <sheetName val="SOGR Supporting AP-AP"/>
      <sheetName val="State of Good Repair CP-CP "/>
      <sheetName val="SOGR Supporting CP-CP"/>
      <sheetName val="Cost of Rehab"/>
      <sheetName val="Life Cycle of Rehabilitation"/>
      <sheetName val="Pavement Data"/>
      <sheetName val="Break Note 2"/>
      <sheetName val="Roadway Safety"/>
      <sheetName val="Road Safety CRTMeasure"/>
      <sheetName val="Road S Data CRTMeasure"/>
      <sheetName val="Pedestrian Safety"/>
      <sheetName val="Ped Safety CRTMeasure"/>
      <sheetName val="Ped S Data CRTMeasure"/>
      <sheetName val="Bike Safety"/>
      <sheetName val="Bike Safety CRTMeasure"/>
      <sheetName val="Bike S Data CRTMeasure "/>
      <sheetName val="Safety Ref. - All Crash Data"/>
      <sheetName val="Safety Ref. CRIS Codes"/>
      <sheetName val="Break Note 3"/>
      <sheetName val="Facility Improve - Ped"/>
      <sheetName val="Facility Improve - Bike"/>
      <sheetName val="Facility Improve - Transit Stop"/>
      <sheetName val="Serve Improve - Transit Mode"/>
      <sheetName val="Amenity Improve - Transit Veh "/>
      <sheetName val="Pedestrian Demand"/>
      <sheetName val="Bike Demand"/>
      <sheetName val="Transit Demand"/>
      <sheetName val="Transit Demand - Modal"/>
      <sheetName val="Amenity Condition"/>
      <sheetName val="BOOST Pilot Segment"/>
      <sheetName val="Metro_Ridership"/>
      <sheetName val="Break Note 4"/>
      <sheetName val="Value of Travel Time"/>
      <sheetName val="VOTT Supporting - Auto"/>
      <sheetName val="VOTT Supporting - Transit TSP"/>
      <sheetName val="VOTT Supporting - Transit"/>
      <sheetName val="VOTT Supporting - Walking"/>
      <sheetName val="VOTT Supporting - Cycling"/>
      <sheetName val="Break Note 5"/>
      <sheetName val="Operating Cost Savings"/>
      <sheetName val="Break Note 6"/>
      <sheetName val="Mortality Reduction - Walk"/>
      <sheetName val="Mortality Reduction - Bike"/>
      <sheetName val="Break Note 7"/>
      <sheetName val="Emission Reduction (VMT)"/>
      <sheetName val="Emission Reduction (Metric Ton)"/>
      <sheetName val="Other Highway Use Externalities"/>
      <sheetName val="VMT Reduction Supporting"/>
      <sheetName val="Emissions and Fuel"/>
      <sheetName val="Emission Factors"/>
      <sheetName val="Break Note 8"/>
      <sheetName val="Auto Idling Benefit - Fuel"/>
      <sheetName val="Auto Idling Env. Benefits"/>
      <sheetName val="Auto Idling Supporting"/>
      <sheetName val="Break Note 9"/>
      <sheetName val="Repurposed ROW"/>
      <sheetName val="Break Note 10"/>
      <sheetName val="Prop. Tax Inc Sidewalk"/>
      <sheetName val="Prop. Tax Inc Sidewalk Supp"/>
      <sheetName val="Prop. Tax Inc Bike Lane"/>
      <sheetName val="Prop. Tax Inc Bike Lane Supp"/>
      <sheetName val="Prop. Tax Inc Sidewalk &amp; Bike"/>
      <sheetName val="P. Tax Inc Sidewalk &amp; Bike Supp"/>
      <sheetName val="Prop. Tax Inc Shared Use Path"/>
      <sheetName val="P. Tax Inc Shared Use Path Supp"/>
      <sheetName val="HCAD Data"/>
      <sheetName val="LU Codes"/>
    </sheetNames>
    <sheetDataSet>
      <sheetData sheetId="0" refreshError="1"/>
      <sheetData sheetId="1" refreshError="1"/>
      <sheetData sheetId="2" refreshError="1"/>
      <sheetData sheetId="3" refreshError="1"/>
      <sheetData sheetId="4">
        <row r="3">
          <cell r="B3">
            <v>2028</v>
          </cell>
        </row>
      </sheetData>
      <sheetData sheetId="5" refreshError="1"/>
      <sheetData sheetId="6" refreshError="1"/>
      <sheetData sheetId="7">
        <row r="26">
          <cell r="C26">
            <v>2026</v>
          </cell>
        </row>
      </sheetData>
      <sheetData sheetId="8" refreshError="1"/>
      <sheetData sheetId="9" refreshError="1"/>
      <sheetData sheetId="10" refreshError="1"/>
      <sheetData sheetId="11" refreshError="1"/>
      <sheetData sheetId="12">
        <row r="21">
          <cell r="A21" t="str">
            <v>Reconstruction days</v>
          </cell>
          <cell r="B21">
            <v>240</v>
          </cell>
          <cell r="C21" t="str">
            <v>Per Mile - City of Houston Averages</v>
          </cell>
        </row>
        <row r="23">
          <cell r="B23">
            <v>0.75</v>
          </cell>
        </row>
        <row r="32">
          <cell r="C32">
            <v>1.6565999999999999</v>
          </cell>
          <cell r="D32">
            <v>19.878000000000004</v>
          </cell>
        </row>
      </sheetData>
      <sheetData sheetId="13" refreshError="1"/>
      <sheetData sheetId="14" refreshError="1"/>
      <sheetData sheetId="15" refreshError="1"/>
      <sheetData sheetId="16" refreshError="1"/>
      <sheetData sheetId="17" refreshError="1"/>
      <sheetData sheetId="18" refreshError="1"/>
      <sheetData sheetId="19">
        <row r="19">
          <cell r="C19" t="str">
            <v>New</v>
          </cell>
        </row>
      </sheetData>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hyperlink" Target="file:///C:\Users\E178368\AppData\:u:\s\TGC-Admin\ERDJ6lmDlnRCiSJYlTsqbfYB42YuMfXYNkfheWx6ruEJhQ%3fe=SRi2zI" TargetMode="External"/><Relationship Id="rId2" Type="http://schemas.openxmlformats.org/officeDocument/2006/relationships/hyperlink" Target="file:///C:\Users\E178368\AppData\Local\Microsoft\Windows\INetCache\Content.Outlook\State%20of%20Good%20Repair\Resources\Emails%20chain%20regarding%20SOGR\Previous%20Decisions\Re_%20BCA_%20SOGR%20Concrete%20Rehab%20Life%20Cycle.msg" TargetMode="External"/><Relationship Id="rId1" Type="http://schemas.openxmlformats.org/officeDocument/2006/relationships/hyperlink" Target="https://ftp.dot.state.tx.us/pub/txdot-info/brg/transportation-asset-management-plan-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99FF51-29BF-4F65-9156-A58CB294760A}">
  <sheetPr>
    <tabColor theme="5"/>
  </sheetPr>
  <dimension ref="A2:C10"/>
  <sheetViews>
    <sheetView workbookViewId="0">
      <selection activeCell="B20" sqref="B20"/>
    </sheetView>
  </sheetViews>
  <sheetFormatPr defaultRowHeight="14.4" x14ac:dyDescent="0.3"/>
  <cols>
    <col min="1" max="1" width="57.5546875" bestFit="1" customWidth="1"/>
    <col min="2" max="2" width="14.88671875" style="6" bestFit="1" customWidth="1"/>
    <col min="3" max="3" width="13.88671875" style="6" bestFit="1" customWidth="1"/>
  </cols>
  <sheetData>
    <row r="2" spans="1:3" x14ac:dyDescent="0.3">
      <c r="A2" s="32" t="s">
        <v>0</v>
      </c>
      <c r="B2" s="38" t="s">
        <v>1</v>
      </c>
      <c r="C2" s="38" t="s">
        <v>2</v>
      </c>
    </row>
    <row r="3" spans="1:3" x14ac:dyDescent="0.3">
      <c r="A3" s="34" t="s">
        <v>3</v>
      </c>
      <c r="B3" s="33">
        <f>SOGR!E55</f>
        <v>543716.70267938741</v>
      </c>
      <c r="C3" s="33">
        <f>SOGR!E101</f>
        <v>138038.2575967251</v>
      </c>
    </row>
    <row r="4" spans="1:3" x14ac:dyDescent="0.3">
      <c r="A4" s="34" t="s">
        <v>4</v>
      </c>
      <c r="B4" s="33">
        <f>SOGR!F55</f>
        <v>2589204.2622605283</v>
      </c>
      <c r="C4" s="33">
        <f>SOGR!F101</f>
        <v>0</v>
      </c>
    </row>
    <row r="5" spans="1:3" x14ac:dyDescent="0.3">
      <c r="A5" s="34" t="s">
        <v>5</v>
      </c>
      <c r="B5" s="33">
        <f>SOGR!G42</f>
        <v>-1363258.6025416302</v>
      </c>
      <c r="C5" s="33">
        <f>SOGR!F99</f>
        <v>0</v>
      </c>
    </row>
    <row r="6" spans="1:3" x14ac:dyDescent="0.3">
      <c r="A6" s="34" t="s">
        <v>6</v>
      </c>
      <c r="B6" s="33">
        <f>SOGR!K55</f>
        <v>337447.40252662345</v>
      </c>
      <c r="C6" s="33">
        <f>SOGR!K101</f>
        <v>34375.028340656747</v>
      </c>
    </row>
    <row r="7" spans="1:3" ht="5.25" customHeight="1" x14ac:dyDescent="0.3">
      <c r="A7" s="34"/>
      <c r="B7" s="33"/>
      <c r="C7" s="33"/>
    </row>
    <row r="8" spans="1:3" x14ac:dyDescent="0.3">
      <c r="A8" s="34" t="s">
        <v>7</v>
      </c>
      <c r="B8" s="33">
        <f>SUM(B3:B6)</f>
        <v>2107109.764924909</v>
      </c>
      <c r="C8" s="33">
        <f>SUM(C3:C6)</f>
        <v>172413.28593738185</v>
      </c>
    </row>
    <row r="9" spans="1:3" x14ac:dyDescent="0.3">
      <c r="A9" s="34" t="s">
        <v>8</v>
      </c>
      <c r="B9" s="169">
        <f>B8-C8</f>
        <v>1934696.4789875271</v>
      </c>
      <c r="C9" s="169"/>
    </row>
    <row r="10" spans="1:3" x14ac:dyDescent="0.3">
      <c r="A10" s="32" t="s">
        <v>9</v>
      </c>
      <c r="B10" s="170">
        <f>SOGR!P55</f>
        <v>622159.17343334644</v>
      </c>
      <c r="C10" s="170"/>
    </row>
  </sheetData>
  <mergeCells count="2">
    <mergeCell ref="B9:C9"/>
    <mergeCell ref="B10:C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9AC18-D628-4DA7-B38A-4847845FFFE4}">
  <dimension ref="A1:P196"/>
  <sheetViews>
    <sheetView tabSelected="1" topLeftCell="A7" zoomScale="90" zoomScaleNormal="90" workbookViewId="0">
      <selection activeCell="A16" sqref="A16:XFD16"/>
    </sheetView>
  </sheetViews>
  <sheetFormatPr defaultColWidth="8.88671875" defaultRowHeight="14.4" x14ac:dyDescent="0.3"/>
  <cols>
    <col min="1" max="1" width="28.88671875" style="8" customWidth="1"/>
    <col min="2" max="2" width="31.44140625" style="8" customWidth="1"/>
    <col min="3" max="3" width="30.88671875" style="3" customWidth="1"/>
    <col min="4" max="4" width="23.44140625" style="3" customWidth="1"/>
    <col min="5" max="5" width="21.109375" style="3" customWidth="1"/>
    <col min="6" max="6" width="23.5546875" style="3" customWidth="1"/>
    <col min="7" max="7" width="29.88671875" style="3" customWidth="1"/>
    <col min="8" max="8" width="23.5546875" style="3" customWidth="1"/>
    <col min="9" max="9" width="24.44140625" style="3" customWidth="1"/>
    <col min="10" max="12" width="20.5546875" style="3" customWidth="1"/>
    <col min="13" max="13" width="23.109375" style="3" customWidth="1"/>
    <col min="14" max="14" width="20.44140625" style="8" customWidth="1"/>
    <col min="15" max="15" width="16" style="8" customWidth="1"/>
    <col min="16" max="33" width="19.109375" style="8" customWidth="1"/>
    <col min="34" max="34" width="23.109375" style="8" customWidth="1"/>
    <col min="35" max="37" width="14.5546875" style="8" customWidth="1"/>
    <col min="38" max="38" width="11.88671875" style="8" customWidth="1"/>
    <col min="39" max="39" width="16.109375" style="8" customWidth="1"/>
    <col min="40" max="40" width="13.88671875" style="8" customWidth="1"/>
    <col min="41" max="16384" width="8.88671875" style="8"/>
  </cols>
  <sheetData>
    <row r="1" spans="1:16" ht="25.35" customHeight="1" x14ac:dyDescent="0.3">
      <c r="A1" s="40" t="s">
        <v>230</v>
      </c>
      <c r="B1" s="41" t="s">
        <v>282</v>
      </c>
      <c r="C1" s="42"/>
      <c r="D1" s="42"/>
      <c r="E1" s="42"/>
      <c r="F1" s="8"/>
      <c r="G1" s="8"/>
      <c r="H1" s="8"/>
      <c r="I1" s="8"/>
      <c r="J1" s="8"/>
      <c r="K1" s="8"/>
      <c r="L1" s="8"/>
      <c r="M1" s="8"/>
    </row>
    <row r="2" spans="1:16" ht="21.6" customHeight="1" x14ac:dyDescent="0.3">
      <c r="A2" s="43"/>
      <c r="B2" s="43"/>
      <c r="C2" s="44"/>
      <c r="G2" s="69"/>
      <c r="H2" s="70"/>
      <c r="J2" s="8"/>
      <c r="K2" s="8"/>
      <c r="L2" s="8"/>
      <c r="M2" s="8"/>
    </row>
    <row r="3" spans="1:16" ht="15" thickBot="1" x14ac:dyDescent="0.35">
      <c r="A3" s="45" t="s">
        <v>231</v>
      </c>
      <c r="B3" s="45"/>
      <c r="J3" s="8"/>
      <c r="K3" s="8"/>
      <c r="L3" s="8"/>
      <c r="M3" s="8"/>
    </row>
    <row r="4" spans="1:16" ht="15" customHeight="1" x14ac:dyDescent="0.3">
      <c r="A4" s="172" t="s">
        <v>67</v>
      </c>
      <c r="B4" s="172" t="s">
        <v>229</v>
      </c>
      <c r="C4" s="46" t="s">
        <v>10</v>
      </c>
      <c r="D4" s="46" t="s">
        <v>232</v>
      </c>
      <c r="E4" s="174" t="s">
        <v>233</v>
      </c>
      <c r="F4" s="8"/>
      <c r="G4" s="57" t="s">
        <v>238</v>
      </c>
      <c r="H4" s="58" t="s">
        <v>239</v>
      </c>
      <c r="I4" s="59" t="s">
        <v>240</v>
      </c>
      <c r="J4" s="8"/>
      <c r="K4" s="8"/>
      <c r="L4" s="8"/>
      <c r="M4" s="8"/>
    </row>
    <row r="5" spans="1:16" ht="20.100000000000001" customHeight="1" x14ac:dyDescent="0.3">
      <c r="A5" s="173"/>
      <c r="B5" s="173"/>
      <c r="C5" s="47">
        <v>2022</v>
      </c>
      <c r="D5" s="47">
        <v>2029</v>
      </c>
      <c r="E5" s="174"/>
      <c r="F5" s="8"/>
      <c r="G5" s="60" t="str">
        <f>'[1]Major Assumption Key'!$A$10</f>
        <v>Inflation Rate</v>
      </c>
      <c r="H5" s="61">
        <f>'[1]Major Assumption Key'!$B$10</f>
        <v>2.7894736842105264E-2</v>
      </c>
      <c r="I5" s="62" t="s">
        <v>241</v>
      </c>
      <c r="J5" s="8"/>
      <c r="K5" s="8"/>
      <c r="L5" s="8"/>
      <c r="M5" s="8"/>
    </row>
    <row r="6" spans="1:16" ht="20.100000000000001" customHeight="1" x14ac:dyDescent="0.3">
      <c r="A6" s="48" t="s">
        <v>283</v>
      </c>
      <c r="B6" s="48" t="s">
        <v>284</v>
      </c>
      <c r="C6" s="49">
        <v>3237</v>
      </c>
      <c r="D6" s="49">
        <v>3642</v>
      </c>
      <c r="E6" s="50">
        <f>IFERROR((D6/C6)^(1/($D$5-$C$5))-1,0)</f>
        <v>1.6983464716364916E-2</v>
      </c>
      <c r="F6" s="8"/>
      <c r="G6" s="63" t="str">
        <f>'[1]Major Assumption Key'!$A$7</f>
        <v>Discount Year</v>
      </c>
      <c r="H6" s="64">
        <f>'[1]Major Assumption Key'!$B$7</f>
        <v>2022</v>
      </c>
      <c r="I6" s="62" t="s">
        <v>241</v>
      </c>
      <c r="J6" s="8"/>
      <c r="K6" s="8"/>
      <c r="L6" s="8"/>
      <c r="M6" s="8"/>
    </row>
    <row r="7" spans="1:16" ht="20.100000000000001" customHeight="1" x14ac:dyDescent="0.3">
      <c r="A7" s="51"/>
      <c r="B7" s="51"/>
      <c r="C7" s="51"/>
      <c r="D7" s="51" t="s">
        <v>234</v>
      </c>
      <c r="E7" s="52"/>
      <c r="G7" s="65" t="str">
        <f>'[1]Major Assumption Key'!A4</f>
        <v>Planning Horizon Begin Year:</v>
      </c>
      <c r="H7" s="3">
        <f>'[1]Major Assumption Key'!B4</f>
        <v>2024</v>
      </c>
      <c r="I7" s="62" t="s">
        <v>241</v>
      </c>
      <c r="J7" s="8"/>
      <c r="K7" s="8"/>
      <c r="L7" s="8"/>
      <c r="M7" s="8"/>
    </row>
    <row r="8" spans="1:16" x14ac:dyDescent="0.3">
      <c r="A8" s="8" t="s">
        <v>235</v>
      </c>
      <c r="G8" s="65" t="str">
        <f>'[1]Major Assumption Key'!A6</f>
        <v>Planning Horizon End Year:</v>
      </c>
      <c r="H8" s="3">
        <v>2048</v>
      </c>
      <c r="I8" s="62" t="s">
        <v>241</v>
      </c>
    </row>
    <row r="9" spans="1:16" ht="15" thickBot="1" x14ac:dyDescent="0.35">
      <c r="A9" s="8" t="s">
        <v>236</v>
      </c>
      <c r="G9" s="66" t="s">
        <v>242</v>
      </c>
      <c r="H9" s="67">
        <f>'[1]Major Assumption Key'!B3</f>
        <v>2029</v>
      </c>
      <c r="I9" s="68" t="s">
        <v>241</v>
      </c>
    </row>
    <row r="10" spans="1:16" x14ac:dyDescent="0.3">
      <c r="A10" s="8" t="s">
        <v>237</v>
      </c>
      <c r="G10" s="9"/>
      <c r="I10" s="71"/>
    </row>
    <row r="11" spans="1:16" x14ac:dyDescent="0.3">
      <c r="C11" s="8"/>
      <c r="D11" s="8"/>
      <c r="E11" s="8"/>
      <c r="F11" s="8"/>
      <c r="G11" s="8"/>
      <c r="H11" s="8"/>
      <c r="I11" s="8"/>
      <c r="L11" s="8"/>
      <c r="M11" s="8"/>
    </row>
    <row r="12" spans="1:16" ht="40.35" customHeight="1" x14ac:dyDescent="0.3">
      <c r="A12" s="182" t="s">
        <v>285</v>
      </c>
      <c r="B12" s="183"/>
      <c r="C12" s="183"/>
      <c r="D12" s="183"/>
      <c r="E12" s="183"/>
      <c r="F12" s="183"/>
      <c r="G12" s="183"/>
      <c r="H12" s="183"/>
      <c r="I12" s="183"/>
      <c r="J12" s="183"/>
      <c r="K12" s="183"/>
      <c r="M12" s="8"/>
    </row>
    <row r="13" spans="1:16" ht="76.5" customHeight="1" x14ac:dyDescent="0.3">
      <c r="A13" s="72" t="s">
        <v>10</v>
      </c>
      <c r="B13" s="73" t="s">
        <v>11</v>
      </c>
      <c r="C13" s="74" t="s">
        <v>12</v>
      </c>
      <c r="D13" s="74" t="s">
        <v>13</v>
      </c>
      <c r="E13" s="73" t="s">
        <v>14</v>
      </c>
      <c r="F13" s="73" t="s">
        <v>4</v>
      </c>
      <c r="G13" s="73" t="s">
        <v>5</v>
      </c>
      <c r="H13" s="73" t="s">
        <v>243</v>
      </c>
      <c r="I13" s="75" t="s">
        <v>15</v>
      </c>
      <c r="J13" s="75" t="s">
        <v>16</v>
      </c>
      <c r="K13" s="76" t="s">
        <v>17</v>
      </c>
      <c r="M13" s="37" t="s">
        <v>18</v>
      </c>
      <c r="N13" s="37" t="s">
        <v>19</v>
      </c>
      <c r="O13" s="37" t="s">
        <v>20</v>
      </c>
      <c r="P13" s="37" t="s">
        <v>21</v>
      </c>
    </row>
    <row r="14" spans="1:16" x14ac:dyDescent="0.3">
      <c r="A14" s="77">
        <f>'[1]Major Assumption Key'!A19</f>
        <v>2020</v>
      </c>
      <c r="B14" s="39" t="str">
        <f>IF(A14&lt;$C$5,"",$C$6*(1+$E$6)^(A14-$C$5))</f>
        <v/>
      </c>
      <c r="C14" s="53"/>
      <c r="D14" s="54" t="str">
        <f>IF(ISBLANK(C14),"",IF(C14="Light Rehabilitation","Rehab","Routine Maintenance"))</f>
        <v/>
      </c>
      <c r="E14" s="55">
        <f>IF(AND($A14&gt;=$H$7,$A14&lt;=$H$8),IF(D14="Routine Maintenance",VLOOKUP(C14,$A$136:$D$142,4,0),0)*(1+$H$5)^(A14-$H$6),0)</f>
        <v>0</v>
      </c>
      <c r="F14" s="55">
        <f>IF(AND($A14&gt;=$H$7,$A14&lt;=$H$8),IF(D14="Rehab",$B$163*SUM($H$108:$H$109),0)*(1+$H$5)^(A14-$H$6),0)</f>
        <v>0</v>
      </c>
      <c r="G14" s="55" cm="1">
        <f t="array" ref="G14">IFERROR(-IF(A14=$H$8,LOOKUP(2,1/($F$14:$F$54&lt;&gt;0),$F$14:$F$54)*(8-(A14-_xlfn.XLOOKUP(LOOKUP(2,1/($F$14:$F$54&lt;&gt;0),$F$14:$F$54),$F$14:$F$54,$A$14:$A$54,,0)))/8,0),0)</f>
        <v>0</v>
      </c>
      <c r="H14" s="55">
        <f t="shared" ref="H14:H54" si="0">IFERROR(IF(AND($A14&gt;=$H$7,$A14&lt;=$H$8),IF(_xlfn.XLOOKUP(A14,$C$169:$C$170,$J$169:$J$170)&lt;&gt;0,_xlfn.XLOOKUP(A14,$C$169:$C$170,$J$169:$J$170),0),0),0)</f>
        <v>0</v>
      </c>
      <c r="I14" s="55">
        <f>IF(AND($A14&gt;=$H$7,$A14&lt;=$H$8),IFERROR('[1]State of Good Repair AP-CP'!$B$26*$C$108*B14*(1-$J$108)*VLOOKUP($E$108,$B$150:$D$152,3,0)*(HLOOKUP(C14,$E$149:$I$155,$O$150,0)-1)/100,0)+IFERROR('[1]State of Good Repair AP-CP'!$B$26*$C$109*B14*(1-$J$109)*VLOOKUP($E$109,$B$150:$D$152,3,0)*(HLOOKUP(C14,$E$149:$I$155,$O$151,0)-1)/100,0),0)</f>
        <v>0</v>
      </c>
      <c r="J14" s="55">
        <f>IF(AND($A14&gt;=$H$7,$A14&lt;=$H$8),(IFERROR('[1]State of Good Repair AP-CP'!$B$26*$C$108*B14*$J$108*VLOOKUP($E$108,$B$153:$D$155,3,0)*(HLOOKUP(C14,$E$149:$I$155,$P$150,0)-1)/100,0)+IFERROR('[1]State of Good Repair AP-CP'!$B$26*$C$109*B14*$J$109*VLOOKUP($E$109,$B$153:$D$155,3,0)*(HLOOKUP(C14,$E$149:$I$155,$P$151,0)-1)/100,0)),0)</f>
        <v>0</v>
      </c>
      <c r="K14" s="55">
        <f t="shared" ref="K14:K54" si="1">I14+J14</f>
        <v>0</v>
      </c>
      <c r="M14" s="35">
        <f>K14+G14+F14+E14</f>
        <v>0</v>
      </c>
      <c r="N14" s="35">
        <f>SUM(K60,H60,F60,E60)</f>
        <v>0</v>
      </c>
      <c r="O14" s="35">
        <f>M14-N14</f>
        <v>0</v>
      </c>
      <c r="P14" s="36">
        <f>O14/(1+0.031)^(A14-2022)</f>
        <v>0</v>
      </c>
    </row>
    <row r="15" spans="1:16" x14ac:dyDescent="0.3">
      <c r="A15" s="77">
        <f>'[1]Major Assumption Key'!A20</f>
        <v>2021</v>
      </c>
      <c r="B15" s="39" t="str">
        <f t="shared" ref="B15:B54" si="2">IF(A15&lt;$C$5,"",$C$6*(1+$E$6)^(A15-$C$5))</f>
        <v/>
      </c>
      <c r="C15" s="53"/>
      <c r="D15" s="54" t="str">
        <f t="shared" ref="D15:D18" si="3">IF(ISBLANK(C15),"",IF(C15="Light Rehabilitation","Rehab","Routine Maintenance"))</f>
        <v/>
      </c>
      <c r="E15" s="55">
        <f t="shared" ref="E15:E17" si="4">IF(AND($A15&gt;=$H$7,$A15&lt;=$H$8),IF(D15="Routine Maintenance",VLOOKUP(C15,$A$136:$D$142,4,0),0)*(1+$H$5)^(A15-$H$6),0)</f>
        <v>0</v>
      </c>
      <c r="F15" s="55">
        <f t="shared" ref="F15" si="5">IF(AND($A15&gt;=$H$7,$A15&lt;=$H$8),IF(D15="Rehab",$B$163*SUM($H$108:$H$109),0)*(1+$H$5)^(A15-$H$6),0)</f>
        <v>0</v>
      </c>
      <c r="G15" s="55" cm="1">
        <f t="array" ref="G15">IFERROR(-IF(A15=$H$8,LOOKUP(2,1/($F$14:$F$54&lt;&gt;0),$F$14:$F$54)*(8-(A15-_xlfn.XLOOKUP(LOOKUP(2,1/($F$14:$F$54&lt;&gt;0),$F$14:$F$54),$F$14:$F$54,$A$14:$A$54,,0)))/8,0),0)</f>
        <v>0</v>
      </c>
      <c r="H15" s="55">
        <f t="shared" si="0"/>
        <v>0</v>
      </c>
      <c r="I15" s="55">
        <f>IF(AND($A15&gt;=$H$7,$A15&lt;=$H$8),IFERROR('[1]State of Good Repair AP-CP'!$B$26*$C$108*B15*(1-$J$108)*VLOOKUP($E$108,$B$150:$D$152,3,0)*(HLOOKUP(C15,$E$149:$I$155,$O$150,0)-1)/100,0)+IFERROR('[1]State of Good Repair AP-CP'!$B$26*$C$109*B15*(1-$J$109)*VLOOKUP($E$109,$B$150:$D$152,3,0)*(HLOOKUP(C15,$E$149:$I$155,$O$151,0)-1)/100,0),0)</f>
        <v>0</v>
      </c>
      <c r="J15" s="55">
        <f>IF(AND($A15&gt;=$H$7,$A15&lt;=$H$8),(IFERROR('[1]State of Good Repair AP-CP'!$B$26*$C$108*B15*$J$108*VLOOKUP($E$108,$B$153:$D$155,3,0)*(HLOOKUP(C15,$E$149:$I$155,$P$150,0)-1)/100,0)+IFERROR('[1]State of Good Repair AP-CP'!$B$26*$C$109*B15*$J$109*VLOOKUP($E$109,$B$153:$D$155,3,0)*(HLOOKUP(C15,$E$149:$I$155,$P$151,0)-1)/100,0)),0)</f>
        <v>0</v>
      </c>
      <c r="K15" s="55">
        <f t="shared" si="1"/>
        <v>0</v>
      </c>
      <c r="M15" s="35">
        <f>K15+G15+F15+E15</f>
        <v>0</v>
      </c>
      <c r="N15" s="35">
        <f t="shared" ref="N15:N37" si="6">SUM(K61,H61,F61,E61)</f>
        <v>0</v>
      </c>
      <c r="O15" s="35">
        <f t="shared" ref="O15:O54" si="7">M15-N15</f>
        <v>0</v>
      </c>
      <c r="P15" s="36">
        <f t="shared" ref="P15:P54" si="8">O15/(1+0.031)^(A15-2022)</f>
        <v>0</v>
      </c>
    </row>
    <row r="16" spans="1:16" x14ac:dyDescent="0.3">
      <c r="A16" s="77">
        <f>'[1]Major Assumption Key'!A21</f>
        <v>2022</v>
      </c>
      <c r="B16" s="39">
        <f t="shared" si="2"/>
        <v>3237</v>
      </c>
      <c r="C16" s="53" t="s">
        <v>25</v>
      </c>
      <c r="D16" s="54" t="str">
        <f t="shared" si="3"/>
        <v>Routine Maintenance</v>
      </c>
      <c r="E16" s="55">
        <f t="shared" si="4"/>
        <v>0</v>
      </c>
      <c r="F16" s="55">
        <f>IF(AND($A16&gt;=$H$7,$A16&lt;=$H$8),IF(D16="Rehab",$B$163*SUM($H$108:$H$109),0)*(1+$H$5)^(A16-$H$6),0)</f>
        <v>0</v>
      </c>
      <c r="G16" s="55" cm="1">
        <f t="array" ref="G16">IFERROR(-IF(A16=$H$8,LOOKUP(2,1/($F$14:$F$54&lt;&gt;0),$F$14:$F$54)*(8-(A16-_xlfn.XLOOKUP(LOOKUP(2,1/($F$14:$F$54&lt;&gt;0),$F$14:$F$54),$F$14:$F$54,$A$14:$A$54,,0)))/8,0),0)</f>
        <v>0</v>
      </c>
      <c r="H16" s="55">
        <f t="shared" si="0"/>
        <v>0</v>
      </c>
      <c r="I16" s="55">
        <f>IF(AND($A16&gt;=$H$7,$A16&lt;=$H$8),IFERROR('[1]State of Good Repair AP-CP'!$B$26*$C$108*B16*(1-$J$108)*VLOOKUP($E$108,$B$150:$D$152,3,0)*(HLOOKUP(C16,$E$149:$I$155,$O$150,0)-1)/100,0)+IFERROR('[1]State of Good Repair AP-CP'!$B$26*$C$109*B16*(1-$J$109)*VLOOKUP($E$109,$B$150:$D$152,3,0)*(HLOOKUP(C16,$E$149:$I$155,$O$151,0)-1)/100,0),0)</f>
        <v>0</v>
      </c>
      <c r="J16" s="55">
        <f>IF(AND($A16&gt;=$H$7,$A16&lt;=$H$8),(IFERROR('[1]State of Good Repair AP-CP'!$B$26*$C$108*B16*$J$108*VLOOKUP($E$108,$B$153:$D$155,3,0)*(HLOOKUP(C16,$E$149:$I$155,$P$150,0)-1)/100,0)+IFERROR('[1]State of Good Repair AP-CP'!$B$26*$C$109*B16*$J$109*VLOOKUP($E$109,$B$153:$D$155,3,0)*(HLOOKUP(C16,$E$149:$I$155,$P$151,0)-1)/100,0)),0)</f>
        <v>0</v>
      </c>
      <c r="K16" s="55">
        <f t="shared" si="1"/>
        <v>0</v>
      </c>
      <c r="M16" s="35">
        <f t="shared" ref="M16:M54" si="9">K16+G16+F16+E16</f>
        <v>0</v>
      </c>
      <c r="N16" s="35">
        <f t="shared" si="6"/>
        <v>0</v>
      </c>
      <c r="O16" s="35">
        <f t="shared" si="7"/>
        <v>0</v>
      </c>
      <c r="P16" s="36">
        <f t="shared" si="8"/>
        <v>0</v>
      </c>
    </row>
    <row r="17" spans="1:16" x14ac:dyDescent="0.3">
      <c r="A17" s="77">
        <f>'[1]Major Assumption Key'!A22</f>
        <v>2023</v>
      </c>
      <c r="B17" s="39">
        <f t="shared" si="2"/>
        <v>3291.975475286873</v>
      </c>
      <c r="C17" s="53" t="s">
        <v>25</v>
      </c>
      <c r="D17" s="54" t="str">
        <f t="shared" si="3"/>
        <v>Routine Maintenance</v>
      </c>
      <c r="E17" s="55">
        <f t="shared" si="4"/>
        <v>0</v>
      </c>
      <c r="F17" s="55">
        <f t="shared" ref="F17:F25" si="10">IF(AND($A17&gt;=$H$7,$A17&lt;=$H$8),IF(D17="Rehab",$B$163*SUM($H$108:$H$109),0)*(1+$H$5)^(A17-$H$6),0)</f>
        <v>0</v>
      </c>
      <c r="G17" s="55" cm="1">
        <f t="array" ref="G17">IFERROR(-IF(A17=$H$8,LOOKUP(2,1/($F$14:$F$54&lt;&gt;0),$F$14:$F$54)*(8-(A17-_xlfn.XLOOKUP(LOOKUP(2,1/($F$14:$F$54&lt;&gt;0),$F$14:$F$54),$F$14:$F$54,$A$14:$A$54,,0)))/8,0),0)</f>
        <v>0</v>
      </c>
      <c r="H17" s="55">
        <f t="shared" si="0"/>
        <v>0</v>
      </c>
      <c r="I17" s="55">
        <f>IF(AND($A17&gt;=$H$7,$A17&lt;=$H$8),IFERROR('[1]State of Good Repair AP-CP'!$B$26*$C$108*B17*(1-$J$108)*VLOOKUP($E$108,$B$150:$D$152,3,0)*(HLOOKUP(C17,$E$149:$I$155,$O$150,0)-1)/100,0)+IFERROR('[1]State of Good Repair AP-CP'!$B$26*$C$109*B17*(1-$J$109)*VLOOKUP($E$109,$B$150:$D$152,3,0)*(HLOOKUP(C17,$E$149:$I$155,$O$151,0)-1)/100,0),0)</f>
        <v>0</v>
      </c>
      <c r="J17" s="55">
        <f>IF(AND($A17&gt;=$H$7,$A17&lt;=$H$8),(IFERROR('[1]State of Good Repair AP-CP'!$B$26*$C$108*B17*$J$108*VLOOKUP($E$108,$B$153:$D$155,3,0)*(HLOOKUP(C17,$E$149:$I$155,$P$150,0)-1)/100,0)+IFERROR('[1]State of Good Repair AP-CP'!$B$26*$C$109*B17*$J$109*VLOOKUP($E$109,$B$153:$D$155,3,0)*(HLOOKUP(C17,$E$149:$I$155,$P$151,0)-1)/100,0)),0)</f>
        <v>0</v>
      </c>
      <c r="K17" s="55">
        <f t="shared" si="1"/>
        <v>0</v>
      </c>
      <c r="M17" s="35">
        <f t="shared" si="9"/>
        <v>0</v>
      </c>
      <c r="N17" s="35">
        <f t="shared" si="6"/>
        <v>0</v>
      </c>
      <c r="O17" s="35">
        <f t="shared" si="7"/>
        <v>0</v>
      </c>
      <c r="P17" s="36">
        <f t="shared" si="8"/>
        <v>0</v>
      </c>
    </row>
    <row r="18" spans="1:16" x14ac:dyDescent="0.3">
      <c r="A18" s="77">
        <f>'[1]Major Assumption Key'!A23</f>
        <v>2024</v>
      </c>
      <c r="B18" s="39">
        <f t="shared" si="2"/>
        <v>3347.8846246185462</v>
      </c>
      <c r="C18" s="53" t="s">
        <v>25</v>
      </c>
      <c r="D18" s="54" t="str">
        <f t="shared" si="3"/>
        <v>Routine Maintenance</v>
      </c>
      <c r="E18" s="55">
        <f>IF(AND($A18&gt;=$H$7,$A18&lt;=$H$8),IF(D18="Routine Maintenance",VLOOKUP(C18,$A$136:$D$142,4,0),0)*(1+$H$5)^(A18-$H$6),0)</f>
        <v>5063.0718914127419</v>
      </c>
      <c r="F18" s="55">
        <f t="shared" si="10"/>
        <v>0</v>
      </c>
      <c r="G18" s="55" cm="1">
        <f t="array" ref="G18">IFERROR(-IF(A18=$H$8,LOOKUP(2,1/($F$14:$F$54&lt;&gt;0),$F$14:$F$54)*(8-(A18-_xlfn.XLOOKUP(LOOKUP(2,1/($F$14:$F$54&lt;&gt;0),$F$14:$F$54),$F$14:$F$54,$A$14:$A$54,,0)))/8,0),0)</f>
        <v>0</v>
      </c>
      <c r="H18" s="55">
        <f t="shared" si="0"/>
        <v>0</v>
      </c>
      <c r="I18" s="55">
        <f>IF(AND($A18&gt;=$H$7,$A18&lt;=$H$8),IFERROR('[1]State of Good Repair AP-CP'!$B$26*$C$108*B18*(1-$J$108)*VLOOKUP($E$108,$B$150:$D$152,3,0)*(HLOOKUP(C18,$E$149:$I$155,$O$150,0)-1)/100,0)+IFERROR('[1]State of Good Repair AP-CP'!$B$26*$C$109*B18*(1-$J$109)*VLOOKUP($E$109,$B$150:$D$152,3,0)*(HLOOKUP(C18,$E$149:$I$155,$O$151,0)-1)/100,0),0)</f>
        <v>3374.6988751083909</v>
      </c>
      <c r="J18" s="55">
        <f>IF(AND($A18&gt;=$H$7,$A18&lt;=$H$8),(IFERROR('[1]State of Good Repair AP-CP'!$B$26*$C$108*B18*$J$108*VLOOKUP($E$108,$B$153:$D$155,3,0)*(HLOOKUP(C18,$E$149:$I$155,$P$150,0)-1)/100,0)+IFERROR('[1]State of Good Repair AP-CP'!$B$26*$C$109*B18*$J$109*VLOOKUP($E$109,$B$153:$D$155,3,0)*(HLOOKUP(C18,$E$149:$I$155,$P$151,0)-1)/100,0)),0)</f>
        <v>1185.5262100501468</v>
      </c>
      <c r="K18" s="55">
        <f t="shared" si="1"/>
        <v>4560.2250851585377</v>
      </c>
      <c r="M18" s="35">
        <f>K18+G18+F18+E18</f>
        <v>9623.2969765712805</v>
      </c>
      <c r="N18" s="35">
        <f t="shared" si="6"/>
        <v>5063.0718914127419</v>
      </c>
      <c r="O18" s="35">
        <f t="shared" si="7"/>
        <v>4560.2250851585386</v>
      </c>
      <c r="P18" s="36">
        <f t="shared" si="8"/>
        <v>4290.1151454837382</v>
      </c>
    </row>
    <row r="19" spans="1:16" x14ac:dyDescent="0.3">
      <c r="A19" s="77">
        <f>'[1]Major Assumption Key'!A24</f>
        <v>2025</v>
      </c>
      <c r="B19" s="39">
        <f t="shared" si="2"/>
        <v>3404.7433050152158</v>
      </c>
      <c r="C19" s="53" t="s">
        <v>26</v>
      </c>
      <c r="D19" s="54" t="str">
        <f>IF(ISBLANK(C19),"",IF(C19="Light Rehabilitation","Rehab","Routine Maintenance"))</f>
        <v>Routine Maintenance</v>
      </c>
      <c r="E19" s="55">
        <f>IF(AND($A19&gt;=$H$7,$A19&lt;=$H$8),IF(D19="Routine Maintenance",VLOOKUP(C19,$A$136:$D$142,4,0),0)*(1+$H$5)^(A19-$H$6),0)</f>
        <v>20816.133757480533</v>
      </c>
      <c r="F19" s="55">
        <f t="shared" si="10"/>
        <v>0</v>
      </c>
      <c r="G19" s="55" cm="1">
        <f t="array" ref="G19">IFERROR(-IF(A19=$H$8,LOOKUP(2,1/($F$14:$F$54&lt;&gt;0),$F$14:$F$54)*(8-(A19-_xlfn.XLOOKUP(LOOKUP(2,1/($F$14:$F$54&lt;&gt;0),$F$14:$F$54),$F$14:$F$54,$A$14:$A$54,,0)))/8,0),0)</f>
        <v>0</v>
      </c>
      <c r="H19" s="55">
        <f t="shared" si="0"/>
        <v>0</v>
      </c>
      <c r="I19" s="55">
        <f>IF(AND($A19&gt;=$H$7,$A19&lt;=$H$8),IFERROR('[1]State of Good Repair AP-CP'!$B$26*$C$108*B19*(1-$J$108)*VLOOKUP($E$108,$B$150:$D$152,3,0)*(HLOOKUP(C19,$E$149:$I$155,$O$150,0)-1)/100,0)+IFERROR('[1]State of Good Repair AP-CP'!$B$26*$C$109*B19*(1-$J$109)*VLOOKUP($E$109,$B$150:$D$152,3,0)*(HLOOKUP(C19,$E$149:$I$155,$O$151,0)-1)/100,0),0)</f>
        <v>8008.0302268916857</v>
      </c>
      <c r="J19" s="55">
        <f>IF(AND($A19&gt;=$H$7,$A19&lt;=$H$8),(IFERROR('[1]State of Good Repair AP-CP'!$B$26*$C$108*B19*$J$108*VLOOKUP($E$108,$B$153:$D$155,3,0)*(HLOOKUP(C19,$E$149:$I$155,$P$150,0)-1)/100,0)+IFERROR('[1]State of Good Repair AP-CP'!$B$26*$C$109*B19*$J$109*VLOOKUP($E$109,$B$153:$D$155,3,0)*(HLOOKUP(C19,$E$149:$I$155,$P$151,0)-1)/100,0)),0)</f>
        <v>2813.207956087339</v>
      </c>
      <c r="K19" s="55">
        <f t="shared" si="1"/>
        <v>10821.238182979025</v>
      </c>
      <c r="M19" s="35">
        <f>K19+G19+F19+E19</f>
        <v>31637.371940459558</v>
      </c>
      <c r="N19" s="35">
        <f t="shared" si="6"/>
        <v>20816.133757480533</v>
      </c>
      <c r="O19" s="35">
        <f t="shared" si="7"/>
        <v>10821.238182979025</v>
      </c>
      <c r="P19" s="36">
        <f t="shared" si="8"/>
        <v>9874.178193599555</v>
      </c>
    </row>
    <row r="20" spans="1:16" x14ac:dyDescent="0.3">
      <c r="A20" s="77">
        <f>'[1]Major Assumption Key'!A25</f>
        <v>2026</v>
      </c>
      <c r="B20" s="39">
        <f t="shared" si="2"/>
        <v>3462.5676428042216</v>
      </c>
      <c r="C20" s="53" t="s">
        <v>26</v>
      </c>
      <c r="D20" s="54" t="str">
        <f>IF(ISBLANK(C20),"",IF(C20="Light Rehabilitation","Rehab","Routine Maintenance"))</f>
        <v>Routine Maintenance</v>
      </c>
      <c r="E20" s="55">
        <f>IF(AND($A20&gt;=$H$7,$A20&lt;=$H$8),IF(D20="Routine Maintenance",VLOOKUP(C20,$A$136:$D$142,4,0),0)*(1+$H$5)^(A20-$H$6),0)</f>
        <v>21396.794330715515</v>
      </c>
      <c r="F20" s="55">
        <f t="shared" si="10"/>
        <v>0</v>
      </c>
      <c r="G20" s="55" cm="1">
        <f t="array" ref="G20">IFERROR(-IF(A20=$H$8,LOOKUP(2,1/($F$14:$F$54&lt;&gt;0),$F$14:$F$54)*(8-(A20-_xlfn.XLOOKUP(LOOKUP(2,1/($F$14:$F$54&lt;&gt;0),$F$14:$F$54),$F$14:$F$54,$A$14:$A$54,,0)))/8,0),0)</f>
        <v>0</v>
      </c>
      <c r="H20" s="55">
        <f t="shared" si="0"/>
        <v>0</v>
      </c>
      <c r="I20" s="55">
        <f>IF(AND($A20&gt;=$H$7,$A20&lt;=$H$8),IFERROR('[1]State of Good Repair AP-CP'!$B$26*$C$108*B20*(1-$J$108)*VLOOKUP($E$108,$B$150:$D$152,3,0)*(HLOOKUP(C20,$E$149:$I$155,$O$150,0)-1)/100,0)+IFERROR('[1]State of Good Repair AP-CP'!$B$26*$C$109*B20*(1-$J$109)*VLOOKUP($E$109,$B$150:$D$152,3,0)*(HLOOKUP(C20,$E$149:$I$155,$O$151,0)-1)/100,0),0)</f>
        <v>8144.0343256976839</v>
      </c>
      <c r="J20" s="55">
        <f>IF(AND($A20&gt;=$H$7,$A20&lt;=$H$8),(IFERROR('[1]State of Good Repair AP-CP'!$B$26*$C$108*B20*$J$108*VLOOKUP($E$108,$B$153:$D$155,3,0)*(HLOOKUP(C20,$E$149:$I$155,$P$150,0)-1)/100,0)+IFERROR('[1]State of Good Repair AP-CP'!$B$26*$C$109*B20*$J$109*VLOOKUP($E$109,$B$153:$D$155,3,0)*(HLOOKUP(C20,$E$149:$I$155,$P$151,0)-1)/100,0)),0)</f>
        <v>2860.9859741493456</v>
      </c>
      <c r="K20" s="55">
        <f t="shared" si="1"/>
        <v>11005.02029984703</v>
      </c>
      <c r="M20" s="35">
        <f>K20+G20+F20+E20</f>
        <v>32401.814630562545</v>
      </c>
      <c r="N20" s="35">
        <f t="shared" si="6"/>
        <v>93682.148827680503</v>
      </c>
      <c r="O20" s="35">
        <f t="shared" si="7"/>
        <v>-61280.334197117962</v>
      </c>
      <c r="P20" s="36">
        <f t="shared" si="8"/>
        <v>-54235.851626041927</v>
      </c>
    </row>
    <row r="21" spans="1:16" x14ac:dyDescent="0.3">
      <c r="A21" s="77">
        <f>'[1]Major Assumption Key'!A26</f>
        <v>2027</v>
      </c>
      <c r="B21" s="39">
        <f t="shared" si="2"/>
        <v>3521.3740381938142</v>
      </c>
      <c r="C21" s="53" t="s">
        <v>26</v>
      </c>
      <c r="D21" s="54" t="str">
        <f t="shared" ref="D21:D54" si="11">IF(ISBLANK(C21),"",IF(C21="Light Rehabilitation","Rehab","Routine Maintenance"))</f>
        <v>Routine Maintenance</v>
      </c>
      <c r="E21" s="55">
        <f t="shared" ref="E21:E22" si="12">IF(AND($A21&gt;=$H$7,$A21&lt;=$H$8),IF(D21="Routine Maintenance",VLOOKUP(C21,$A$136:$D$142,4,0),0)*(1+$H$5)^(A21-$H$6),0)</f>
        <v>21993.652277835474</v>
      </c>
      <c r="F21" s="55">
        <f t="shared" si="10"/>
        <v>0</v>
      </c>
      <c r="G21" s="55" cm="1">
        <f t="array" ref="G21">IFERROR(-IF(A21=$H$8,LOOKUP(2,1/($F$14:$F$54&lt;&gt;0),$F$14:$F$54)*(8-(A21-_xlfn.XLOOKUP(LOOKUP(2,1/($F$14:$F$54&lt;&gt;0),$F$14:$F$54),$F$14:$F$54,$A$14:$A$54,,0)))/8,0),0)</f>
        <v>0</v>
      </c>
      <c r="H21" s="55">
        <f t="shared" si="0"/>
        <v>0</v>
      </c>
      <c r="I21" s="55">
        <f>IF(AND($A21&gt;=$H$7,$A21&lt;=$H$8),IFERROR('[1]State of Good Repair AP-CP'!$B$26*$C$108*B21*(1-$J$108)*VLOOKUP($E$108,$B$150:$D$152,3,0)*(HLOOKUP(C21,$E$149:$I$155,$O$150,0)-1)/100,0)+IFERROR('[1]State of Good Repair AP-CP'!$B$26*$C$109*B21*(1-$J$109)*VLOOKUP($E$109,$B$150:$D$152,3,0)*(HLOOKUP(C21,$E$149:$I$155,$O$151,0)-1)/100,0),0)</f>
        <v>8282.3482453170363</v>
      </c>
      <c r="J21" s="55">
        <f>IF(AND($A21&gt;=$H$7,$A21&lt;=$H$8),(IFERROR('[1]State of Good Repair AP-CP'!$B$26*$C$108*B21*$J$108*VLOOKUP($E$108,$B$153:$D$155,3,0)*(HLOOKUP(C21,$E$149:$I$155,$P$150,0)-1)/100,0)+IFERROR('[1]State of Good Repair AP-CP'!$B$26*$C$109*B21*$J$109*VLOOKUP($E$109,$B$153:$D$155,3,0)*(HLOOKUP(C21,$E$149:$I$155,$P$151,0)-1)/100,0)),0)</f>
        <v>2909.5754284953255</v>
      </c>
      <c r="K21" s="55">
        <f t="shared" si="1"/>
        <v>11191.923673812362</v>
      </c>
      <c r="M21" s="35">
        <f t="shared" si="9"/>
        <v>33185.575951647836</v>
      </c>
      <c r="N21" s="35">
        <f t="shared" si="6"/>
        <v>96295.38771603159</v>
      </c>
      <c r="O21" s="35">
        <f t="shared" si="7"/>
        <v>-63109.811764383754</v>
      </c>
      <c r="P21" s="36">
        <f t="shared" si="8"/>
        <v>-54175.578610295714</v>
      </c>
    </row>
    <row r="22" spans="1:16" x14ac:dyDescent="0.3">
      <c r="A22" s="77">
        <f>'[1]Major Assumption Key'!A27</f>
        <v>2028</v>
      </c>
      <c r="B22" s="39">
        <f t="shared" si="2"/>
        <v>3581.1791699246019</v>
      </c>
      <c r="C22" s="53" t="s">
        <v>22</v>
      </c>
      <c r="D22" s="54" t="str">
        <f t="shared" si="11"/>
        <v>Routine Maintenance</v>
      </c>
      <c r="E22" s="55">
        <f t="shared" si="12"/>
        <v>33911.328872212194</v>
      </c>
      <c r="F22" s="55">
        <f t="shared" si="10"/>
        <v>0</v>
      </c>
      <c r="G22" s="55" cm="1">
        <f t="array" ref="G22">IFERROR(-IF(A22=$H$8,LOOKUP(2,1/($F$14:$F$54&lt;&gt;0),$F$14:$F$54)*(8-(A22-_xlfn.XLOOKUP(LOOKUP(2,1/($F$14:$F$54&lt;&gt;0),$F$14:$F$54),$F$14:$F$54,$A$14:$A$54,,0)))/8,0),0)</f>
        <v>0</v>
      </c>
      <c r="H22" s="55">
        <f t="shared" si="0"/>
        <v>0</v>
      </c>
      <c r="I22" s="55">
        <f>IF(AND($A22&gt;=$H$7,$A22&lt;=$H$8),IFERROR('[1]State of Good Repair AP-CP'!$B$26*$C$108*B22*(1-$J$108)*VLOOKUP($E$108,$B$150:$D$152,3,0)*(HLOOKUP(C22,$E$149:$I$155,$O$150,0)-1)/100,0)+IFERROR('[1]State of Good Repair AP-CP'!$B$26*$C$109*B22*(1-$J$109)*VLOOKUP($E$109,$B$150:$D$152,3,0)*(HLOOKUP(C22,$E$149:$I$155,$O$151,0)-1)/100,0),0)</f>
        <v>18049.309745378596</v>
      </c>
      <c r="J22" s="55">
        <f>IF(AND($A22&gt;=$H$7,$A22&lt;=$H$8),(IFERROR('[1]State of Good Repair AP-CP'!$B$26*$C$108*B22*$J$108*VLOOKUP($E$108,$B$153:$D$155,3,0)*(HLOOKUP(C22,$E$149:$I$155,$P$150,0)-1)/100,0)+IFERROR('[1]State of Good Repair AP-CP'!$B$26*$C$109*B22*$J$109*VLOOKUP($E$109,$B$153:$D$155,3,0)*(HLOOKUP(C22,$E$149:$I$155,$P$151,0)-1)/100,0)),0)</f>
        <v>5495.2673288031492</v>
      </c>
      <c r="K22" s="55">
        <f t="shared" si="1"/>
        <v>23544.577074181747</v>
      </c>
      <c r="M22" s="35">
        <f t="shared" si="9"/>
        <v>57455.905946393941</v>
      </c>
      <c r="N22" s="35">
        <f t="shared" si="6"/>
        <v>110285.69166736852</v>
      </c>
      <c r="O22" s="35">
        <f t="shared" si="7"/>
        <v>-52829.785720974578</v>
      </c>
      <c r="P22" s="36">
        <f t="shared" si="8"/>
        <v>-43987.254651650983</v>
      </c>
    </row>
    <row r="23" spans="1:16" x14ac:dyDescent="0.3">
      <c r="A23" s="77">
        <f>'[1]Major Assumption Key'!A28</f>
        <v>2029</v>
      </c>
      <c r="B23" s="39">
        <f t="shared" si="2"/>
        <v>3641.9999999999973</v>
      </c>
      <c r="C23" s="53" t="s">
        <v>22</v>
      </c>
      <c r="D23" s="54" t="str">
        <f t="shared" si="11"/>
        <v>Routine Maintenance</v>
      </c>
      <c r="E23" s="55">
        <f>IF(AND($A23&gt;=$H$7,$A23&lt;=$H$8),IF(D23="Routine Maintenance",VLOOKUP(C23,$A$136:$D$142,4,0),0)*(1+$H$5)^(A23-$H$6),0)</f>
        <v>34857.276467068637</v>
      </c>
      <c r="F23" s="55">
        <f t="shared" si="10"/>
        <v>0</v>
      </c>
      <c r="G23" s="55" cm="1">
        <f t="array" ref="G23">IFERROR(-IF(A23=$H$8,LOOKUP(2,1/($F$14:$F$54&lt;&gt;0),$F$14:$F$54)*(8-(A23-_xlfn.XLOOKUP(LOOKUP(2,1/($F$14:$F$54&lt;&gt;0),$F$14:$F$54),$F$14:$F$54,$A$14:$A$54,,0)))/8,0),0)</f>
        <v>0</v>
      </c>
      <c r="H23" s="55">
        <f t="shared" si="0"/>
        <v>0</v>
      </c>
      <c r="I23" s="55">
        <f>IF(AND($A23&gt;=$H$7,$A23&lt;=$H$8),IFERROR('[1]State of Good Repair AP-CP'!$B$26*$C$108*B23*(1-$J$108)*VLOOKUP($E$108,$B$150:$D$152,3,0)*(HLOOKUP(C23,$E$149:$I$155,$O$150,0)-1)/100,0)+IFERROR('[1]State of Good Repair AP-CP'!$B$26*$C$109*B23*(1-$J$109)*VLOOKUP($E$109,$B$150:$D$152,3,0)*(HLOOKUP(C23,$E$149:$I$155,$O$151,0)-1)/100,0),0)</f>
        <v>18355.849560593975</v>
      </c>
      <c r="J23" s="55">
        <f>IF(AND($A23&gt;=$H$7,$A23&lt;=$H$8),(IFERROR('[1]State of Good Repair AP-CP'!$B$26*$C$108*B23*$J$108*VLOOKUP($E$108,$B$153:$D$155,3,0)*(HLOOKUP(C23,$E$149:$I$155,$P$150,0)-1)/100,0)+IFERROR('[1]State of Good Repair AP-CP'!$B$26*$C$109*B23*$J$109*VLOOKUP($E$109,$B$153:$D$155,3,0)*(HLOOKUP(C23,$E$149:$I$155,$P$151,0)-1)/100,0)),0)</f>
        <v>5588.5960075888715</v>
      </c>
      <c r="K23" s="55">
        <f t="shared" si="1"/>
        <v>23944.445568182848</v>
      </c>
      <c r="M23" s="35">
        <f t="shared" si="9"/>
        <v>58801.722035251485</v>
      </c>
      <c r="N23" s="35">
        <f t="shared" si="6"/>
        <v>34857.276467068637</v>
      </c>
      <c r="O23" s="35">
        <f t="shared" si="7"/>
        <v>23944.445568182848</v>
      </c>
      <c r="P23" s="36">
        <f t="shared" si="8"/>
        <v>19337.224017086424</v>
      </c>
    </row>
    <row r="24" spans="1:16" x14ac:dyDescent="0.3">
      <c r="A24" s="77">
        <f>'[1]Major Assumption Key'!A29</f>
        <v>2030</v>
      </c>
      <c r="B24" s="39">
        <f t="shared" si="2"/>
        <v>3703.8537784969985</v>
      </c>
      <c r="C24" s="53" t="s">
        <v>22</v>
      </c>
      <c r="D24" s="54" t="str">
        <f t="shared" si="11"/>
        <v>Routine Maintenance</v>
      </c>
      <c r="E24" s="55">
        <f t="shared" ref="E24:E54" si="13">IF(AND($A24&gt;=$H$7,$A24&lt;=$H$8),IF(D24="Routine Maintenance",VLOOKUP(C24,$A$136:$D$142,4,0),0)*(1+$H$5)^(A24-$H$6),0)</f>
        <v>35829.61102115002</v>
      </c>
      <c r="F24" s="55">
        <f t="shared" si="10"/>
        <v>0</v>
      </c>
      <c r="G24" s="55" cm="1">
        <f t="array" ref="G24">IFERROR(-IF(A24=$H$8,LOOKUP(2,1/($F$14:$F$54&lt;&gt;0),$F$14:$F$54)*(8-(A24-_xlfn.XLOOKUP(LOOKUP(2,1/($F$14:$F$54&lt;&gt;0),$F$14:$F$54),$F$14:$F$54,$A$14:$A$54,,0)))/8,0),0)</f>
        <v>0</v>
      </c>
      <c r="H24" s="55">
        <f t="shared" si="0"/>
        <v>0</v>
      </c>
      <c r="I24" s="55">
        <f>IF(AND($A24&gt;=$H$7,$A24&lt;=$H$8),IFERROR('[1]State of Good Repair AP-CP'!$B$26*$C$108*B24*(1-$J$108)*VLOOKUP($E$108,$B$150:$D$152,3,0)*(HLOOKUP(C24,$E$149:$I$155,$O$150,0)-1)/100,0)+IFERROR('[1]State of Good Repair AP-CP'!$B$26*$C$109*B24*(1-$J$109)*VLOOKUP($E$109,$B$150:$D$152,3,0)*(HLOOKUP(C24,$E$149:$I$155,$O$151,0)-1)/100,0),0)</f>
        <v>18667.595483945228</v>
      </c>
      <c r="J24" s="55">
        <f>IF(AND($A24&gt;=$H$7,$A24&lt;=$H$8),(IFERROR('[1]State of Good Repair AP-CP'!$B$26*$C$108*B24*$J$108*VLOOKUP($E$108,$B$153:$D$155,3,0)*(HLOOKUP(C24,$E$149:$I$155,$P$150,0)-1)/100,0)+IFERROR('[1]State of Good Repair AP-CP'!$B$26*$C$109*B24*$J$109*VLOOKUP($E$109,$B$153:$D$155,3,0)*(HLOOKUP(C24,$E$149:$I$155,$P$151,0)-1)/100,0)),0)</f>
        <v>5683.509730697775</v>
      </c>
      <c r="K24" s="55">
        <f t="shared" si="1"/>
        <v>24351.105214643001</v>
      </c>
      <c r="M24" s="35">
        <f t="shared" si="9"/>
        <v>60180.716235793021</v>
      </c>
      <c r="N24" s="35">
        <f t="shared" si="6"/>
        <v>0</v>
      </c>
      <c r="O24" s="35">
        <f t="shared" si="7"/>
        <v>60180.716235793021</v>
      </c>
      <c r="P24" s="36">
        <f t="shared" si="8"/>
        <v>47139.831941629345</v>
      </c>
    </row>
    <row r="25" spans="1:16" x14ac:dyDescent="0.3">
      <c r="A25" s="77">
        <f>'[1]Major Assumption Key'!A30</f>
        <v>2031</v>
      </c>
      <c r="B25" s="39">
        <f t="shared" si="2"/>
        <v>3766.7580484586779</v>
      </c>
      <c r="C25" s="53" t="s">
        <v>22</v>
      </c>
      <c r="D25" s="54" t="str">
        <f t="shared" si="11"/>
        <v>Routine Maintenance</v>
      </c>
      <c r="E25" s="55">
        <f t="shared" si="13"/>
        <v>36829.06859173999</v>
      </c>
      <c r="F25" s="55">
        <f t="shared" si="10"/>
        <v>0</v>
      </c>
      <c r="G25" s="55" cm="1">
        <f t="array" ref="G25">IFERROR(-IF(A25=$H$8,LOOKUP(2,1/($F$14:$F$54&lt;&gt;0),$F$14:$F$54)*(8-(A25-_xlfn.XLOOKUP(LOOKUP(2,1/($F$14:$F$54&lt;&gt;0),$F$14:$F$54),$F$14:$F$54,$A$14:$A$54,,0)))/8,0),0)</f>
        <v>0</v>
      </c>
      <c r="H25" s="55">
        <f t="shared" si="0"/>
        <v>0</v>
      </c>
      <c r="I25" s="55">
        <f>IF(AND($A25&gt;=$H$7,$A25&lt;=$H$8),IFERROR('[1]State of Good Repair AP-CP'!$B$26*$C$108*B25*(1-$J$108)*VLOOKUP($E$108,$B$150:$D$152,3,0)*(HLOOKUP(C25,$E$149:$I$155,$O$150,0)-1)/100,0)+IFERROR('[1]State of Good Repair AP-CP'!$B$26*$C$109*B25*(1-$J$109)*VLOOKUP($E$109,$B$150:$D$152,3,0)*(HLOOKUP(C25,$E$149:$I$155,$O$151,0)-1)/100,0),0)</f>
        <v>18984.63593318619</v>
      </c>
      <c r="J25" s="55">
        <f>IF(AND($A25&gt;=$H$7,$A25&lt;=$H$8),(IFERROR('[1]State of Good Repair AP-CP'!$B$26*$C$108*B25*$J$108*VLOOKUP($E$108,$B$153:$D$155,3,0)*(HLOOKUP(C25,$E$149:$I$155,$P$150,0)-1)/100,0)+IFERROR('[1]State of Good Repair AP-CP'!$B$26*$C$109*B25*$J$109*VLOOKUP($E$109,$B$153:$D$155,3,0)*(HLOOKUP(C25,$E$149:$I$155,$P$151,0)-1)/100,0)),0)</f>
        <v>5780.0354176741994</v>
      </c>
      <c r="K25" s="55">
        <f t="shared" si="1"/>
        <v>24764.67135086039</v>
      </c>
      <c r="M25" s="35">
        <f t="shared" si="9"/>
        <v>61593.739942600383</v>
      </c>
      <c r="N25" s="35">
        <f t="shared" si="6"/>
        <v>0</v>
      </c>
      <c r="O25" s="35">
        <f t="shared" si="7"/>
        <v>61593.739942600383</v>
      </c>
      <c r="P25" s="36">
        <f t="shared" si="8"/>
        <v>46795.984396727086</v>
      </c>
    </row>
    <row r="26" spans="1:16" x14ac:dyDescent="0.3">
      <c r="A26" s="77">
        <f>'[1]Major Assumption Key'!A31</f>
        <v>2032</v>
      </c>
      <c r="B26" s="39">
        <f t="shared" si="2"/>
        <v>3830.7306508697588</v>
      </c>
      <c r="C26" s="53" t="s">
        <v>23</v>
      </c>
      <c r="D26" s="54" t="str">
        <f t="shared" si="11"/>
        <v>Rehab</v>
      </c>
      <c r="E26" s="55">
        <f t="shared" si="13"/>
        <v>0</v>
      </c>
      <c r="F26" s="55">
        <f>IF(AND($A26&gt;=$H$7,$A26&lt;=$H$8),IF(D26="Rehab",$B$163*SUM($H$108:$H$109),0)*(1+$H$5)^(A26-$H$6),0)</f>
        <v>1031194.4307843798</v>
      </c>
      <c r="G26" s="55" cm="1">
        <f t="array" ref="G26">IFERROR(-IF(A26=$H$8,LOOKUP(2,1/($F$14:$F$54&lt;&gt;0),$F$14:$F$54)*(8-(A26-_xlfn.XLOOKUP(LOOKUP(2,1/($F$14:$F$54&lt;&gt;0),$F$14:$F$54),$F$14:$F$54,$A$14:$A$54,,0)))/8,0),0)</f>
        <v>0</v>
      </c>
      <c r="H26" s="55">
        <f t="shared" si="0"/>
        <v>92740.743091531956</v>
      </c>
      <c r="I26" s="55">
        <f>IF(AND($A26&gt;=$H$7,$A26&lt;=$H$8),IFERROR('[1]State of Good Repair AP-CP'!$B$26*$C$108*B26*(1-$J$108)*VLOOKUP($E$108,$B$150:$D$152,3,0)*(HLOOKUP(C26,$E$149:$I$155,$O$150,0)-1)/100,0)+IFERROR('[1]State of Good Repair AP-CP'!$B$26*$C$109*B26*(1-$J$109)*VLOOKUP($E$109,$B$150:$D$152,3,0)*(HLOOKUP(C26,$E$149:$I$155,$O$151,0)-1)/100,0),0)</f>
        <v>0</v>
      </c>
      <c r="J26" s="55">
        <f>IF(AND($A26&gt;=$H$7,$A26&lt;=$H$8),(IFERROR('[1]State of Good Repair AP-CP'!$B$26*$C$108*B26*$J$108*VLOOKUP($E$108,$B$153:$D$155,3,0)*(HLOOKUP(C26,$E$149:$I$155,$P$150,0)-1)/100,0)+IFERROR('[1]State of Good Repair AP-CP'!$B$26*$C$109*B26*$J$109*VLOOKUP($E$109,$B$153:$D$155,3,0)*(HLOOKUP(C26,$E$149:$I$155,$P$151,0)-1)/100,0)),0)</f>
        <v>0</v>
      </c>
      <c r="K26" s="55">
        <f t="shared" si="1"/>
        <v>0</v>
      </c>
      <c r="M26" s="35">
        <f t="shared" si="9"/>
        <v>1031194.4307843798</v>
      </c>
      <c r="N26" s="35">
        <f t="shared" si="6"/>
        <v>0</v>
      </c>
      <c r="O26" s="35">
        <f t="shared" si="7"/>
        <v>1031194.4307843798</v>
      </c>
      <c r="P26" s="36">
        <f t="shared" si="8"/>
        <v>759895.55830102181</v>
      </c>
    </row>
    <row r="27" spans="1:16" x14ac:dyDescent="0.3">
      <c r="A27" s="77">
        <f>'[1]Major Assumption Key'!A32</f>
        <v>2033</v>
      </c>
      <c r="B27" s="39">
        <f t="shared" si="2"/>
        <v>3895.7897297167028</v>
      </c>
      <c r="C27" s="53" t="s">
        <v>24</v>
      </c>
      <c r="D27" s="54" t="str">
        <f t="shared" si="11"/>
        <v>Routine Maintenance</v>
      </c>
      <c r="E27" s="55">
        <f t="shared" si="13"/>
        <v>0</v>
      </c>
      <c r="F27" s="55">
        <f t="shared" ref="F27:F54" si="14">IF(AND($A27&gt;=$H$7,$A27&lt;=$H$8),IF(D27="Rehab",$B$163*SUM($H$108:$H$109),0)*(1+$H$5)^(A27-$H$6),0)</f>
        <v>0</v>
      </c>
      <c r="G27" s="55" cm="1">
        <f t="array" ref="G27">IFERROR(-IF(A27=$H$8,LOOKUP(2,1/($F$14:$F$54&lt;&gt;0),$F$14:$F$54)*(8-(A27-_xlfn.XLOOKUP(LOOKUP(2,1/($F$14:$F$54&lt;&gt;0),$F$14:$F$54),$F$14:$F$54,$A$14:$A$54,,0)))/8,0),0)</f>
        <v>0</v>
      </c>
      <c r="H27" s="55">
        <f t="shared" si="0"/>
        <v>0</v>
      </c>
      <c r="I27" s="55">
        <f>IF(AND($A27&gt;=$H$7,$A27&lt;=$H$8),IFERROR('[1]State of Good Repair AP-CP'!$B$26*$C$108*B27*(1-$J$108)*VLOOKUP($E$108,$B$150:$D$152,3,0)*(HLOOKUP(C27,$E$149:$I$155,$O$150,0)-1)/100,0)+IFERROR('[1]State of Good Repair AP-CP'!$B$26*$C$109*B27*(1-$J$109)*VLOOKUP($E$109,$B$150:$D$152,3,0)*(HLOOKUP(C27,$E$149:$I$155,$O$151,0)-1)/100,0),0)</f>
        <v>2617.9948818739531</v>
      </c>
      <c r="J27" s="55">
        <f>IF(AND($A27&gt;=$H$7,$A27&lt;=$H$8),(IFERROR('[1]State of Good Repair AP-CP'!$B$26*$C$108*B27*$J$108*VLOOKUP($E$108,$B$153:$D$155,3,0)*(HLOOKUP(C27,$E$149:$I$155,$P$150,0)-1)/100,0)+IFERROR('[1]State of Good Repair AP-CP'!$B$26*$C$109*B27*$J$109*VLOOKUP($E$109,$B$153:$D$155,3,0)*(HLOOKUP(C27,$E$149:$I$155,$P$151,0)-1)/100,0)),0)</f>
        <v>919.69733155495919</v>
      </c>
      <c r="K27" s="55">
        <f t="shared" si="1"/>
        <v>3537.6922134289125</v>
      </c>
      <c r="M27" s="35">
        <f t="shared" si="9"/>
        <v>3537.6922134289125</v>
      </c>
      <c r="N27" s="35">
        <f t="shared" si="6"/>
        <v>0</v>
      </c>
      <c r="O27" s="35">
        <f t="shared" si="7"/>
        <v>3537.6922134289125</v>
      </c>
      <c r="P27" s="36">
        <f t="shared" si="8"/>
        <v>2528.5685246031935</v>
      </c>
    </row>
    <row r="28" spans="1:16" x14ac:dyDescent="0.3">
      <c r="A28" s="77">
        <f>'[1]Major Assumption Key'!A33</f>
        <v>2034</v>
      </c>
      <c r="B28" s="39">
        <f t="shared" si="2"/>
        <v>3961.9537371337233</v>
      </c>
      <c r="C28" s="53" t="s">
        <v>24</v>
      </c>
      <c r="D28" s="54" t="str">
        <f t="shared" si="11"/>
        <v>Routine Maintenance</v>
      </c>
      <c r="E28" s="55">
        <f t="shared" si="13"/>
        <v>0</v>
      </c>
      <c r="F28" s="55">
        <f t="shared" si="14"/>
        <v>0</v>
      </c>
      <c r="G28" s="55" cm="1">
        <f t="array" ref="G28">IFERROR(-IF(A28=$H$8,LOOKUP(2,1/($F$14:$F$54&lt;&gt;0),$F$14:$F$54)*(8-(A28-_xlfn.XLOOKUP(LOOKUP(2,1/($F$14:$F$54&lt;&gt;0),$F$14:$F$54),$F$14:$F$54,$A$14:$A$54,,0)))/8,0),0)</f>
        <v>0</v>
      </c>
      <c r="H28" s="55">
        <f t="shared" si="0"/>
        <v>0</v>
      </c>
      <c r="I28" s="55">
        <f>IF(AND($A28&gt;=$H$7,$A28&lt;=$H$8),IFERROR('[1]State of Good Repair AP-CP'!$B$26*$C$108*B28*(1-$J$108)*VLOOKUP($E$108,$B$150:$D$152,3,0)*(HLOOKUP(C28,$E$149:$I$155,$O$150,0)-1)/100,0)+IFERROR('[1]State of Good Repair AP-CP'!$B$26*$C$109*B28*(1-$J$109)*VLOOKUP($E$109,$B$150:$D$152,3,0)*(HLOOKUP(C28,$E$149:$I$155,$O$151,0)-1)/100,0),0)</f>
        <v>2662.4575055778828</v>
      </c>
      <c r="J28" s="55">
        <f>IF(AND($A28&gt;=$H$7,$A28&lt;=$H$8),(IFERROR('[1]State of Good Repair AP-CP'!$B$26*$C$108*B28*$J$108*VLOOKUP($E$108,$B$153:$D$155,3,0)*(HLOOKUP(C28,$E$149:$I$155,$P$150,0)-1)/100,0)+IFERROR('[1]State of Good Repair AP-CP'!$B$26*$C$109*B28*$J$109*VLOOKUP($E$109,$B$153:$D$155,3,0)*(HLOOKUP(C28,$E$149:$I$155,$P$151,0)-1)/100,0)),0)</f>
        <v>935.31697873515759</v>
      </c>
      <c r="K28" s="55">
        <f t="shared" si="1"/>
        <v>3597.7744843130404</v>
      </c>
      <c r="M28" s="35">
        <f t="shared" si="9"/>
        <v>3597.7744843130404</v>
      </c>
      <c r="N28" s="35">
        <f t="shared" si="6"/>
        <v>0</v>
      </c>
      <c r="O28" s="35">
        <f t="shared" si="7"/>
        <v>3597.7744843130404</v>
      </c>
      <c r="P28" s="36">
        <f t="shared" si="8"/>
        <v>2494.1924140870046</v>
      </c>
    </row>
    <row r="29" spans="1:16" x14ac:dyDescent="0.3">
      <c r="A29" s="77">
        <f>'[1]Major Assumption Key'!A34</f>
        <v>2035</v>
      </c>
      <c r="B29" s="39">
        <f t="shared" si="2"/>
        <v>4029.2414386362038</v>
      </c>
      <c r="C29" s="53" t="s">
        <v>24</v>
      </c>
      <c r="D29" s="54" t="str">
        <f t="shared" si="11"/>
        <v>Routine Maintenance</v>
      </c>
      <c r="E29" s="55">
        <f t="shared" si="13"/>
        <v>0</v>
      </c>
      <c r="F29" s="55">
        <f t="shared" si="14"/>
        <v>0</v>
      </c>
      <c r="G29" s="55" cm="1">
        <f t="array" ref="G29">IFERROR(-IF(A29=$H$8,LOOKUP(2,1/($F$14:$F$54&lt;&gt;0),$F$14:$F$54)*(8-(A29-_xlfn.XLOOKUP(LOOKUP(2,1/($F$14:$F$54&lt;&gt;0),$F$14:$F$54),$F$14:$F$54,$A$14:$A$54,,0)))/8,0),0)</f>
        <v>0</v>
      </c>
      <c r="H29" s="55">
        <f t="shared" si="0"/>
        <v>0</v>
      </c>
      <c r="I29" s="55">
        <f>IF(AND($A29&gt;=$H$7,$A29&lt;=$H$8),IFERROR('[1]State of Good Repair AP-CP'!$B$26*$C$108*B29*(1-$J$108)*VLOOKUP($E$108,$B$150:$D$152,3,0)*(HLOOKUP(C29,$E$149:$I$155,$O$150,0)-1)/100,0)+IFERROR('[1]State of Good Repair AP-CP'!$B$26*$C$109*B29*(1-$J$109)*VLOOKUP($E$109,$B$150:$D$152,3,0)*(HLOOKUP(C29,$E$149:$I$155,$O$151,0)-1)/100,0),0)</f>
        <v>2707.675258682686</v>
      </c>
      <c r="J29" s="55">
        <f>IF(AND($A29&gt;=$H$7,$A29&lt;=$H$8),(IFERROR('[1]State of Good Repair AP-CP'!$B$26*$C$108*B29*$J$108*VLOOKUP($E$108,$B$153:$D$155,3,0)*(HLOOKUP(C29,$E$149:$I$155,$P$150,0)-1)/100,0)+IFERROR('[1]State of Good Repair AP-CP'!$B$26*$C$109*B29*$J$109*VLOOKUP($E$109,$B$153:$D$155,3,0)*(HLOOKUP(C29,$E$149:$I$155,$P$151,0)-1)/100,0)),0)</f>
        <v>951.20190164212329</v>
      </c>
      <c r="K29" s="55">
        <f t="shared" si="1"/>
        <v>3658.8771603248092</v>
      </c>
      <c r="M29" s="35">
        <f t="shared" si="9"/>
        <v>3658.8771603248092</v>
      </c>
      <c r="N29" s="35">
        <f t="shared" si="6"/>
        <v>0</v>
      </c>
      <c r="O29" s="35">
        <f t="shared" si="7"/>
        <v>3658.8771603248092</v>
      </c>
      <c r="P29" s="36">
        <f t="shared" si="8"/>
        <v>2460.2836498035663</v>
      </c>
    </row>
    <row r="30" spans="1:16" x14ac:dyDescent="0.3">
      <c r="A30" s="77">
        <f>'[1]Major Assumption Key'!A35</f>
        <v>2036</v>
      </c>
      <c r="B30" s="39">
        <f t="shared" si="2"/>
        <v>4097.6719184429976</v>
      </c>
      <c r="C30" s="53" t="s">
        <v>24</v>
      </c>
      <c r="D30" s="54" t="str">
        <f t="shared" si="11"/>
        <v>Routine Maintenance</v>
      </c>
      <c r="E30" s="55">
        <f t="shared" si="13"/>
        <v>0</v>
      </c>
      <c r="F30" s="55">
        <f t="shared" si="14"/>
        <v>0</v>
      </c>
      <c r="G30" s="55" cm="1">
        <f t="array" ref="G30">IFERROR(-IF(A30=$H$8,LOOKUP(2,1/($F$14:$F$54&lt;&gt;0),$F$14:$F$54)*(8-(A30-_xlfn.XLOOKUP(LOOKUP(2,1/($F$14:$F$54&lt;&gt;0),$F$14:$F$54),$F$14:$F$54,$A$14:$A$54,,0)))/8,0),0)</f>
        <v>0</v>
      </c>
      <c r="H30" s="55">
        <f t="shared" si="0"/>
        <v>0</v>
      </c>
      <c r="I30" s="55">
        <f>IF(AND($A30&gt;=$H$7,$A30&lt;=$H$8),IFERROR('[1]State of Good Repair AP-CP'!$B$26*$C$108*B30*(1-$J$108)*VLOOKUP($E$108,$B$150:$D$152,3,0)*(HLOOKUP(C30,$E$149:$I$155,$O$150,0)-1)/100,0)+IFERROR('[1]State of Good Repair AP-CP'!$B$26*$C$109*B30*(1-$J$109)*VLOOKUP($E$109,$B$150:$D$152,3,0)*(HLOOKUP(C30,$E$149:$I$155,$O$151,0)-1)/100,0),0)</f>
        <v>2753.6609659018977</v>
      </c>
      <c r="J30" s="55">
        <f>IF(AND($A30&gt;=$H$7,$A30&lt;=$H$8),(IFERROR('[1]State of Good Repair AP-CP'!$B$26*$C$108*B30*$J$108*VLOOKUP($E$108,$B$153:$D$155,3,0)*(HLOOKUP(C30,$E$149:$I$155,$P$150,0)-1)/100,0)+IFERROR('[1]State of Good Repair AP-CP'!$B$26*$C$109*B30*$J$109*VLOOKUP($E$109,$B$153:$D$155,3,0)*(HLOOKUP(C30,$E$149:$I$155,$P$151,0)-1)/100,0)),0)</f>
        <v>967.35660557680171</v>
      </c>
      <c r="K30" s="55">
        <f t="shared" si="1"/>
        <v>3721.0175714786992</v>
      </c>
      <c r="M30" s="35">
        <f t="shared" si="9"/>
        <v>3721.0175714786992</v>
      </c>
      <c r="N30" s="35">
        <f t="shared" si="6"/>
        <v>0</v>
      </c>
      <c r="O30" s="35">
        <f t="shared" si="7"/>
        <v>3721.0175714786992</v>
      </c>
      <c r="P30" s="36">
        <f t="shared" si="8"/>
        <v>2426.8358781399174</v>
      </c>
    </row>
    <row r="31" spans="1:16" x14ac:dyDescent="0.3">
      <c r="A31" s="77">
        <f>'[1]Major Assumption Key'!A36</f>
        <v>2037</v>
      </c>
      <c r="B31" s="39">
        <f t="shared" si="2"/>
        <v>4167.2645848891134</v>
      </c>
      <c r="C31" s="53" t="s">
        <v>25</v>
      </c>
      <c r="D31" s="54" t="str">
        <f t="shared" si="11"/>
        <v>Routine Maintenance</v>
      </c>
      <c r="E31" s="55">
        <f t="shared" si="13"/>
        <v>7240.1313365847927</v>
      </c>
      <c r="F31" s="55">
        <f t="shared" si="14"/>
        <v>0</v>
      </c>
      <c r="G31" s="55" cm="1">
        <f t="array" ref="G31">IFERROR(-IF(A31=$H$8,LOOKUP(2,1/($F$14:$F$54&lt;&gt;0),$F$14:$F$54)*(8-(A31-_xlfn.XLOOKUP(LOOKUP(2,1/($F$14:$F$54&lt;&gt;0),$F$14:$F$54),$F$14:$F$54,$A$14:$A$54,,0)))/8,0),0)</f>
        <v>0</v>
      </c>
      <c r="H31" s="55">
        <f t="shared" si="0"/>
        <v>0</v>
      </c>
      <c r="I31" s="55">
        <f>IF(AND($A31&gt;=$H$7,$A31&lt;=$H$8),IFERROR('[1]State of Good Repair AP-CP'!$B$26*$C$108*B31*(1-$J$108)*VLOOKUP($E$108,$B$150:$D$152,3,0)*(HLOOKUP(C31,$E$149:$I$155,$O$150,0)-1)/100,0)+IFERROR('[1]State of Good Repair AP-CP'!$B$26*$C$109*B31*(1-$J$109)*VLOOKUP($E$109,$B$150:$D$152,3,0)*(HLOOKUP(C31,$E$149:$I$155,$O$151,0)-1)/100,0),0)</f>
        <v>4200.641504635686</v>
      </c>
      <c r="J31" s="55">
        <f>IF(AND($A31&gt;=$H$7,$A31&lt;=$H$8),(IFERROR('[1]State of Good Repair AP-CP'!$B$26*$C$108*B31*$J$108*VLOOKUP($E$108,$B$153:$D$155,3,0)*(HLOOKUP(C31,$E$149:$I$155,$P$150,0)-1)/100,0)+IFERROR('[1]State of Good Repair AP-CP'!$B$26*$C$109*B31*$J$109*VLOOKUP($E$109,$B$153:$D$155,3,0)*(HLOOKUP(C31,$E$149:$I$155,$P$151,0)-1)/100,0)),0)</f>
        <v>1475.6785085336364</v>
      </c>
      <c r="K31" s="55">
        <f t="shared" si="1"/>
        <v>5676.3200131693229</v>
      </c>
      <c r="M31" s="35">
        <f t="shared" si="9"/>
        <v>12916.451349754116</v>
      </c>
      <c r="N31" s="35">
        <f t="shared" si="6"/>
        <v>0</v>
      </c>
      <c r="O31" s="35">
        <f t="shared" si="7"/>
        <v>12916.451349754116</v>
      </c>
      <c r="P31" s="36">
        <f t="shared" si="8"/>
        <v>8170.7746581292522</v>
      </c>
    </row>
    <row r="32" spans="1:16" x14ac:dyDescent="0.3">
      <c r="A32" s="77">
        <f>'[1]Major Assumption Key'!A37</f>
        <v>2038</v>
      </c>
      <c r="B32" s="39">
        <f t="shared" si="2"/>
        <v>4238.0391759303347</v>
      </c>
      <c r="C32" s="53" t="s">
        <v>25</v>
      </c>
      <c r="D32" s="54" t="str">
        <f t="shared" si="11"/>
        <v>Routine Maintenance</v>
      </c>
      <c r="E32" s="55">
        <f t="shared" si="13"/>
        <v>7442.0928949211038</v>
      </c>
      <c r="F32" s="55">
        <f t="shared" si="14"/>
        <v>0</v>
      </c>
      <c r="G32" s="55" cm="1">
        <f t="array" ref="G32">IFERROR(-IF(A32=$H$8,LOOKUP(2,1/($F$14:$F$54&lt;&gt;0),$F$14:$F$54)*(8-(A32-_xlfn.XLOOKUP(LOOKUP(2,1/($F$14:$F$54&lt;&gt;0),$F$14:$F$54),$F$14:$F$54,$A$14:$A$54,,0)))/8,0),0)</f>
        <v>0</v>
      </c>
      <c r="H32" s="55">
        <f t="shared" si="0"/>
        <v>0</v>
      </c>
      <c r="I32" s="55">
        <f>IF(AND($A32&gt;=$H$7,$A32&lt;=$H$8),IFERROR('[1]State of Good Repair AP-CP'!$B$26*$C$108*B32*(1-$J$108)*VLOOKUP($E$108,$B$150:$D$152,3,0)*(HLOOKUP(C32,$E$149:$I$155,$O$150,0)-1)/100,0)+IFERROR('[1]State of Good Repair AP-CP'!$B$26*$C$109*B32*(1-$J$109)*VLOOKUP($E$109,$B$150:$D$152,3,0)*(HLOOKUP(C32,$E$149:$I$155,$O$151,0)-1)/100,0),0)</f>
        <v>4271.9829514157636</v>
      </c>
      <c r="J32" s="55">
        <f>IF(AND($A32&gt;=$H$7,$A32&lt;=$H$8),(IFERROR('[1]State of Good Repair AP-CP'!$B$26*$C$108*B32*$J$108*VLOOKUP($E$108,$B$153:$D$155,3,0)*(HLOOKUP(C32,$E$149:$I$155,$P$150,0)-1)/100,0)+IFERROR('[1]State of Good Repair AP-CP'!$B$26*$C$109*B32*$J$109*VLOOKUP($E$109,$B$153:$D$155,3,0)*(HLOOKUP(C32,$E$149:$I$155,$P$151,0)-1)/100,0)),0)</f>
        <v>1500.7406424160154</v>
      </c>
      <c r="K32" s="55">
        <f t="shared" si="1"/>
        <v>5772.723593831779</v>
      </c>
      <c r="M32" s="35">
        <f t="shared" si="9"/>
        <v>13214.816488752884</v>
      </c>
      <c r="N32" s="35">
        <f t="shared" si="6"/>
        <v>0</v>
      </c>
      <c r="O32" s="35">
        <f t="shared" si="7"/>
        <v>13214.816488752884</v>
      </c>
      <c r="P32" s="36">
        <f t="shared" si="8"/>
        <v>8108.1633958941575</v>
      </c>
    </row>
    <row r="33" spans="1:16" x14ac:dyDescent="0.3">
      <c r="A33" s="77">
        <f>'[1]Major Assumption Key'!A38</f>
        <v>2039</v>
      </c>
      <c r="B33" s="39">
        <f t="shared" si="2"/>
        <v>4310.0157647413198</v>
      </c>
      <c r="C33" s="53" t="s">
        <v>25</v>
      </c>
      <c r="D33" s="54" t="str">
        <f t="shared" si="11"/>
        <v>Routine Maintenance</v>
      </c>
      <c r="E33" s="55">
        <f t="shared" si="13"/>
        <v>7649.6881177794285</v>
      </c>
      <c r="F33" s="55">
        <f t="shared" si="14"/>
        <v>0</v>
      </c>
      <c r="G33" s="55" cm="1">
        <f t="array" ref="G33">IFERROR(-IF(A33=$H$8,LOOKUP(2,1/($F$14:$F$54&lt;&gt;0),$F$14:$F$54)*(8-(A33-_xlfn.XLOOKUP(LOOKUP(2,1/($F$14:$F$54&lt;&gt;0),$F$14:$F$54),$F$14:$F$54,$A$14:$A$54,,0)))/8,0),0)</f>
        <v>0</v>
      </c>
      <c r="H33" s="55">
        <f t="shared" si="0"/>
        <v>0</v>
      </c>
      <c r="I33" s="55">
        <f>IF(AND($A33&gt;=$H$7,$A33&lt;=$H$8),IFERROR('[1]State of Good Repair AP-CP'!$B$26*$C$108*B33*(1-$J$108)*VLOOKUP($E$108,$B$150:$D$152,3,0)*(HLOOKUP(C33,$E$149:$I$155,$O$150,0)-1)/100,0)+IFERROR('[1]State of Good Repair AP-CP'!$B$26*$C$109*B33*(1-$J$109)*VLOOKUP($E$109,$B$150:$D$152,3,0)*(HLOOKUP(C33,$E$149:$I$155,$O$151,0)-1)/100,0),0)</f>
        <v>4344.5360231400464</v>
      </c>
      <c r="J33" s="55">
        <f>IF(AND($A33&gt;=$H$7,$A33&lt;=$H$8),(IFERROR('[1]State of Good Repair AP-CP'!$B$26*$C$108*B33*$J$108*VLOOKUP($E$108,$B$153:$D$155,3,0)*(HLOOKUP(C33,$E$149:$I$155,$P$150,0)-1)/100,0)+IFERROR('[1]State of Good Repair AP-CP'!$B$26*$C$109*B33*$J$109*VLOOKUP($E$109,$B$153:$D$155,3,0)*(HLOOKUP(C33,$E$149:$I$155,$P$151,0)-1)/100,0)),0)</f>
        <v>1526.2284181649029</v>
      </c>
      <c r="K33" s="55">
        <f t="shared" si="1"/>
        <v>5870.7644413049493</v>
      </c>
      <c r="M33" s="35">
        <f t="shared" si="9"/>
        <v>13520.452559084377</v>
      </c>
      <c r="N33" s="35">
        <f t="shared" si="6"/>
        <v>0</v>
      </c>
      <c r="O33" s="35">
        <f t="shared" si="7"/>
        <v>13520.452559084377</v>
      </c>
      <c r="P33" s="36">
        <f t="shared" si="8"/>
        <v>8046.2573493111622</v>
      </c>
    </row>
    <row r="34" spans="1:16" x14ac:dyDescent="0.3">
      <c r="A34" s="77">
        <f>'[1]Major Assumption Key'!A39</f>
        <v>2040</v>
      </c>
      <c r="B34" s="39">
        <f t="shared" si="2"/>
        <v>4383.2147654087812</v>
      </c>
      <c r="C34" s="53" t="s">
        <v>26</v>
      </c>
      <c r="D34" s="54" t="str">
        <f t="shared" si="11"/>
        <v>Routine Maintenance</v>
      </c>
      <c r="E34" s="55">
        <f t="shared" si="13"/>
        <v>31450.655743755287</v>
      </c>
      <c r="F34" s="55">
        <f t="shared" si="14"/>
        <v>0</v>
      </c>
      <c r="G34" s="55" cm="1">
        <f t="array" ref="G34">IFERROR(-IF(A34=$H$8,LOOKUP(2,1/($F$14:$F$54&lt;&gt;0),$F$14:$F$54)*(8-(A34-_xlfn.XLOOKUP(LOOKUP(2,1/($F$14:$F$54&lt;&gt;0),$F$14:$F$54),$F$14:$F$54,$A$14:$A$54,,0)))/8,0),0)</f>
        <v>0</v>
      </c>
      <c r="H34" s="55">
        <f t="shared" si="0"/>
        <v>0</v>
      </c>
      <c r="I34" s="55">
        <f>IF(AND($A34&gt;=$H$7,$A34&lt;=$H$8),IFERROR('[1]State of Good Repair AP-CP'!$B$26*$C$108*B34*(1-$J$108)*VLOOKUP($E$108,$B$150:$D$152,3,0)*(HLOOKUP(C34,$E$149:$I$155,$O$150,0)-1)/100,0)+IFERROR('[1]State of Good Repair AP-CP'!$B$26*$C$109*B34*(1-$J$109)*VLOOKUP($E$109,$B$150:$D$152,3,0)*(HLOOKUP(C34,$E$149:$I$155,$O$151,0)-1)/100,0),0)</f>
        <v>10309.416360595385</v>
      </c>
      <c r="J34" s="55">
        <f>IF(AND($A34&gt;=$H$7,$A34&lt;=$H$8),(IFERROR('[1]State of Good Repair AP-CP'!$B$26*$C$108*B34*$J$108*VLOOKUP($E$108,$B$153:$D$155,3,0)*(HLOOKUP(C34,$E$149:$I$155,$P$150,0)-1)/100,0)+IFERROR('[1]State of Good Repair AP-CP'!$B$26*$C$109*B34*$J$109*VLOOKUP($E$109,$B$153:$D$155,3,0)*(HLOOKUP(C34,$E$149:$I$155,$P$151,0)-1)/100,0)),0)</f>
        <v>3621.6811508591463</v>
      </c>
      <c r="K34" s="55">
        <f t="shared" si="1"/>
        <v>13931.097511454533</v>
      </c>
      <c r="M34" s="35">
        <f t="shared" si="9"/>
        <v>45381.75325520982</v>
      </c>
      <c r="N34" s="35">
        <f t="shared" si="6"/>
        <v>0</v>
      </c>
      <c r="O34" s="35">
        <f t="shared" si="7"/>
        <v>45381.75325520982</v>
      </c>
      <c r="P34" s="36">
        <f t="shared" si="8"/>
        <v>26195.4157204207</v>
      </c>
    </row>
    <row r="35" spans="1:16" x14ac:dyDescent="0.3">
      <c r="A35" s="77">
        <f>'[1]Major Assumption Key'!A40</f>
        <v>2041</v>
      </c>
      <c r="B35" s="39">
        <f t="shared" si="2"/>
        <v>4457.6569387213494</v>
      </c>
      <c r="C35" s="53" t="s">
        <v>26</v>
      </c>
      <c r="D35" s="54" t="str">
        <f t="shared" si="11"/>
        <v>Routine Maintenance</v>
      </c>
      <c r="E35" s="55">
        <f t="shared" si="13"/>
        <v>32327.963509238987</v>
      </c>
      <c r="F35" s="55">
        <f t="shared" si="14"/>
        <v>0</v>
      </c>
      <c r="G35" s="55" cm="1">
        <f t="array" ref="G35">IFERROR(-IF(A35=$H$8,LOOKUP(2,1/($F$14:$F$54&lt;&gt;0),$F$14:$F$54)*(8-(A35-_xlfn.XLOOKUP(LOOKUP(2,1/($F$14:$F$54&lt;&gt;0),$F$14:$F$54),$F$14:$F$54,$A$14:$A$54,,0)))/8,0),0)</f>
        <v>0</v>
      </c>
      <c r="H35" s="55">
        <f t="shared" si="0"/>
        <v>0</v>
      </c>
      <c r="I35" s="55">
        <f>IF(AND($A35&gt;=$H$7,$A35&lt;=$H$8),IFERROR('[1]State of Good Repair AP-CP'!$B$26*$C$108*B35*(1-$J$108)*VLOOKUP($E$108,$B$150:$D$152,3,0)*(HLOOKUP(C35,$E$149:$I$155,$O$150,0)-1)/100,0)+IFERROR('[1]State of Good Repair AP-CP'!$B$26*$C$109*B35*(1-$J$109)*VLOOKUP($E$109,$B$150:$D$152,3,0)*(HLOOKUP(C35,$E$149:$I$155,$O$151,0)-1)/100,0),0)</f>
        <v>10484.505969601867</v>
      </c>
      <c r="J35" s="55">
        <f>IF(AND($A35&gt;=$H$7,$A35&lt;=$H$8),(IFERROR('[1]State of Good Repair AP-CP'!$B$26*$C$108*B35*$J$108*VLOOKUP($E$108,$B$153:$D$155,3,0)*(HLOOKUP(C35,$E$149:$I$155,$P$150,0)-1)/100,0)+IFERROR('[1]State of Good Repair AP-CP'!$B$26*$C$109*B35*$J$109*VLOOKUP($E$109,$B$153:$D$155,3,0)*(HLOOKUP(C35,$E$149:$I$155,$P$151,0)-1)/100,0)),0)</f>
        <v>3683.1898448986858</v>
      </c>
      <c r="K35" s="55">
        <f t="shared" si="1"/>
        <v>14167.695814500552</v>
      </c>
      <c r="M35" s="35">
        <f t="shared" si="9"/>
        <v>46495.659323739543</v>
      </c>
      <c r="N35" s="35">
        <f t="shared" si="6"/>
        <v>4047.9130898573007</v>
      </c>
      <c r="O35" s="35">
        <f t="shared" si="7"/>
        <v>42447.746233882244</v>
      </c>
      <c r="P35" s="36">
        <f t="shared" si="8"/>
        <v>23765.119142985066</v>
      </c>
    </row>
    <row r="36" spans="1:16" x14ac:dyDescent="0.3">
      <c r="A36" s="77">
        <f>'[1]Major Assumption Key'!A41</f>
        <v>2042</v>
      </c>
      <c r="B36" s="39">
        <f t="shared" si="2"/>
        <v>4533.3633980577843</v>
      </c>
      <c r="C36" s="53" t="s">
        <v>26</v>
      </c>
      <c r="D36" s="54" t="str">
        <f t="shared" si="11"/>
        <v>Routine Maintenance</v>
      </c>
      <c r="E36" s="55">
        <f t="shared" si="13"/>
        <v>33229.743543970384</v>
      </c>
      <c r="F36" s="55">
        <f t="shared" si="14"/>
        <v>0</v>
      </c>
      <c r="G36" s="55" cm="1">
        <f t="array" ref="G36">IFERROR(-IF(A36=$H$8,LOOKUP(2,1/($F$14:$F$54&lt;&gt;0),$F$14:$F$54)*(8-(A36-_xlfn.XLOOKUP(LOOKUP(2,1/($F$14:$F$54&lt;&gt;0),$F$14:$F$54),$F$14:$F$54,$A$14:$A$54,,0)))/8,0),0)</f>
        <v>0</v>
      </c>
      <c r="H36" s="55">
        <f t="shared" si="0"/>
        <v>0</v>
      </c>
      <c r="I36" s="55">
        <f>IF(AND($A36&gt;=$H$7,$A36&lt;=$H$8),IFERROR('[1]State of Good Repair AP-CP'!$B$26*$C$108*B36*(1-$J$108)*VLOOKUP($E$108,$B$150:$D$152,3,0)*(HLOOKUP(C36,$E$149:$I$155,$O$150,0)-1)/100,0)+IFERROR('[1]State of Good Repair AP-CP'!$B$26*$C$109*B36*(1-$J$109)*VLOOKUP($E$109,$B$150:$D$152,3,0)*(HLOOKUP(C36,$E$149:$I$155,$O$151,0)-1)/100,0),0)</f>
        <v>10662.569206805121</v>
      </c>
      <c r="J36" s="55">
        <f>IF(AND($A36&gt;=$H$7,$A36&lt;=$H$8),(IFERROR('[1]State of Good Repair AP-CP'!$B$26*$C$108*B36*$J$108*VLOOKUP($E$108,$B$153:$D$155,3,0)*(HLOOKUP(C36,$E$149:$I$155,$P$150,0)-1)/100,0)+IFERROR('[1]State of Good Repair AP-CP'!$B$26*$C$109*B36*$J$109*VLOOKUP($E$109,$B$153:$D$155,3,0)*(HLOOKUP(C36,$E$149:$I$155,$P$151,0)-1)/100,0)),0)</f>
        <v>3745.7431696731969</v>
      </c>
      <c r="K36" s="55">
        <f t="shared" si="1"/>
        <v>14408.312376478318</v>
      </c>
      <c r="M36" s="35">
        <f t="shared" si="9"/>
        <v>47638.0559204487</v>
      </c>
      <c r="N36" s="35">
        <f t="shared" si="6"/>
        <v>4116.660678993805</v>
      </c>
      <c r="O36" s="35">
        <f t="shared" si="7"/>
        <v>43521.395241454898</v>
      </c>
      <c r="P36" s="36">
        <f t="shared" si="8"/>
        <v>23633.579505168549</v>
      </c>
    </row>
    <row r="37" spans="1:16" x14ac:dyDescent="0.3">
      <c r="A37" s="77">
        <f>'[1]Major Assumption Key'!A42</f>
        <v>2043</v>
      </c>
      <c r="B37" s="39">
        <f t="shared" si="2"/>
        <v>4610.3556153751579</v>
      </c>
      <c r="C37" s="53" t="s">
        <v>22</v>
      </c>
      <c r="D37" s="54" t="str">
        <f t="shared" si="11"/>
        <v>Routine Maintenance</v>
      </c>
      <c r="E37" s="55">
        <f t="shared" si="13"/>
        <v>51235.908771480819</v>
      </c>
      <c r="F37" s="55">
        <f t="shared" si="14"/>
        <v>0</v>
      </c>
      <c r="G37" s="55" cm="1">
        <f t="array" ref="G37">IFERROR(-IF(A37=$H$8,LOOKUP(2,1/($F$14:$F$54&lt;&gt;0),$F$14:$F$54)*(8-(A37-_xlfn.XLOOKUP(LOOKUP(2,1/($F$14:$F$54&lt;&gt;0),$F$14:$F$54),$F$14:$F$54,$A$14:$A$54,,0)))/8,0),0)</f>
        <v>0</v>
      </c>
      <c r="H37" s="55">
        <f t="shared" si="0"/>
        <v>0</v>
      </c>
      <c r="I37" s="55">
        <f>IF(AND($A37&gt;=$H$7,$A37&lt;=$H$8),IFERROR('[1]State of Good Repair AP-CP'!$B$26*$C$108*B37*(1-$J$108)*VLOOKUP($E$108,$B$150:$D$152,3,0)*(HLOOKUP(C37,$E$149:$I$155,$O$150,0)-1)/100,0)+IFERROR('[1]State of Good Repair AP-CP'!$B$26*$C$109*B37*(1-$J$109)*VLOOKUP($E$109,$B$150:$D$152,3,0)*(HLOOKUP(C37,$E$149:$I$155,$O$151,0)-1)/100,0),0)</f>
        <v>23236.406945817162</v>
      </c>
      <c r="J37" s="55">
        <f>IF(AND($A37&gt;=$H$7,$A37&lt;=$H$8),(IFERROR('[1]State of Good Repair AP-CP'!$B$26*$C$108*B37*$J$108*VLOOKUP($E$108,$B$153:$D$155,3,0)*(HLOOKUP(C37,$E$149:$I$155,$P$150,0)-1)/100,0)+IFERROR('[1]State of Good Repair AP-CP'!$B$26*$C$109*B37*$J$109*VLOOKUP($E$109,$B$153:$D$155,3,0)*(HLOOKUP(C37,$E$149:$I$155,$P$151,0)-1)/100,0)),0)</f>
        <v>7074.5236094592419</v>
      </c>
      <c r="K37" s="55">
        <f t="shared" si="1"/>
        <v>30310.930555276405</v>
      </c>
      <c r="M37" s="35">
        <f t="shared" si="9"/>
        <v>81546.839326757225</v>
      </c>
      <c r="N37" s="35">
        <f t="shared" si="6"/>
        <v>4186.5758403847431</v>
      </c>
      <c r="O37" s="35">
        <f t="shared" si="7"/>
        <v>77360.263486372482</v>
      </c>
      <c r="P37" s="36">
        <f t="shared" si="8"/>
        <v>40746.09273902604</v>
      </c>
    </row>
    <row r="38" spans="1:16" x14ac:dyDescent="0.3">
      <c r="A38" s="77">
        <f>'[1]Major Assumption Key'!A43</f>
        <v>2044</v>
      </c>
      <c r="B38" s="39">
        <f t="shared" si="2"/>
        <v>4688.6554272987769</v>
      </c>
      <c r="C38" s="53" t="s">
        <v>22</v>
      </c>
      <c r="D38" s="54" t="str">
        <f t="shared" si="11"/>
        <v>Routine Maintenance</v>
      </c>
      <c r="E38" s="55">
        <f t="shared" si="13"/>
        <v>52665.120963527392</v>
      </c>
      <c r="F38" s="55">
        <f t="shared" si="14"/>
        <v>0</v>
      </c>
      <c r="G38" s="55" cm="1">
        <f t="array" ref="G38">IFERROR(-IF(A38=$H$8,LOOKUP(2,1/($F$14:$F$54&lt;&gt;0),$F$14:$F$54)*(8-(A38-_xlfn.XLOOKUP(LOOKUP(2,1/($F$14:$F$54&lt;&gt;0),$F$14:$F$54),$F$14:$F$54,$A$14:$A$54,,0)))/8,0),0)</f>
        <v>0</v>
      </c>
      <c r="H38" s="55">
        <f t="shared" si="0"/>
        <v>0</v>
      </c>
      <c r="I38" s="55">
        <f>IF(AND($A38&gt;=$H$7,$A38&lt;=$H$8),IFERROR('[1]State of Good Repair AP-CP'!$B$26*$C$108*B38*(1-$J$108)*VLOOKUP($E$108,$B$150:$D$152,3,0)*(HLOOKUP(C38,$E$149:$I$155,$O$150,0)-1)/100,0)+IFERROR('[1]State of Good Repair AP-CP'!$B$26*$C$109*B38*(1-$J$109)*VLOOKUP($E$109,$B$150:$D$152,3,0)*(HLOOKUP(C38,$E$149:$I$155,$O$151,0)-1)/100,0),0)</f>
        <v>23631.041643316556</v>
      </c>
      <c r="J38" s="55">
        <f>IF(AND($A38&gt;=$H$7,$A38&lt;=$H$8),(IFERROR('[1]State of Good Repair AP-CP'!$B$26*$C$108*B38*$J$108*VLOOKUP($E$108,$B$153:$D$155,3,0)*(HLOOKUP(C38,$E$149:$I$155,$P$150,0)-1)/100,0)+IFERROR('[1]State of Good Repair AP-CP'!$B$26*$C$109*B38*$J$109*VLOOKUP($E$109,$B$153:$D$155,3,0)*(HLOOKUP(C38,$E$149:$I$155,$P$151,0)-1)/100,0)),0)</f>
        <v>7194.6735315655833</v>
      </c>
      <c r="K38" s="55">
        <f t="shared" si="1"/>
        <v>30825.715174882138</v>
      </c>
      <c r="M38" s="35">
        <f>K38+G38+F38+E38</f>
        <v>83490.836138409533</v>
      </c>
      <c r="N38" s="35">
        <f t="shared" ref="N38:N54" si="15">SUM(K84,H84,F84,E84)</f>
        <v>4257.6784034523034</v>
      </c>
      <c r="O38" s="35">
        <f t="shared" si="7"/>
        <v>79233.157734957233</v>
      </c>
      <c r="P38" s="36">
        <f t="shared" si="8"/>
        <v>40477.74669218083</v>
      </c>
    </row>
    <row r="39" spans="1:16" x14ac:dyDescent="0.3">
      <c r="A39" s="77">
        <f>'[1]Major Assumption Key'!A44</f>
        <v>2045</v>
      </c>
      <c r="B39" s="39">
        <f t="shared" si="2"/>
        <v>4768.2850413154983</v>
      </c>
      <c r="C39" s="53" t="s">
        <v>22</v>
      </c>
      <c r="D39" s="54" t="str">
        <f t="shared" si="11"/>
        <v>Routine Maintenance</v>
      </c>
      <c r="E39" s="55">
        <f t="shared" si="13"/>
        <v>54134.200653562628</v>
      </c>
      <c r="F39" s="55">
        <f t="shared" si="14"/>
        <v>0</v>
      </c>
      <c r="G39" s="55" cm="1">
        <f t="array" ref="G39">IFERROR(-IF(A39=$H$8,LOOKUP(2,1/($F$14:$F$54&lt;&gt;0),$F$14:$F$54)*(8-(A39-_xlfn.XLOOKUP(LOOKUP(2,1/($F$14:$F$54&lt;&gt;0),$F$14:$F$54),$F$14:$F$54,$A$14:$A$54,,0)))/8,0),0)</f>
        <v>0</v>
      </c>
      <c r="H39" s="55">
        <f t="shared" si="0"/>
        <v>0</v>
      </c>
      <c r="I39" s="55">
        <f>IF(AND($A39&gt;=$H$7,$A39&lt;=$H$8),IFERROR('[1]State of Good Repair AP-CP'!$B$26*$C$108*B39*(1-$J$108)*VLOOKUP($E$108,$B$150:$D$152,3,0)*(HLOOKUP(C39,$E$149:$I$155,$O$150,0)-1)/100,0)+IFERROR('[1]State of Good Repair AP-CP'!$B$26*$C$109*B39*(1-$J$109)*VLOOKUP($E$109,$B$150:$D$152,3,0)*(HLOOKUP(C39,$E$149:$I$155,$O$151,0)-1)/100,0),0)</f>
        <v>24032.378605276765</v>
      </c>
      <c r="J39" s="55">
        <f>IF(AND($A39&gt;=$H$7,$A39&lt;=$H$8),(IFERROR('[1]State of Good Repair AP-CP'!$B$26*$C$108*B39*$J$108*VLOOKUP($E$108,$B$153:$D$155,3,0)*(HLOOKUP(C39,$E$149:$I$155,$P$150,0)-1)/100,0)+IFERROR('[1]State of Good Repair AP-CP'!$B$26*$C$109*B39*$J$109*VLOOKUP($E$109,$B$153:$D$155,3,0)*(HLOOKUP(C39,$E$149:$I$155,$P$151,0)-1)/100,0)),0)</f>
        <v>7316.8640156346919</v>
      </c>
      <c r="K39" s="55">
        <f t="shared" si="1"/>
        <v>31349.242620911456</v>
      </c>
      <c r="M39" s="35">
        <f t="shared" si="9"/>
        <v>85483.443274474092</v>
      </c>
      <c r="N39" s="35">
        <f t="shared" si="15"/>
        <v>4329.9885343909646</v>
      </c>
      <c r="O39" s="35">
        <f t="shared" si="7"/>
        <v>81153.454740083122</v>
      </c>
      <c r="P39" s="36">
        <f t="shared" si="8"/>
        <v>40212.188634328042</v>
      </c>
    </row>
    <row r="40" spans="1:16" x14ac:dyDescent="0.3">
      <c r="A40" s="77">
        <f>'[1]Major Assumption Key'!A45</f>
        <v>2046</v>
      </c>
      <c r="B40" s="39">
        <f t="shared" si="2"/>
        <v>4849.2670420722507</v>
      </c>
      <c r="C40" s="53" t="s">
        <v>22</v>
      </c>
      <c r="D40" s="54" t="str">
        <f t="shared" si="11"/>
        <v>Routine Maintenance</v>
      </c>
      <c r="E40" s="55">
        <f t="shared" si="13"/>
        <v>55644.259934951464</v>
      </c>
      <c r="F40" s="55">
        <f t="shared" si="14"/>
        <v>0</v>
      </c>
      <c r="G40" s="55" cm="1">
        <f t="array" ref="G40">IFERROR(-IF(A40=$H$8,LOOKUP(2,1/($F$14:$F$54&lt;&gt;0),$F$14:$F$54)*(8-(A40-_xlfn.XLOOKUP(LOOKUP(2,1/($F$14:$F$54&lt;&gt;0),$F$14:$F$54),$F$14:$F$54,$A$14:$A$54,,0)))/8,0),0)</f>
        <v>0</v>
      </c>
      <c r="H40" s="55">
        <f t="shared" si="0"/>
        <v>0</v>
      </c>
      <c r="I40" s="55">
        <f>IF(AND($A40&gt;=$H$7,$A40&lt;=$H$8),IFERROR('[1]State of Good Repair AP-CP'!$B$26*$C$108*B40*(1-$J$108)*VLOOKUP($E$108,$B$150:$D$152,3,0)*(HLOOKUP(C40,$E$149:$I$155,$O$150,0)-1)/100,0)+IFERROR('[1]State of Good Repair AP-CP'!$B$26*$C$109*B40*(1-$J$109)*VLOOKUP($E$109,$B$150:$D$152,3,0)*(HLOOKUP(C40,$E$149:$I$155,$O$151,0)-1)/100,0),0)</f>
        <v>24440.531659369808</v>
      </c>
      <c r="J40" s="55">
        <f>IF(AND($A40&gt;=$H$7,$A40&lt;=$H$8),(IFERROR('[1]State of Good Repair AP-CP'!$B$26*$C$108*B40*$J$108*VLOOKUP($E$108,$B$153:$D$155,3,0)*(HLOOKUP(C40,$E$149:$I$155,$P$150,0)-1)/100,0)+IFERROR('[1]State of Good Repair AP-CP'!$B$26*$C$109*B40*$J$109*VLOOKUP($E$109,$B$153:$D$155,3,0)*(HLOOKUP(C40,$E$149:$I$155,$P$151,0)-1)/100,0)),0)</f>
        <v>7441.1297174786632</v>
      </c>
      <c r="K40" s="55">
        <f t="shared" si="1"/>
        <v>31881.661376848471</v>
      </c>
      <c r="M40" s="35">
        <f t="shared" si="9"/>
        <v>87525.921311799932</v>
      </c>
      <c r="N40" s="35">
        <f t="shared" si="15"/>
        <v>4403.5267418870581</v>
      </c>
      <c r="O40" s="35">
        <f t="shared" si="7"/>
        <v>83122.394569912867</v>
      </c>
      <c r="P40" s="36">
        <f t="shared" si="8"/>
        <v>39949.383253341795</v>
      </c>
    </row>
    <row r="41" spans="1:16" x14ac:dyDescent="0.3">
      <c r="A41" s="77">
        <f>'[1]Major Assumption Key'!A46</f>
        <v>2047</v>
      </c>
      <c r="B41" s="39">
        <f t="shared" si="2"/>
        <v>4931.6243977815166</v>
      </c>
      <c r="C41" s="53" t="s">
        <v>23</v>
      </c>
      <c r="D41" s="54" t="str">
        <f t="shared" si="11"/>
        <v>Rehab</v>
      </c>
      <c r="E41" s="55">
        <f t="shared" si="13"/>
        <v>0</v>
      </c>
      <c r="F41" s="55">
        <f t="shared" si="14"/>
        <v>1558009.8314761487</v>
      </c>
      <c r="G41" s="55" cm="1">
        <f t="array" ref="G41">IFERROR(-IF(A41=$H$8,LOOKUP(2,1/($F$14:$F$54&lt;&gt;0),$F$14:$F$54)*(8-(A41-_xlfn.XLOOKUP(LOOKUP(2,1/($F$14:$F$54&lt;&gt;0),$F$14:$F$54),$F$14:$F$54,$A$14:$A$54,,0)))/8,0),0)</f>
        <v>0</v>
      </c>
      <c r="H41" s="55">
        <f t="shared" si="0"/>
        <v>180388.38992731081</v>
      </c>
      <c r="I41" s="55">
        <f>IF(AND($A41&gt;=$H$7,$A41&lt;=$H$8),IFERROR('[1]State of Good Repair AP-CP'!$B$26*$C$108*B41*(1-$J$108)*VLOOKUP($E$108,$B$150:$D$152,3,0)*(HLOOKUP(C41,$E$149:$I$155,$O$150,0)-1)/100,0)+IFERROR('[1]State of Good Repair AP-CP'!$B$26*$C$109*B41*(1-$J$109)*VLOOKUP($E$109,$B$150:$D$152,3,0)*(HLOOKUP(C41,$E$149:$I$155,$O$151,0)-1)/100,0),0)</f>
        <v>0</v>
      </c>
      <c r="J41" s="55">
        <f>IF(AND($A41&gt;=$H$7,$A41&lt;=$H$8),(IFERROR('[1]State of Good Repair AP-CP'!$B$26*$C$108*B41*$J$108*VLOOKUP($E$108,$B$153:$D$155,3,0)*(HLOOKUP(C41,$E$149:$I$155,$P$150,0)-1)/100,0)+IFERROR('[1]State of Good Repair AP-CP'!$B$26*$C$109*B41*$J$109*VLOOKUP($E$109,$B$153:$D$155,3,0)*(HLOOKUP(C41,$E$149:$I$155,$P$151,0)-1)/100,0)),0)</f>
        <v>0</v>
      </c>
      <c r="K41" s="55">
        <f t="shared" si="1"/>
        <v>0</v>
      </c>
      <c r="M41" s="35">
        <f t="shared" si="9"/>
        <v>1558009.8314761487</v>
      </c>
      <c r="N41" s="35">
        <f t="shared" si="15"/>
        <v>4478.3138829354657</v>
      </c>
      <c r="O41" s="35">
        <f t="shared" si="7"/>
        <v>1553531.5175932131</v>
      </c>
      <c r="P41" s="36">
        <f t="shared" si="8"/>
        <v>724191.52223448618</v>
      </c>
    </row>
    <row r="42" spans="1:16" x14ac:dyDescent="0.3">
      <c r="A42" s="77">
        <f>'[1]Major Assumption Key'!A47</f>
        <v>2048</v>
      </c>
      <c r="B42" s="39">
        <f t="shared" si="2"/>
        <v>5015.3804667356035</v>
      </c>
      <c r="C42" s="53" t="s">
        <v>24</v>
      </c>
      <c r="D42" s="54" t="str">
        <f t="shared" si="11"/>
        <v>Routine Maintenance</v>
      </c>
      <c r="E42" s="55">
        <f t="shared" si="13"/>
        <v>0</v>
      </c>
      <c r="F42" s="55">
        <f t="shared" si="14"/>
        <v>0</v>
      </c>
      <c r="G42" s="55" cm="1">
        <f t="array" ref="G42">IFERROR(-IF(A42=$H$8,LOOKUP(2,1/($F$14:$F$54&lt;&gt;0),$F$14:$F$54)*(8-(A42-_xlfn.XLOOKUP(LOOKUP(2,1/($F$14:$F$54&lt;&gt;0),$F$14:$F$54),$F$14:$F$54,$A$14:$A$54,,0)))/8,0),0)</f>
        <v>-1363258.6025416302</v>
      </c>
      <c r="H42" s="55">
        <f t="shared" si="0"/>
        <v>0</v>
      </c>
      <c r="I42" s="55">
        <f>IF(AND($A42&gt;=$H$7,$A42&lt;=$H$8),IFERROR('[1]State of Good Repair AP-CP'!$B$26*$C$108*B42*(1-$J$108)*VLOOKUP($E$108,$B$150:$D$152,3,0)*(HLOOKUP(C42,$E$149:$I$155,$O$150,0)-1)/100,0)+IFERROR('[1]State of Good Repair AP-CP'!$B$26*$C$109*B42*(1-$J$109)*VLOOKUP($E$109,$B$150:$D$152,3,0)*(HLOOKUP(C42,$E$149:$I$155,$O$151,0)-1)/100,0),0)</f>
        <v>3370.3668071221136</v>
      </c>
      <c r="J42" s="55">
        <f>IF(AND($A42&gt;=$H$7,$A42&lt;=$H$8),(IFERROR('[1]State of Good Repair AP-CP'!$B$26*$C$108*B42*$J$108*VLOOKUP($E$108,$B$153:$D$155,3,0)*(HLOOKUP(C42,$E$149:$I$155,$P$150,0)-1)/100,0)+IFERROR('[1]State of Good Repair AP-CP'!$B$26*$C$109*B42*$J$109*VLOOKUP($E$109,$B$153:$D$155,3,0)*(HLOOKUP(C42,$E$149:$I$155,$P$151,0)-1)/100,0)),0)</f>
        <v>1184.004361632994</v>
      </c>
      <c r="K42" s="55">
        <f t="shared" si="1"/>
        <v>4554.3711687551076</v>
      </c>
      <c r="M42" s="35">
        <f>K42+G42+F42+E42</f>
        <v>-1358704.2313728752</v>
      </c>
      <c r="N42" s="35">
        <f t="shared" si="15"/>
        <v>4554.3711687551076</v>
      </c>
      <c r="O42" s="35">
        <f t="shared" si="7"/>
        <v>-1363258.6025416302</v>
      </c>
      <c r="P42" s="36">
        <f t="shared" si="8"/>
        <v>-616386.26044510037</v>
      </c>
    </row>
    <row r="43" spans="1:16" x14ac:dyDescent="0.3">
      <c r="A43" s="77">
        <f>'[1]Major Assumption Key'!A48</f>
        <v>2049</v>
      </c>
      <c r="B43" s="39">
        <f t="shared" si="2"/>
        <v>5100.559003931553</v>
      </c>
      <c r="C43" s="53" t="s">
        <v>24</v>
      </c>
      <c r="D43" s="54" t="str">
        <f t="shared" si="11"/>
        <v>Routine Maintenance</v>
      </c>
      <c r="E43" s="55">
        <f t="shared" si="13"/>
        <v>0</v>
      </c>
      <c r="F43" s="55">
        <f t="shared" si="14"/>
        <v>0</v>
      </c>
      <c r="G43" s="55" cm="1">
        <f t="array" ref="G43">IFERROR(-IF(A43=$H$8,LOOKUP(2,1/($F$14:$F$54&lt;&gt;0),$F$14:$F$54)*(8-(A43-_xlfn.XLOOKUP(LOOKUP(2,1/($F$14:$F$54&lt;&gt;0),$F$14:$F$54),$F$14:$F$54,$A$14:$A$54,,0)))/8,0),0)</f>
        <v>0</v>
      </c>
      <c r="H43" s="55">
        <f t="shared" si="0"/>
        <v>0</v>
      </c>
      <c r="I43" s="55">
        <f>IF(AND($A43&gt;=$H$7,$A43&lt;=$H$8),IFERROR('[1]State of Good Repair AP-CP'!$B$26*$C$108*B43*(1-$J$108)*VLOOKUP($E$108,$B$150:$D$152,3,0)*(HLOOKUP(C43,$E$149:$I$155,$O$150,0)-1)/100,0)+IFERROR('[1]State of Good Repair AP-CP'!$B$26*$C$109*B43*(1-$J$109)*VLOOKUP($E$109,$B$150:$D$152,3,0)*(HLOOKUP(C43,$E$149:$I$155,$O$151,0)-1)/100,0),0)</f>
        <v>0</v>
      </c>
      <c r="J43" s="55">
        <f>IF(AND($A43&gt;=$H$7,$A43&lt;=$H$8),(IFERROR('[1]State of Good Repair AP-CP'!$B$26*$C$108*B43*$J$108*VLOOKUP($E$108,$B$153:$D$155,3,0)*(HLOOKUP(C43,$E$149:$I$155,$P$150,0)-1)/100,0)+IFERROR('[1]State of Good Repair AP-CP'!$B$26*$C$109*B43*$J$109*VLOOKUP($E$109,$B$153:$D$155,3,0)*(HLOOKUP(C43,$E$149:$I$155,$P$151,0)-1)/100,0)),0)</f>
        <v>0</v>
      </c>
      <c r="K43" s="55">
        <f t="shared" si="1"/>
        <v>0</v>
      </c>
      <c r="M43" s="35">
        <f t="shared" si="9"/>
        <v>0</v>
      </c>
      <c r="N43" s="35">
        <f t="shared" si="15"/>
        <v>0</v>
      </c>
      <c r="O43" s="35">
        <f t="shared" si="7"/>
        <v>0</v>
      </c>
      <c r="P43" s="36">
        <f t="shared" si="8"/>
        <v>0</v>
      </c>
    </row>
    <row r="44" spans="1:16" x14ac:dyDescent="0.3">
      <c r="A44" s="77">
        <f>'[1]Major Assumption Key'!A49</f>
        <v>2050</v>
      </c>
      <c r="B44" s="39">
        <f t="shared" si="2"/>
        <v>5187.1841678085621</v>
      </c>
      <c r="C44" s="53" t="s">
        <v>24</v>
      </c>
      <c r="D44" s="54" t="str">
        <f t="shared" si="11"/>
        <v>Routine Maintenance</v>
      </c>
      <c r="E44" s="55">
        <f t="shared" si="13"/>
        <v>0</v>
      </c>
      <c r="F44" s="55">
        <f t="shared" si="14"/>
        <v>0</v>
      </c>
      <c r="G44" s="55" cm="1">
        <f t="array" ref="G44">IFERROR(-IF(A44=$H$8,LOOKUP(2,1/($F$14:$F$54&lt;&gt;0),$F$14:$F$54)*(8-(A44-_xlfn.XLOOKUP(LOOKUP(2,1/($F$14:$F$54&lt;&gt;0),$F$14:$F$54),$F$14:$F$54,$A$14:$A$54,,0)))/8,0),0)</f>
        <v>0</v>
      </c>
      <c r="H44" s="55">
        <f t="shared" si="0"/>
        <v>0</v>
      </c>
      <c r="I44" s="55">
        <f>IF(AND($A44&gt;=$H$7,$A44&lt;=$H$8),IFERROR('[1]State of Good Repair AP-CP'!$B$26*$C$108*B44*(1-$J$108)*VLOOKUP($E$108,$B$150:$D$152,3,0)*(HLOOKUP(C44,$E$149:$I$155,$O$150,0)-1)/100,0)+IFERROR('[1]State of Good Repair AP-CP'!$B$26*$C$109*B44*(1-$J$109)*VLOOKUP($E$109,$B$150:$D$152,3,0)*(HLOOKUP(C44,$E$149:$I$155,$O$151,0)-1)/100,0),0)</f>
        <v>0</v>
      </c>
      <c r="J44" s="55">
        <f>IF(AND($A44&gt;=$H$7,$A44&lt;=$H$8),(IFERROR('[1]State of Good Repair AP-CP'!$B$26*$C$108*B44*$J$108*VLOOKUP($E$108,$B$153:$D$155,3,0)*(HLOOKUP(C44,$E$149:$I$155,$P$150,0)-1)/100,0)+IFERROR('[1]State of Good Repair AP-CP'!$B$26*$C$109*B44*$J$109*VLOOKUP($E$109,$B$153:$D$155,3,0)*(HLOOKUP(C44,$E$149:$I$155,$P$151,0)-1)/100,0)),0)</f>
        <v>0</v>
      </c>
      <c r="K44" s="55">
        <f t="shared" si="1"/>
        <v>0</v>
      </c>
      <c r="M44" s="35">
        <f t="shared" si="9"/>
        <v>0</v>
      </c>
      <c r="N44" s="35">
        <f t="shared" si="15"/>
        <v>0</v>
      </c>
      <c r="O44" s="35">
        <f t="shared" si="7"/>
        <v>0</v>
      </c>
      <c r="P44" s="36">
        <f t="shared" si="8"/>
        <v>0</v>
      </c>
    </row>
    <row r="45" spans="1:16" x14ac:dyDescent="0.3">
      <c r="A45" s="77">
        <f>'[1]Major Assumption Key'!A50</f>
        <v>2051</v>
      </c>
      <c r="B45" s="39">
        <f t="shared" si="2"/>
        <v>5275.2805270998251</v>
      </c>
      <c r="C45" s="53" t="s">
        <v>24</v>
      </c>
      <c r="D45" s="54" t="str">
        <f t="shared" si="11"/>
        <v>Routine Maintenance</v>
      </c>
      <c r="E45" s="55">
        <f t="shared" si="13"/>
        <v>0</v>
      </c>
      <c r="F45" s="55">
        <f t="shared" si="14"/>
        <v>0</v>
      </c>
      <c r="G45" s="55" cm="1">
        <f t="array" ref="G45">IFERROR(-IF(A45=$H$8,LOOKUP(2,1/($F$14:$F$54&lt;&gt;0),$F$14:$F$54)*(8-(A45-_xlfn.XLOOKUP(LOOKUP(2,1/($F$14:$F$54&lt;&gt;0),$F$14:$F$54),$F$14:$F$54,$A$14:$A$54,,0)))/8,0),0)</f>
        <v>0</v>
      </c>
      <c r="H45" s="55">
        <f t="shared" si="0"/>
        <v>0</v>
      </c>
      <c r="I45" s="55">
        <f>IF(AND($A45&gt;=$H$7,$A45&lt;=$H$8),IFERROR('[1]State of Good Repair AP-CP'!$B$26*$C$108*B45*(1-$J$108)*VLOOKUP($E$108,$B$150:$D$152,3,0)*(HLOOKUP(C45,$E$149:$I$155,$O$150,0)-1)/100,0)+IFERROR('[1]State of Good Repair AP-CP'!$B$26*$C$109*B45*(1-$J$109)*VLOOKUP($E$109,$B$150:$D$152,3,0)*(HLOOKUP(C45,$E$149:$I$155,$O$151,0)-1)/100,0),0)</f>
        <v>0</v>
      </c>
      <c r="J45" s="55">
        <f>IF(AND($A45&gt;=$H$7,$A45&lt;=$H$8),(IFERROR('[1]State of Good Repair AP-CP'!$B$26*$C$108*B45*$J$108*VLOOKUP($E$108,$B$153:$D$155,3,0)*(HLOOKUP(C45,$E$149:$I$155,$P$150,0)-1)/100,0)+IFERROR('[1]State of Good Repair AP-CP'!$B$26*$C$109*B45*$J$109*VLOOKUP($E$109,$B$153:$D$155,3,0)*(HLOOKUP(C45,$E$149:$I$155,$P$151,0)-1)/100,0)),0)</f>
        <v>0</v>
      </c>
      <c r="K45" s="55">
        <f t="shared" si="1"/>
        <v>0</v>
      </c>
      <c r="M45" s="35">
        <f t="shared" si="9"/>
        <v>0</v>
      </c>
      <c r="N45" s="35">
        <f t="shared" si="15"/>
        <v>0</v>
      </c>
      <c r="O45" s="35">
        <f t="shared" si="7"/>
        <v>0</v>
      </c>
      <c r="P45" s="36">
        <f t="shared" si="8"/>
        <v>0</v>
      </c>
    </row>
    <row r="46" spans="1:16" x14ac:dyDescent="0.3">
      <c r="A46" s="77">
        <f>'[1]Major Assumption Key'!A51</f>
        <v>2052</v>
      </c>
      <c r="B46" s="39">
        <f t="shared" si="2"/>
        <v>5364.8730678007523</v>
      </c>
      <c r="C46" s="53" t="s">
        <v>25</v>
      </c>
      <c r="D46" s="54" t="str">
        <f t="shared" si="11"/>
        <v>Routine Maintenance</v>
      </c>
      <c r="E46" s="55">
        <f t="shared" si="13"/>
        <v>0</v>
      </c>
      <c r="F46" s="55">
        <f t="shared" si="14"/>
        <v>0</v>
      </c>
      <c r="G46" s="55" cm="1">
        <f t="array" ref="G46">IFERROR(-IF(A46=$H$8,LOOKUP(2,1/($F$14:$F$54&lt;&gt;0),$F$14:$F$54)*(8-(A46-_xlfn.XLOOKUP(LOOKUP(2,1/($F$14:$F$54&lt;&gt;0),$F$14:$F$54),$F$14:$F$54,$A$14:$A$54,,0)))/8,0),0)</f>
        <v>0</v>
      </c>
      <c r="H46" s="55">
        <f t="shared" si="0"/>
        <v>0</v>
      </c>
      <c r="I46" s="55">
        <f>IF(AND($A46&gt;=$H$7,$A46&lt;=$H$8),IFERROR('[1]State of Good Repair AP-CP'!$B$26*$C$108*B46*(1-$J$108)*VLOOKUP($E$108,$B$150:$D$152,3,0)*(HLOOKUP(C46,$E$149:$I$155,$O$150,0)-1)/100,0)+IFERROR('[1]State of Good Repair AP-CP'!$B$26*$C$109*B46*(1-$J$109)*VLOOKUP($E$109,$B$150:$D$152,3,0)*(HLOOKUP(C46,$E$149:$I$155,$O$151,0)-1)/100,0),0)</f>
        <v>0</v>
      </c>
      <c r="J46" s="55">
        <f>IF(AND($A46&gt;=$H$7,$A46&lt;=$H$8),(IFERROR('[1]State of Good Repair AP-CP'!$B$26*$C$108*B46*$J$108*VLOOKUP($E$108,$B$153:$D$155,3,0)*(HLOOKUP(C46,$E$149:$I$155,$P$150,0)-1)/100,0)+IFERROR('[1]State of Good Repair AP-CP'!$B$26*$C$109*B46*$J$109*VLOOKUP($E$109,$B$153:$D$155,3,0)*(HLOOKUP(C46,$E$149:$I$155,$P$151,0)-1)/100,0)),0)</f>
        <v>0</v>
      </c>
      <c r="K46" s="55">
        <f t="shared" si="1"/>
        <v>0</v>
      </c>
      <c r="M46" s="35">
        <f t="shared" si="9"/>
        <v>0</v>
      </c>
      <c r="N46" s="35">
        <f t="shared" si="15"/>
        <v>0</v>
      </c>
      <c r="O46" s="35">
        <f t="shared" si="7"/>
        <v>0</v>
      </c>
      <c r="P46" s="36">
        <f t="shared" si="8"/>
        <v>0</v>
      </c>
    </row>
    <row r="47" spans="1:16" x14ac:dyDescent="0.3">
      <c r="A47" s="77">
        <f>'[1]Major Assumption Key'!A52</f>
        <v>2053</v>
      </c>
      <c r="B47" s="39">
        <f t="shared" si="2"/>
        <v>5455.987200255523</v>
      </c>
      <c r="C47" s="53" t="s">
        <v>25</v>
      </c>
      <c r="D47" s="54" t="str">
        <f t="shared" si="11"/>
        <v>Routine Maintenance</v>
      </c>
      <c r="E47" s="55">
        <f t="shared" si="13"/>
        <v>0</v>
      </c>
      <c r="F47" s="55">
        <f t="shared" si="14"/>
        <v>0</v>
      </c>
      <c r="G47" s="55" cm="1">
        <f t="array" ref="G47">IFERROR(-IF(A47=$H$8,LOOKUP(2,1/($F$14:$F$54&lt;&gt;0),$F$14:$F$54)*(8-(A47-_xlfn.XLOOKUP(LOOKUP(2,1/($F$14:$F$54&lt;&gt;0),$F$14:$F$54),$F$14:$F$54,$A$14:$A$54,,0)))/8,0),0)</f>
        <v>0</v>
      </c>
      <c r="H47" s="55">
        <f t="shared" si="0"/>
        <v>0</v>
      </c>
      <c r="I47" s="55">
        <f>IF(AND($A47&gt;=$H$7,$A47&lt;=$H$8),IFERROR('[1]State of Good Repair AP-CP'!$B$26*$C$108*B47*(1-$J$108)*VLOOKUP($E$108,$B$150:$D$152,3,0)*(HLOOKUP(C47,$E$149:$I$155,$O$150,0)-1)/100,0)+IFERROR('[1]State of Good Repair AP-CP'!$B$26*$C$109*B47*(1-$J$109)*VLOOKUP($E$109,$B$150:$D$152,3,0)*(HLOOKUP(C47,$E$149:$I$155,$O$151,0)-1)/100,0),0)</f>
        <v>0</v>
      </c>
      <c r="J47" s="55">
        <f>IF(AND($A47&gt;=$H$7,$A47&lt;=$H$8),(IFERROR('[1]State of Good Repair AP-CP'!$B$26*$C$108*B47*$J$108*VLOOKUP($E$108,$B$153:$D$155,3,0)*(HLOOKUP(C47,$E$149:$I$155,$P$150,0)-1)/100,0)+IFERROR('[1]State of Good Repair AP-CP'!$B$26*$C$109*B47*$J$109*VLOOKUP($E$109,$B$153:$D$155,3,0)*(HLOOKUP(C47,$E$149:$I$155,$P$151,0)-1)/100,0)),0)</f>
        <v>0</v>
      </c>
      <c r="K47" s="55">
        <f t="shared" si="1"/>
        <v>0</v>
      </c>
      <c r="M47" s="35">
        <f t="shared" si="9"/>
        <v>0</v>
      </c>
      <c r="N47" s="35">
        <f t="shared" si="15"/>
        <v>0</v>
      </c>
      <c r="O47" s="35">
        <f t="shared" si="7"/>
        <v>0</v>
      </c>
      <c r="P47" s="36">
        <f t="shared" si="8"/>
        <v>0</v>
      </c>
    </row>
    <row r="48" spans="1:16" x14ac:dyDescent="0.3">
      <c r="A48" s="77">
        <f>'[1]Major Assumption Key'!A53</f>
        <v>2054</v>
      </c>
      <c r="B48" s="39">
        <f t="shared" si="2"/>
        <v>5548.6487663640009</v>
      </c>
      <c r="C48" s="53" t="s">
        <v>25</v>
      </c>
      <c r="D48" s="54" t="str">
        <f t="shared" si="11"/>
        <v>Routine Maintenance</v>
      </c>
      <c r="E48" s="55">
        <f t="shared" si="13"/>
        <v>0</v>
      </c>
      <c r="F48" s="55">
        <f t="shared" si="14"/>
        <v>0</v>
      </c>
      <c r="G48" s="55" cm="1">
        <f t="array" ref="G48">IFERROR(-IF(A48=$H$8,LOOKUP(2,1/($F$14:$F$54&lt;&gt;0),$F$14:$F$54)*(8-(A48-_xlfn.XLOOKUP(LOOKUP(2,1/($F$14:$F$54&lt;&gt;0),$F$14:$F$54),$F$14:$F$54,$A$14:$A$54,,0)))/8,0),0)</f>
        <v>0</v>
      </c>
      <c r="H48" s="55">
        <f t="shared" si="0"/>
        <v>0</v>
      </c>
      <c r="I48" s="55">
        <f>IF(AND($A48&gt;=$H$7,$A48&lt;=$H$8),IFERROR('[1]State of Good Repair AP-CP'!$B$26*$C$108*B48*(1-$J$108)*VLOOKUP($E$108,$B$150:$D$152,3,0)*(HLOOKUP(C48,$E$149:$I$155,$O$150,0)-1)/100,0)+IFERROR('[1]State of Good Repair AP-CP'!$B$26*$C$109*B48*(1-$J$109)*VLOOKUP($E$109,$B$150:$D$152,3,0)*(HLOOKUP(C48,$E$149:$I$155,$O$151,0)-1)/100,0),0)</f>
        <v>0</v>
      </c>
      <c r="J48" s="55">
        <f>IF(AND($A48&gt;=$H$7,$A48&lt;=$H$8),(IFERROR('[1]State of Good Repair AP-CP'!$B$26*$C$108*B48*$J$108*VLOOKUP($E$108,$B$153:$D$155,3,0)*(HLOOKUP(C48,$E$149:$I$155,$P$150,0)-1)/100,0)+IFERROR('[1]State of Good Repair AP-CP'!$B$26*$C$109*B48*$J$109*VLOOKUP($E$109,$B$153:$D$155,3,0)*(HLOOKUP(C48,$E$149:$I$155,$P$151,0)-1)/100,0)),0)</f>
        <v>0</v>
      </c>
      <c r="K48" s="55">
        <f t="shared" si="1"/>
        <v>0</v>
      </c>
      <c r="M48" s="35">
        <f t="shared" si="9"/>
        <v>0</v>
      </c>
      <c r="N48" s="35">
        <f t="shared" si="15"/>
        <v>0</v>
      </c>
      <c r="O48" s="35">
        <f t="shared" si="7"/>
        <v>0</v>
      </c>
      <c r="P48" s="36">
        <f t="shared" si="8"/>
        <v>0</v>
      </c>
    </row>
    <row r="49" spans="1:16" x14ac:dyDescent="0.3">
      <c r="A49" s="77">
        <f>'[1]Major Assumption Key'!A54</f>
        <v>2055</v>
      </c>
      <c r="B49" s="39">
        <f t="shared" si="2"/>
        <v>5642.8840469110455</v>
      </c>
      <c r="C49" s="53" t="s">
        <v>26</v>
      </c>
      <c r="D49" s="54" t="str">
        <f t="shared" si="11"/>
        <v>Routine Maintenance</v>
      </c>
      <c r="E49" s="55">
        <f t="shared" si="13"/>
        <v>0</v>
      </c>
      <c r="F49" s="55">
        <f t="shared" si="14"/>
        <v>0</v>
      </c>
      <c r="G49" s="55" cm="1">
        <f t="array" ref="G49">IFERROR(-IF(A49=$H$8,LOOKUP(2,1/($F$14:$F$54&lt;&gt;0),$F$14:$F$54)*(8-(A49-_xlfn.XLOOKUP(LOOKUP(2,1/($F$14:$F$54&lt;&gt;0),$F$14:$F$54),$F$14:$F$54,$A$14:$A$54,,0)))/8,0),0)</f>
        <v>0</v>
      </c>
      <c r="H49" s="55">
        <f t="shared" si="0"/>
        <v>0</v>
      </c>
      <c r="I49" s="55">
        <f>IF(AND($A49&gt;=$H$7,$A49&lt;=$H$8),IFERROR('[1]State of Good Repair AP-CP'!$B$26*$C$108*B49*(1-$J$108)*VLOOKUP($E$108,$B$150:$D$152,3,0)*(HLOOKUP(C49,$E$149:$I$155,$O$150,0)-1)/100,0)+IFERROR('[1]State of Good Repair AP-CP'!$B$26*$C$109*B49*(1-$J$109)*VLOOKUP($E$109,$B$150:$D$152,3,0)*(HLOOKUP(C49,$E$149:$I$155,$O$151,0)-1)/100,0),0)</f>
        <v>0</v>
      </c>
      <c r="J49" s="55">
        <f>IF(AND($A49&gt;=$H$7,$A49&lt;=$H$8),(IFERROR('[1]State of Good Repair AP-CP'!$B$26*$C$108*B49*$J$108*VLOOKUP($E$108,$B$153:$D$155,3,0)*(HLOOKUP(C49,$E$149:$I$155,$P$150,0)-1)/100,0)+IFERROR('[1]State of Good Repair AP-CP'!$B$26*$C$109*B49*$J$109*VLOOKUP($E$109,$B$153:$D$155,3,0)*(HLOOKUP(C49,$E$149:$I$155,$P$151,0)-1)/100,0)),0)</f>
        <v>0</v>
      </c>
      <c r="K49" s="55">
        <f t="shared" si="1"/>
        <v>0</v>
      </c>
      <c r="M49" s="35">
        <f t="shared" si="9"/>
        <v>0</v>
      </c>
      <c r="N49" s="35">
        <f t="shared" si="15"/>
        <v>0</v>
      </c>
      <c r="O49" s="35">
        <f t="shared" si="7"/>
        <v>0</v>
      </c>
      <c r="P49" s="36">
        <f t="shared" si="8"/>
        <v>0</v>
      </c>
    </row>
    <row r="50" spans="1:16" x14ac:dyDescent="0.3">
      <c r="A50" s="77">
        <f>'[1]Major Assumption Key'!A55</f>
        <v>2056</v>
      </c>
      <c r="B50" s="39">
        <f t="shared" si="2"/>
        <v>5738.7197690202984</v>
      </c>
      <c r="C50" s="53" t="s">
        <v>26</v>
      </c>
      <c r="D50" s="54" t="str">
        <f t="shared" si="11"/>
        <v>Routine Maintenance</v>
      </c>
      <c r="E50" s="55">
        <f t="shared" si="13"/>
        <v>0</v>
      </c>
      <c r="F50" s="55">
        <f t="shared" si="14"/>
        <v>0</v>
      </c>
      <c r="G50" s="55" cm="1">
        <f t="array" ref="G50">IFERROR(-IF(A50=$H$8,LOOKUP(2,1/($F$14:$F$54&lt;&gt;0),$F$14:$F$54)*(8-(A50-_xlfn.XLOOKUP(LOOKUP(2,1/($F$14:$F$54&lt;&gt;0),$F$14:$F$54),$F$14:$F$54,$A$14:$A$54,,0)))/8,0),0)</f>
        <v>0</v>
      </c>
      <c r="H50" s="55">
        <f t="shared" si="0"/>
        <v>0</v>
      </c>
      <c r="I50" s="55">
        <f>IF(AND($A50&gt;=$H$7,$A50&lt;=$H$8),IFERROR('[1]State of Good Repair AP-CP'!$B$26*$C$108*B50*(1-$J$108)*VLOOKUP($E$108,$B$150:$D$152,3,0)*(HLOOKUP(C50,$E$149:$I$155,$O$150,0)-1)/100,0)+IFERROR('[1]State of Good Repair AP-CP'!$B$26*$C$109*B50*(1-$J$109)*VLOOKUP($E$109,$B$150:$D$152,3,0)*(HLOOKUP(C50,$E$149:$I$155,$O$151,0)-1)/100,0),0)</f>
        <v>0</v>
      </c>
      <c r="J50" s="55">
        <f>IF(AND($A50&gt;=$H$7,$A50&lt;=$H$8),(IFERROR('[1]State of Good Repair AP-CP'!$B$26*$C$108*B50*$J$108*VLOOKUP($E$108,$B$153:$D$155,3,0)*(HLOOKUP(C50,$E$149:$I$155,$P$150,0)-1)/100,0)+IFERROR('[1]State of Good Repair AP-CP'!$B$26*$C$109*B50*$J$109*VLOOKUP($E$109,$B$153:$D$155,3,0)*(HLOOKUP(C50,$E$149:$I$155,$P$151,0)-1)/100,0)),0)</f>
        <v>0</v>
      </c>
      <c r="K50" s="55">
        <f t="shared" si="1"/>
        <v>0</v>
      </c>
      <c r="M50" s="35">
        <f t="shared" si="9"/>
        <v>0</v>
      </c>
      <c r="N50" s="35">
        <f t="shared" si="15"/>
        <v>0</v>
      </c>
      <c r="O50" s="35">
        <f t="shared" si="7"/>
        <v>0</v>
      </c>
      <c r="P50" s="36">
        <f t="shared" si="8"/>
        <v>0</v>
      </c>
    </row>
    <row r="51" spans="1:16" x14ac:dyDescent="0.3">
      <c r="A51" s="77">
        <f>'[1]Major Assumption Key'!A56</f>
        <v>2057</v>
      </c>
      <c r="B51" s="39">
        <f t="shared" si="2"/>
        <v>5836.1831137345598</v>
      </c>
      <c r="C51" s="53" t="s">
        <v>26</v>
      </c>
      <c r="D51" s="54" t="str">
        <f t="shared" si="11"/>
        <v>Routine Maintenance</v>
      </c>
      <c r="E51" s="55">
        <f t="shared" si="13"/>
        <v>0</v>
      </c>
      <c r="F51" s="55">
        <f t="shared" si="14"/>
        <v>0</v>
      </c>
      <c r="G51" s="55" cm="1">
        <f t="array" ref="G51">IFERROR(-IF(A51=$H$8,LOOKUP(2,1/($F$14:$F$54&lt;&gt;0),$F$14:$F$54)*(8-(A51-_xlfn.XLOOKUP(LOOKUP(2,1/($F$14:$F$54&lt;&gt;0),$F$14:$F$54),$F$14:$F$54,$A$14:$A$54,,0)))/8,0),0)</f>
        <v>0</v>
      </c>
      <c r="H51" s="55">
        <f t="shared" si="0"/>
        <v>0</v>
      </c>
      <c r="I51" s="55">
        <f>IF(AND($A51&gt;=$H$7,$A51&lt;=$H$8),IFERROR('[1]State of Good Repair AP-CP'!$B$26*$C$108*B51*(1-$J$108)*VLOOKUP($E$108,$B$150:$D$152,3,0)*(HLOOKUP(C51,$E$149:$I$155,$O$150,0)-1)/100,0)+IFERROR('[1]State of Good Repair AP-CP'!$B$26*$C$109*B51*(1-$J$109)*VLOOKUP($E$109,$B$150:$D$152,3,0)*(HLOOKUP(C51,$E$149:$I$155,$O$151,0)-1)/100,0),0)</f>
        <v>0</v>
      </c>
      <c r="J51" s="55">
        <f>IF(AND($A51&gt;=$H$7,$A51&lt;=$H$8),(IFERROR('[1]State of Good Repair AP-CP'!$B$26*$C$108*B51*$J$108*VLOOKUP($E$108,$B$153:$D$155,3,0)*(HLOOKUP(C51,$E$149:$I$155,$P$150,0)-1)/100,0)+IFERROR('[1]State of Good Repair AP-CP'!$B$26*$C$109*B51*$J$109*VLOOKUP($E$109,$B$153:$D$155,3,0)*(HLOOKUP(C51,$E$149:$I$155,$P$151,0)-1)/100,0)),0)</f>
        <v>0</v>
      </c>
      <c r="K51" s="55">
        <f t="shared" si="1"/>
        <v>0</v>
      </c>
      <c r="M51" s="35">
        <f t="shared" si="9"/>
        <v>0</v>
      </c>
      <c r="N51" s="35">
        <f t="shared" si="15"/>
        <v>0</v>
      </c>
      <c r="O51" s="35">
        <f t="shared" si="7"/>
        <v>0</v>
      </c>
      <c r="P51" s="36">
        <f t="shared" si="8"/>
        <v>0</v>
      </c>
    </row>
    <row r="52" spans="1:16" x14ac:dyDescent="0.3">
      <c r="A52" s="77">
        <f>'[1]Major Assumption Key'!A57</f>
        <v>2058</v>
      </c>
      <c r="B52" s="39">
        <f t="shared" si="2"/>
        <v>5935.301723724916</v>
      </c>
      <c r="C52" s="53" t="s">
        <v>22</v>
      </c>
      <c r="D52" s="54" t="str">
        <f t="shared" si="11"/>
        <v>Routine Maintenance</v>
      </c>
      <c r="E52" s="55">
        <f t="shared" si="13"/>
        <v>0</v>
      </c>
      <c r="F52" s="55">
        <f t="shared" si="14"/>
        <v>0</v>
      </c>
      <c r="G52" s="55" cm="1">
        <f t="array" ref="G52">IFERROR(-IF(A52=$H$8,LOOKUP(2,1/($F$14:$F$54&lt;&gt;0),$F$14:$F$54)*(8-(A52-_xlfn.XLOOKUP(LOOKUP(2,1/($F$14:$F$54&lt;&gt;0),$F$14:$F$54),$F$14:$F$54,$A$14:$A$54,,0)))/8,0),0)</f>
        <v>0</v>
      </c>
      <c r="H52" s="55">
        <f t="shared" si="0"/>
        <v>0</v>
      </c>
      <c r="I52" s="55">
        <f>IF(AND($A52&gt;=$H$7,$A52&lt;=$H$8),IFERROR('[1]State of Good Repair AP-CP'!$B$26*$C$108*B52*(1-$J$108)*VLOOKUP($E$108,$B$150:$D$152,3,0)*(HLOOKUP(C52,$E$149:$I$155,$O$150,0)-1)/100,0)+IFERROR('[1]State of Good Repair AP-CP'!$B$26*$C$109*B52*(1-$J$109)*VLOOKUP($E$109,$B$150:$D$152,3,0)*(HLOOKUP(C52,$E$149:$I$155,$O$151,0)-1)/100,0),0)</f>
        <v>0</v>
      </c>
      <c r="J52" s="55">
        <f>IF(AND($A52&gt;=$H$7,$A52&lt;=$H$8),(IFERROR('[1]State of Good Repair AP-CP'!$B$26*$C$108*B52*$J$108*VLOOKUP($E$108,$B$153:$D$155,3,0)*(HLOOKUP(C52,$E$149:$I$155,$P$150,0)-1)/100,0)+IFERROR('[1]State of Good Repair AP-CP'!$B$26*$C$109*B52*$J$109*VLOOKUP($E$109,$B$153:$D$155,3,0)*(HLOOKUP(C52,$E$149:$I$155,$P$151,0)-1)/100,0)),0)</f>
        <v>0</v>
      </c>
      <c r="K52" s="55">
        <f t="shared" si="1"/>
        <v>0</v>
      </c>
      <c r="M52" s="35">
        <f t="shared" si="9"/>
        <v>0</v>
      </c>
      <c r="N52" s="35">
        <f t="shared" si="15"/>
        <v>0</v>
      </c>
      <c r="O52" s="35">
        <f t="shared" si="7"/>
        <v>0</v>
      </c>
      <c r="P52" s="36">
        <f t="shared" si="8"/>
        <v>0</v>
      </c>
    </row>
    <row r="53" spans="1:16" x14ac:dyDescent="0.3">
      <c r="A53" s="77">
        <f>'[1]Major Assumption Key'!A58</f>
        <v>2059</v>
      </c>
      <c r="B53" s="39">
        <f t="shared" si="2"/>
        <v>6036.1037111307778</v>
      </c>
      <c r="C53" s="53" t="s">
        <v>22</v>
      </c>
      <c r="D53" s="54" t="str">
        <f t="shared" si="11"/>
        <v>Routine Maintenance</v>
      </c>
      <c r="E53" s="55">
        <f t="shared" si="13"/>
        <v>0</v>
      </c>
      <c r="F53" s="55">
        <f t="shared" si="14"/>
        <v>0</v>
      </c>
      <c r="G53" s="55" cm="1">
        <f t="array" ref="G53">IFERROR(-IF(A53=$H$8,LOOKUP(2,1/($F$14:$F$54&lt;&gt;0),$F$14:$F$54)*(8-(A53-_xlfn.XLOOKUP(LOOKUP(2,1/($F$14:$F$54&lt;&gt;0),$F$14:$F$54),$F$14:$F$54,$A$14:$A$54,,0)))/8,0),0)</f>
        <v>0</v>
      </c>
      <c r="H53" s="55">
        <f t="shared" si="0"/>
        <v>0</v>
      </c>
      <c r="I53" s="55">
        <f>IF(AND($A53&gt;=$H$7,$A53&lt;=$H$8),IFERROR('[1]State of Good Repair AP-CP'!$B$26*$C$108*B53*(1-$J$108)*VLOOKUP($E$108,$B$150:$D$152,3,0)*(HLOOKUP(C53,$E$149:$I$155,$O$150,0)-1)/100,0)+IFERROR('[1]State of Good Repair AP-CP'!$B$26*$C$109*B53*(1-$J$109)*VLOOKUP($E$109,$B$150:$D$152,3,0)*(HLOOKUP(C53,$E$149:$I$155,$O$151,0)-1)/100,0),0)</f>
        <v>0</v>
      </c>
      <c r="J53" s="55">
        <f>IF(AND($A53&gt;=$H$7,$A53&lt;=$H$8),(IFERROR('[1]State of Good Repair AP-CP'!$B$26*$C$108*B53*$J$108*VLOOKUP($E$108,$B$153:$D$155,3,0)*(HLOOKUP(C53,$E$149:$I$155,$P$150,0)-1)/100,0)+IFERROR('[1]State of Good Repair AP-CP'!$B$26*$C$109*B53*$J$109*VLOOKUP($E$109,$B$153:$D$155,3,0)*(HLOOKUP(C53,$E$149:$I$155,$P$151,0)-1)/100,0)),0)</f>
        <v>0</v>
      </c>
      <c r="K53" s="55">
        <f t="shared" si="1"/>
        <v>0</v>
      </c>
      <c r="M53" s="35">
        <f t="shared" si="9"/>
        <v>0</v>
      </c>
      <c r="N53" s="35">
        <f t="shared" si="15"/>
        <v>0</v>
      </c>
      <c r="O53" s="35">
        <f t="shared" si="7"/>
        <v>0</v>
      </c>
      <c r="P53" s="36">
        <f t="shared" si="8"/>
        <v>0</v>
      </c>
    </row>
    <row r="54" spans="1:16" x14ac:dyDescent="0.3">
      <c r="A54" s="77">
        <f>'[1]Major Assumption Key'!A59</f>
        <v>2060</v>
      </c>
      <c r="B54" s="39">
        <f t="shared" si="2"/>
        <v>6138.6176655330864</v>
      </c>
      <c r="C54" s="53" t="s">
        <v>22</v>
      </c>
      <c r="D54" s="54" t="str">
        <f t="shared" si="11"/>
        <v>Routine Maintenance</v>
      </c>
      <c r="E54" s="55">
        <f t="shared" si="13"/>
        <v>0</v>
      </c>
      <c r="F54" s="55">
        <f t="shared" si="14"/>
        <v>0</v>
      </c>
      <c r="G54" s="55" cm="1">
        <f t="array" ref="G54">IFERROR(-IF(A54=$H$8,LOOKUP(2,1/($F$14:$F$54&lt;&gt;0),$F$14:$F$54)*(8-(A54-_xlfn.XLOOKUP(LOOKUP(2,1/($F$14:$F$54&lt;&gt;0),$F$14:$F$54),$F$14:$F$54,$A$14:$A$54,,0)))/8,0),0)</f>
        <v>0</v>
      </c>
      <c r="H54" s="55">
        <f t="shared" si="0"/>
        <v>0</v>
      </c>
      <c r="I54" s="55">
        <f>IF(AND($A54&gt;=$H$7,$A54&lt;=$H$8),IFERROR('[1]State of Good Repair AP-CP'!$B$26*$C$108*B54*(1-$J$108)*VLOOKUP($E$108,$B$150:$D$152,3,0)*(HLOOKUP(C54,$E$149:$I$155,$O$150,0)-1)/100,0)+IFERROR('[1]State of Good Repair AP-CP'!$B$26*$C$109*B54*(1-$J$109)*VLOOKUP($E$109,$B$150:$D$152,3,0)*(HLOOKUP(C54,$E$149:$I$155,$O$151,0)-1)/100,0),0)</f>
        <v>0</v>
      </c>
      <c r="J54" s="55">
        <f>IF(AND($A54&gt;=$H$7,$A54&lt;=$H$8),(IFERROR('[1]State of Good Repair AP-CP'!$B$26*$C$108*B54*$J$108*VLOOKUP($E$108,$B$153:$D$155,3,0)*(HLOOKUP(C54,$E$149:$I$155,$P$150,0)-1)/100,0)+IFERROR('[1]State of Good Repair AP-CP'!$B$26*$C$109*B54*$J$109*VLOOKUP($E$109,$B$153:$D$155,3,0)*(HLOOKUP(C54,$E$149:$I$155,$P$151,0)-1)/100,0)),0)</f>
        <v>0</v>
      </c>
      <c r="K54" s="55">
        <f t="shared" si="1"/>
        <v>0</v>
      </c>
      <c r="M54" s="35">
        <f t="shared" si="9"/>
        <v>0</v>
      </c>
      <c r="N54" s="35">
        <f t="shared" si="15"/>
        <v>0</v>
      </c>
      <c r="O54" s="35">
        <f t="shared" si="7"/>
        <v>0</v>
      </c>
      <c r="P54" s="36">
        <f t="shared" si="8"/>
        <v>0</v>
      </c>
    </row>
    <row r="55" spans="1:16" x14ac:dyDescent="0.3">
      <c r="A55" s="78" t="s">
        <v>27</v>
      </c>
      <c r="B55" s="79"/>
      <c r="C55" s="80"/>
      <c r="D55" s="80"/>
      <c r="E55" s="56">
        <f>SUMIFS(E$14:E$54,$A$14:$A$54,"&gt;="&amp;$H$7,$A$14:$A$54,"&lt;="&amp;$H$8)</f>
        <v>543716.70267938741</v>
      </c>
      <c r="F55" s="56">
        <f t="shared" ref="F55:J55" si="16">SUMIFS(F$14:F$54,$A$14:$A$54,"&gt;="&amp;$H$7,$A$14:$A$54,"&lt;="&amp;$H$8)</f>
        <v>2589204.2622605283</v>
      </c>
      <c r="G55" s="56">
        <f>SUMIFS(G$14:G$54,$A$14:$A$54,"&gt;="&amp;$H$7,$A$14:$A$54,"&lt;="&amp;$H$8)</f>
        <v>-1363258.6025416302</v>
      </c>
      <c r="H55" s="56">
        <f t="shared" si="16"/>
        <v>273129.13301884278</v>
      </c>
      <c r="I55" s="56">
        <f t="shared" si="16"/>
        <v>255592.66868525147</v>
      </c>
      <c r="J55" s="56">
        <f t="shared" si="16"/>
        <v>81854.733841371955</v>
      </c>
      <c r="K55" s="56">
        <f>SUMIFS(K$14:K$54,$A$14:$A$54,"&gt;="&amp;$H$7,$A$14:$A$54,"&lt;="&amp;$H$8)</f>
        <v>337447.40252662345</v>
      </c>
      <c r="L55" s="10"/>
      <c r="M55" s="35">
        <f>K55+H55+G55+F55+E55</f>
        <v>2380238.8979437519</v>
      </c>
      <c r="N55" s="35">
        <f>SUM(K101,G101,H101,F101,E101)</f>
        <v>395374.73866769928</v>
      </c>
      <c r="O55" s="35">
        <f>M55-N55</f>
        <v>1984864.1592760526</v>
      </c>
      <c r="P55" s="36">
        <f>O55/(1+0.031)^(A54-2022)</f>
        <v>622159.17343334644</v>
      </c>
    </row>
    <row r="56" spans="1:16" x14ac:dyDescent="0.3">
      <c r="B56" s="3"/>
      <c r="M56" s="8"/>
    </row>
    <row r="57" spans="1:16" x14ac:dyDescent="0.3">
      <c r="C57" s="8"/>
      <c r="D57" s="8"/>
      <c r="E57" s="8"/>
      <c r="F57" s="8"/>
      <c r="G57" s="8"/>
      <c r="H57" s="8"/>
      <c r="I57" s="8"/>
      <c r="M57" s="8"/>
    </row>
    <row r="58" spans="1:16" ht="38.1" customHeight="1" x14ac:dyDescent="0.3">
      <c r="A58" s="184" t="s">
        <v>244</v>
      </c>
      <c r="B58" s="185"/>
      <c r="C58" s="185"/>
      <c r="D58" s="185"/>
      <c r="E58" s="185"/>
      <c r="F58" s="185"/>
      <c r="G58" s="185"/>
      <c r="H58" s="185"/>
      <c r="I58" s="185"/>
      <c r="J58" s="185"/>
      <c r="K58" s="185"/>
      <c r="M58" s="8"/>
    </row>
    <row r="59" spans="1:16" ht="75" customHeight="1" x14ac:dyDescent="0.3">
      <c r="A59" s="72" t="s">
        <v>10</v>
      </c>
      <c r="B59" s="73" t="s">
        <v>11</v>
      </c>
      <c r="C59" s="74" t="s">
        <v>12</v>
      </c>
      <c r="D59" s="74" t="s">
        <v>13</v>
      </c>
      <c r="E59" s="73" t="s">
        <v>245</v>
      </c>
      <c r="F59" s="73" t="s">
        <v>246</v>
      </c>
      <c r="G59" s="73" t="s">
        <v>247</v>
      </c>
      <c r="H59" s="73" t="s">
        <v>243</v>
      </c>
      <c r="I59" s="75" t="s">
        <v>15</v>
      </c>
      <c r="J59" s="75" t="s">
        <v>16</v>
      </c>
      <c r="K59" s="76" t="s">
        <v>17</v>
      </c>
      <c r="M59" s="8"/>
    </row>
    <row r="60" spans="1:16" x14ac:dyDescent="0.3">
      <c r="A60" s="77">
        <f>'[1]Major Assumption Key'!A19</f>
        <v>2020</v>
      </c>
      <c r="B60" s="39" t="str">
        <f t="shared" ref="B60:B100" si="17">B14</f>
        <v/>
      </c>
      <c r="C60" s="54" t="str" cm="1">
        <f t="array" ref="C60">IF(A60-$H$9&lt;0,"",INDEX('[1]Life Cycle of Rehabilitation'!$C$19:$C$73,A60-$H$9+1,0))</f>
        <v/>
      </c>
      <c r="D60" s="54" t="str">
        <f>IF(C60="",IF(AND(A60&gt;='[1]Cost Summary'!$C$26,A60&lt;='[1]Cost Summary'!$D$26),"Construction",D14),"Routine Maintenance")</f>
        <v/>
      </c>
      <c r="E60" s="55">
        <f t="shared" ref="E60:E100" si="18">IF(AND($A60&gt;=$H$7,$A60&lt;=$H$8),IF(A60&gt;$H$9,IF(D60="Routine Maintenance",VLOOKUP(C60,$A$136:$D$142,4,0)*(1+$H$5)^(A60-$H$6),0),E14),0)</f>
        <v>0</v>
      </c>
      <c r="F60" s="55"/>
      <c r="H60" s="39">
        <f>IF(AND(A60&gt;='[1]Cost Summary'!$C$26,A60&lt;='[1]Cost Summary'!$D$26),$J$184/IF('[1]Cost Summary'!$D$26='[1]Cost Summary'!$C$26,1,'[1]Cost Summary'!$D$26-'[1]Cost Summary'!$C$26)*(1+$H$5)^(A60-$H$6),0)</f>
        <v>0</v>
      </c>
      <c r="I60" s="55">
        <f>IF(AND($A14&gt;=$H$7,$A14&lt;=$H$8),IFERROR('[1]State of Good Repair AP-CP'!$B$26*$C$108*B60*(1-$J$108)*VLOOKUP($E$108,$B$150:$D$152,3,0)*(HLOOKUP(C60,$E$149:$I$155,$O$150,0)-1)/100,0)+IFERROR('[1]State of Good Repair AP-CP'!$B$26*$C$109*B60*(1-$J$109)*VLOOKUP($E$109,$B$150:$D$152,3,0)*(HLOOKUP(C60,$E$149:$I$155,$O$151,0)-1)/100,0),0)</f>
        <v>0</v>
      </c>
      <c r="J60" s="55">
        <f>IF(AND($A14&gt;=$H$7,$A14&lt;=$H$8),IFERROR('[1]State of Good Repair AP-CP'!$B$26*$C$108*B60*$J$108*VLOOKUP($E$108,$B$153:$D$155,3,0)*(HLOOKUP(C60,$E$149:$I$155,$P$150,0)-1)/100,0)+IFERROR('[1]State of Good Repair AP-CP'!$B$26*$C$109*B60*$J$109*VLOOKUP($E$109,$B$153:$D$155,3,0)*(HLOOKUP(C60,$E$149:$I$155,$P$151,0)-1)/100,0),0)</f>
        <v>0</v>
      </c>
      <c r="K60" s="55">
        <f t="shared" ref="K60:K100" si="19">I60+J60</f>
        <v>0</v>
      </c>
      <c r="M60" s="8"/>
    </row>
    <row r="61" spans="1:16" x14ac:dyDescent="0.3">
      <c r="A61" s="77">
        <f>'[1]Major Assumption Key'!A20</f>
        <v>2021</v>
      </c>
      <c r="B61" s="39" t="str">
        <f t="shared" si="17"/>
        <v/>
      </c>
      <c r="C61" s="54" t="str" cm="1">
        <f t="array" ref="C61">IF(A61-$H$9&lt;0,"",INDEX('[1]Life Cycle of Rehabilitation'!$C$19:$C$73,A61-$H$9+1,0))</f>
        <v/>
      </c>
      <c r="D61" s="54" t="str">
        <f>IF(C61="",IF(AND(A61&gt;='[1]Cost Summary'!$C$26,A61&lt;='[1]Cost Summary'!$D$26),"Construction",D15),"Routine Maintenance")</f>
        <v/>
      </c>
      <c r="E61" s="55">
        <f t="shared" si="18"/>
        <v>0</v>
      </c>
      <c r="F61" s="55"/>
      <c r="H61" s="39">
        <f>IF(AND(A61&gt;='[1]Cost Summary'!$C$26,A61&lt;='[1]Cost Summary'!$D$26),$J$184/IF('[1]Cost Summary'!$D$26='[1]Cost Summary'!$C$26,1,'[1]Cost Summary'!$D$26-'[1]Cost Summary'!$C$26)*(1+$H$5)^(A61-$H$6),0)</f>
        <v>0</v>
      </c>
      <c r="I61" s="55">
        <f>IF(AND($A15&gt;=$H$7,$A15&lt;=$H$8),IFERROR('[1]State of Good Repair AP-CP'!$B$26*$C$108*B61*(1-$J$108)*VLOOKUP($E$108,$B$150:$D$152,3,0)*(HLOOKUP(C61,$E$149:$I$155,$O$150,0)-1)/100,0)+IFERROR('[1]State of Good Repair AP-CP'!$B$26*$C$109*B61*(1-$J$109)*VLOOKUP($E$109,$B$150:$D$152,3,0)*(HLOOKUP(C61,$E$149:$I$155,$O$151,0)-1)/100,0),0)</f>
        <v>0</v>
      </c>
      <c r="J61" s="55">
        <f>IF(AND($A15&gt;=$H$7,$A15&lt;=$H$8),IFERROR('[1]State of Good Repair AP-CP'!$B$26*$C$108*B61*$J$108*VLOOKUP($E$108,$B$153:$D$155,3,0)*(HLOOKUP(C61,$E$149:$I$155,$P$150,0)-1)/100,0)+IFERROR('[1]State of Good Repair AP-CP'!$B$26*$C$109*B61*$J$109*VLOOKUP($E$109,$B$153:$D$155,3,0)*(HLOOKUP(C61,$E$149:$I$155,$P$151,0)-1)/100,0),0)</f>
        <v>0</v>
      </c>
      <c r="K61" s="55">
        <f t="shared" si="19"/>
        <v>0</v>
      </c>
      <c r="M61" s="8"/>
    </row>
    <row r="62" spans="1:16" x14ac:dyDescent="0.3">
      <c r="A62" s="77">
        <f>'[1]Major Assumption Key'!A21</f>
        <v>2022</v>
      </c>
      <c r="B62" s="39">
        <f t="shared" si="17"/>
        <v>3237</v>
      </c>
      <c r="C62" s="54" t="str" cm="1">
        <f t="array" ref="C62">IF(A62-$H$9&lt;0,"",INDEX('[1]Life Cycle of Rehabilitation'!$C$19:$C$73,A62-$H$9+1,0))</f>
        <v/>
      </c>
      <c r="D62" s="54" t="str">
        <f>IF(C62="",IF(AND(A62&gt;='[1]Cost Summary'!$C$26,A62&lt;='[1]Cost Summary'!$D$26),"Construction",D16),"Routine Maintenance")</f>
        <v>Routine Maintenance</v>
      </c>
      <c r="E62" s="55">
        <f t="shared" si="18"/>
        <v>0</v>
      </c>
      <c r="F62" s="55"/>
      <c r="H62" s="39">
        <f>IF(AND(A62&gt;='[1]Cost Summary'!$C$26,A62&lt;='[1]Cost Summary'!$D$26),$J$184/IF('[1]Cost Summary'!$D$26='[1]Cost Summary'!$C$26,1,'[1]Cost Summary'!$D$26-'[1]Cost Summary'!$C$26)*(1+$H$5)^(A62-$H$6),0)</f>
        <v>0</v>
      </c>
      <c r="I62" s="55">
        <f>IF(AND($A16&gt;=$H$7,$A16&lt;=$H$8),IFERROR('[1]State of Good Repair AP-CP'!$B$26*$C$108*B62*(1-$J$108)*VLOOKUP($E$108,$B$150:$D$152,3,0)*(HLOOKUP(C62,$E$149:$I$155,$O$150,0)-1)/100,0)+IFERROR('[1]State of Good Repair AP-CP'!$B$26*$C$109*B62*(1-$J$109)*VLOOKUP($E$109,$B$150:$D$152,3,0)*(HLOOKUP(C62,$E$149:$I$155,$O$151,0)-1)/100,0),0)</f>
        <v>0</v>
      </c>
      <c r="J62" s="55">
        <f>IF(AND($A16&gt;=$H$7,$A16&lt;=$H$8),IFERROR('[1]State of Good Repair AP-CP'!$B$26*$C$108*B62*$J$108*VLOOKUP($E$108,$B$153:$D$155,3,0)*(HLOOKUP(C62,$E$149:$I$155,$P$150,0)-1)/100,0)+IFERROR('[1]State of Good Repair AP-CP'!$B$26*$C$109*B62*$J$109*VLOOKUP($E$109,$B$153:$D$155,3,0)*(HLOOKUP(C62,$E$149:$I$155,$P$151,0)-1)/100,0),0)</f>
        <v>0</v>
      </c>
      <c r="K62" s="55">
        <f t="shared" si="19"/>
        <v>0</v>
      </c>
      <c r="M62" s="8"/>
    </row>
    <row r="63" spans="1:16" x14ac:dyDescent="0.3">
      <c r="A63" s="77">
        <f>'[1]Major Assumption Key'!A22</f>
        <v>2023</v>
      </c>
      <c r="B63" s="39">
        <f t="shared" si="17"/>
        <v>3291.975475286873</v>
      </c>
      <c r="C63" s="54" t="str" cm="1">
        <f t="array" ref="C63">IF(A63-$H$9&lt;0,"",INDEX('[1]Life Cycle of Rehabilitation'!$C$19:$C$73,A63-$H$9+1,0))</f>
        <v/>
      </c>
      <c r="D63" s="54" t="str">
        <f>IF(C63="",IF(AND(A63&gt;='[1]Cost Summary'!$C$26,A63&lt;='[1]Cost Summary'!$D$26),"Construction",D17),"Routine Maintenance")</f>
        <v>Routine Maintenance</v>
      </c>
      <c r="E63" s="55">
        <f t="shared" si="18"/>
        <v>0</v>
      </c>
      <c r="F63" s="55"/>
      <c r="H63" s="39">
        <f>IF(AND(A63&gt;='[1]Cost Summary'!$C$26,A63&lt;='[1]Cost Summary'!$D$26),$J$184/IF('[1]Cost Summary'!$D$26='[1]Cost Summary'!$C$26,1,'[1]Cost Summary'!$D$26-'[1]Cost Summary'!$C$26)*(1+$H$5)^(A63-$H$6),0)</f>
        <v>0</v>
      </c>
      <c r="I63" s="55">
        <f>IF(AND($A17&gt;=$H$7,$A17&lt;=$H$8),IFERROR('[1]State of Good Repair AP-CP'!$B$26*$C$108*B63*(1-$J$108)*VLOOKUP($E$108,$B$150:$D$152,3,0)*(HLOOKUP(C63,$E$149:$I$155,$O$150,0)-1)/100,0)+IFERROR('[1]State of Good Repair AP-CP'!$B$26*$C$109*B63*(1-$J$109)*VLOOKUP($E$109,$B$150:$D$152,3,0)*(HLOOKUP(C63,$E$149:$I$155,$O$151,0)-1)/100,0),0)</f>
        <v>0</v>
      </c>
      <c r="J63" s="55">
        <f>IF(AND($A17&gt;=$H$7,$A17&lt;=$H$8),IFERROR('[1]State of Good Repair AP-CP'!$B$26*$C$108*B63*$J$108*VLOOKUP($E$108,$B$153:$D$155,3,0)*(HLOOKUP(C63,$E$149:$I$155,$P$150,0)-1)/100,0)+IFERROR('[1]State of Good Repair AP-CP'!$B$26*$C$109*B63*$J$109*VLOOKUP($E$109,$B$153:$D$155,3,0)*(HLOOKUP(C63,$E$149:$I$155,$P$151,0)-1)/100,0),0)</f>
        <v>0</v>
      </c>
      <c r="K63" s="55">
        <f t="shared" si="19"/>
        <v>0</v>
      </c>
      <c r="M63" s="8"/>
    </row>
    <row r="64" spans="1:16" x14ac:dyDescent="0.3">
      <c r="A64" s="77">
        <f>'[1]Major Assumption Key'!A23</f>
        <v>2024</v>
      </c>
      <c r="B64" s="39">
        <f t="shared" si="17"/>
        <v>3347.8846246185462</v>
      </c>
      <c r="C64" s="54" t="str" cm="1">
        <f t="array" ref="C64">IF(A64-$H$9&lt;0,"",INDEX('[1]Life Cycle of Rehabilitation'!$C$19:$C$73,A64-$H$9+1,0))</f>
        <v/>
      </c>
      <c r="D64" s="54" t="str">
        <f>IF(C64="",IF(AND(A64&gt;='[1]Cost Summary'!$C$26,A64&lt;='[1]Cost Summary'!$D$26),"Construction",D18),"Routine Maintenance")</f>
        <v>Routine Maintenance</v>
      </c>
      <c r="E64" s="55">
        <f t="shared" si="18"/>
        <v>5063.0718914127419</v>
      </c>
      <c r="F64" s="55"/>
      <c r="H64" s="39">
        <f>IF(AND(A64&gt;='[1]Cost Summary'!$C$26,A64&lt;='[1]Cost Summary'!$D$26),$J$184/IF('[1]Cost Summary'!$D$26='[1]Cost Summary'!$C$26,1,'[1]Cost Summary'!$D$26-'[1]Cost Summary'!$C$26)*(1+$H$5)^(A64-$H$6),0)</f>
        <v>0</v>
      </c>
      <c r="I64" s="55">
        <f>IF(AND($A18&gt;=$H$7,$A18&lt;=$H$8),IFERROR('[1]State of Good Repair AP-CP'!$B$26*$C$108*B64*(1-$J$108)*VLOOKUP($E$108,$B$150:$D$152,3,0)*(HLOOKUP(C64,$E$149:$I$155,$O$150,0)-1)/100,0)+IFERROR('[1]State of Good Repair AP-CP'!$B$26*$C$109*B64*(1-$J$109)*VLOOKUP($E$109,$B$150:$D$152,3,0)*(HLOOKUP(C64,$E$149:$I$155,$O$151,0)-1)/100,0),0)</f>
        <v>0</v>
      </c>
      <c r="J64" s="55">
        <f>IF(AND($A18&gt;=$H$7,$A18&lt;=$H$8),IFERROR('[1]State of Good Repair AP-CP'!$B$26*$C$108*B64*$J$108*VLOOKUP($E$108,$B$153:$D$155,3,0)*(HLOOKUP(C64,$E$149:$I$155,$P$150,0)-1)/100,0)+IFERROR('[1]State of Good Repair AP-CP'!$B$26*$C$109*B64*$J$109*VLOOKUP($E$109,$B$153:$D$155,3,0)*(HLOOKUP(C64,$E$149:$I$155,$P$151,0)-1)/100,0),0)</f>
        <v>0</v>
      </c>
      <c r="K64" s="55">
        <f t="shared" si="19"/>
        <v>0</v>
      </c>
      <c r="M64" s="8"/>
    </row>
    <row r="65" spans="1:13" x14ac:dyDescent="0.3">
      <c r="A65" s="77">
        <f>'[1]Major Assumption Key'!A24</f>
        <v>2025</v>
      </c>
      <c r="B65" s="39">
        <f t="shared" si="17"/>
        <v>3404.7433050152158</v>
      </c>
      <c r="C65" s="54" t="str" cm="1">
        <f t="array" ref="C65">IF(A65-$H$9&lt;0,"",INDEX('[1]Life Cycle of Rehabilitation'!$C$19:$C$73,A65-$H$9+1,0))</f>
        <v/>
      </c>
      <c r="D65" s="54" t="str">
        <f>IF(C65="",IF(AND(A65&gt;='[1]Cost Summary'!$C$26,A65&lt;='[1]Cost Summary'!$D$26),"Construction",D19),"Routine Maintenance")</f>
        <v>Routine Maintenance</v>
      </c>
      <c r="E65" s="55">
        <f t="shared" si="18"/>
        <v>20816.133757480533</v>
      </c>
      <c r="F65" s="55"/>
      <c r="H65" s="39">
        <f>IF(AND(A65&gt;='[1]Cost Summary'!$C$26,A65&lt;='[1]Cost Summary'!$D$26),$J$184/IF('[1]Cost Summary'!$D$26='[1]Cost Summary'!$C$26,1,'[1]Cost Summary'!$D$26-'[1]Cost Summary'!$C$26)*(1+$H$5)^(A65-$H$6),0)</f>
        <v>0</v>
      </c>
      <c r="I65" s="55">
        <f>IF(AND($A19&gt;=$H$7,$A19&lt;=$H$8),IFERROR('[1]State of Good Repair AP-CP'!$B$26*$C$108*B65*(1-$J$108)*VLOOKUP($E$108,$B$150:$D$152,3,0)*(HLOOKUP(C65,$E$149:$I$155,$O$150,0)-1)/100,0)+IFERROR('[1]State of Good Repair AP-CP'!$B$26*$C$109*B65*(1-$J$109)*VLOOKUP($E$109,$B$150:$D$152,3,0)*(HLOOKUP(C65,$E$149:$I$155,$O$151,0)-1)/100,0),0)</f>
        <v>0</v>
      </c>
      <c r="J65" s="55">
        <f>IF(AND($A19&gt;=$H$7,$A19&lt;=$H$8),IFERROR('[1]State of Good Repair AP-CP'!$B$26*$C$108*B65*$J$108*VLOOKUP($E$108,$B$153:$D$155,3,0)*(HLOOKUP(C65,$E$149:$I$155,$P$150,0)-1)/100,0)+IFERROR('[1]State of Good Repair AP-CP'!$B$26*$C$109*B65*$J$109*VLOOKUP($E$109,$B$153:$D$155,3,0)*(HLOOKUP(C65,$E$149:$I$155,$P$151,0)-1)/100,0),0)</f>
        <v>0</v>
      </c>
      <c r="K65" s="55">
        <f t="shared" si="19"/>
        <v>0</v>
      </c>
      <c r="M65" s="8"/>
    </row>
    <row r="66" spans="1:13" x14ac:dyDescent="0.3">
      <c r="A66" s="77">
        <f>'[1]Major Assumption Key'!A25</f>
        <v>2026</v>
      </c>
      <c r="B66" s="39">
        <f t="shared" si="17"/>
        <v>3462.5676428042216</v>
      </c>
      <c r="C66" s="54" t="str" cm="1">
        <f t="array" ref="C66">IF(A66-$H$9&lt;0,"",INDEX('[1]Life Cycle of Rehabilitation'!$C$19:$C$73,A66-$H$9+1,0))</f>
        <v/>
      </c>
      <c r="D66" s="54" t="s">
        <v>286</v>
      </c>
      <c r="E66" s="55">
        <f t="shared" si="18"/>
        <v>21396.794330715515</v>
      </c>
      <c r="F66" s="55"/>
      <c r="H66" s="39">
        <f>IF(AND(A66&gt;='[1]Cost Summary'!$C$26,A66&lt;='[1]Cost Summary'!$D$26),$J$184/IF('[1]Cost Summary'!$D$26='[1]Cost Summary'!$C$26,1,'[1]Cost Summary'!$D$26-'[1]Cost Summary'!$C$26)*(1+$H$5)^(A66-$H$6),0)</f>
        <v>72285.354496964996</v>
      </c>
      <c r="I66" s="55">
        <f>IF(AND($A20&gt;=$H$7,$A20&lt;=$H$8),IFERROR('[1]State of Good Repair AP-CP'!$B$26*$C$108*B66*(1-$J$108)*VLOOKUP($E$108,$B$150:$D$152,3,0)*(HLOOKUP(C66,$E$149:$I$155,$O$150,0)-1)/100,0)+IFERROR('[1]State of Good Repair AP-CP'!$B$26*$C$109*B66*(1-$J$109)*VLOOKUP($E$109,$B$150:$D$152,3,0)*(HLOOKUP(C66,$E$149:$I$155,$O$151,0)-1)/100,0),0)</f>
        <v>0</v>
      </c>
      <c r="J66" s="55">
        <f>IF(AND($A20&gt;=$H$7,$A20&lt;=$H$8),IFERROR('[1]State of Good Repair AP-CP'!$B$26*$C$108*B66*$J$108*VLOOKUP($E$108,$B$153:$D$155,3,0)*(HLOOKUP(C66,$E$149:$I$155,$P$150,0)-1)/100,0)+IFERROR('[1]State of Good Repair AP-CP'!$B$26*$C$109*B66*$J$109*VLOOKUP($E$109,$B$153:$D$155,3,0)*(HLOOKUP(C66,$E$149:$I$155,$P$151,0)-1)/100,0),0)</f>
        <v>0</v>
      </c>
      <c r="K66" s="55">
        <f t="shared" si="19"/>
        <v>0</v>
      </c>
      <c r="M66" s="8"/>
    </row>
    <row r="67" spans="1:13" x14ac:dyDescent="0.3">
      <c r="A67" s="77">
        <f>'[1]Major Assumption Key'!A26</f>
        <v>2027</v>
      </c>
      <c r="B67" s="39">
        <f t="shared" si="17"/>
        <v>3521.3740381938142</v>
      </c>
      <c r="C67" s="54" t="str" cm="1">
        <f t="array" ref="C67">IF(A67-$H$9&lt;0,"",INDEX('[1]Life Cycle of Rehabilitation'!$C$19:$C$73,A67-$H$9+1,0))</f>
        <v/>
      </c>
      <c r="D67" s="54" t="str">
        <f>IF(C67="",IF(AND(A67&gt;='[1]Cost Summary'!$C$26,A67&lt;='[1]Cost Summary'!$D$26),"Construction",D21),"Routine Maintenance")</f>
        <v>Construction</v>
      </c>
      <c r="E67" s="55">
        <f t="shared" si="18"/>
        <v>21993.652277835474</v>
      </c>
      <c r="F67" s="55"/>
      <c r="H67" s="39">
        <f>IF(AND(A67&gt;='[1]Cost Summary'!$C$26,A67&lt;='[1]Cost Summary'!$D$26),$J$184/IF('[1]Cost Summary'!$D$26='[1]Cost Summary'!$C$26,1,'[1]Cost Summary'!$D$26-'[1]Cost Summary'!$C$26)*(1+$H$5)^(A67-$H$6),0)</f>
        <v>74301.73543819612</v>
      </c>
      <c r="I67" s="55">
        <f>IF(AND($A21&gt;=$H$7,$A21&lt;=$H$8),IFERROR('[1]State of Good Repair AP-CP'!$B$26*$C$108*B67*(1-$J$108)*VLOOKUP($E$108,$B$150:$D$152,3,0)*(HLOOKUP(C67,$E$149:$I$155,$O$150,0)-1)/100,0)+IFERROR('[1]State of Good Repair AP-CP'!$B$26*$C$109*B67*(1-$J$109)*VLOOKUP($E$109,$B$150:$D$152,3,0)*(HLOOKUP(C67,$E$149:$I$155,$O$151,0)-1)/100,0),0)</f>
        <v>0</v>
      </c>
      <c r="J67" s="55">
        <f>IF(AND($A21&gt;=$H$7,$A21&lt;=$H$8),IFERROR('[1]State of Good Repair AP-CP'!$B$26*$C$108*B67*$J$108*VLOOKUP($E$108,$B$153:$D$155,3,0)*(HLOOKUP(C67,$E$149:$I$155,$P$150,0)-1)/100,0)+IFERROR('[1]State of Good Repair AP-CP'!$B$26*$C$109*B67*$J$109*VLOOKUP($E$109,$B$153:$D$155,3,0)*(HLOOKUP(C67,$E$149:$I$155,$P$151,0)-1)/100,0),0)</f>
        <v>0</v>
      </c>
      <c r="K67" s="55">
        <f t="shared" si="19"/>
        <v>0</v>
      </c>
      <c r="M67" s="8"/>
    </row>
    <row r="68" spans="1:13" x14ac:dyDescent="0.3">
      <c r="A68" s="77">
        <f>'[1]Major Assumption Key'!A27</f>
        <v>2028</v>
      </c>
      <c r="B68" s="39">
        <f t="shared" si="17"/>
        <v>3581.1791699246019</v>
      </c>
      <c r="C68" s="54" t="str" cm="1">
        <f t="array" ref="C68">IF(A68-$H$9&lt;0,"",INDEX('[1]Life Cycle of Rehabilitation'!$C$19:$C$73,A68-$H$9+1,0))</f>
        <v/>
      </c>
      <c r="D68" s="54" t="str">
        <f>IF(C68="",IF(AND(A68&gt;='[1]Cost Summary'!$C$26,A68&lt;='[1]Cost Summary'!$D$26),"Construction",D22),"Routine Maintenance")</f>
        <v>Construction</v>
      </c>
      <c r="E68" s="55">
        <f t="shared" si="18"/>
        <v>33911.328872212194</v>
      </c>
      <c r="F68" s="55"/>
      <c r="H68" s="39">
        <f>IF(AND(A68&gt;='[1]Cost Summary'!$C$26,A68&lt;='[1]Cost Summary'!$D$26),$J$184/IF('[1]Cost Summary'!$D$26='[1]Cost Summary'!$C$26,1,'[1]Cost Summary'!$D$26-'[1]Cost Summary'!$C$26)*(1+$H$5)^(A68-$H$6),0)</f>
        <v>76374.362795156325</v>
      </c>
      <c r="I68" s="55">
        <f>IF(AND($A22&gt;=$H$7,$A22&lt;=$H$8),IFERROR('[1]State of Good Repair AP-CP'!$B$26*$C$108*B68*(1-$J$108)*VLOOKUP($E$108,$B$150:$D$152,3,0)*(HLOOKUP(C68,$E$149:$I$155,$O$150,0)-1)/100,0)+IFERROR('[1]State of Good Repair AP-CP'!$B$26*$C$109*B68*(1-$J$109)*VLOOKUP($E$109,$B$150:$D$152,3,0)*(HLOOKUP(C68,$E$149:$I$155,$O$151,0)-1)/100,0),0)</f>
        <v>0</v>
      </c>
      <c r="J68" s="55">
        <f>IF(AND($A22&gt;=$H$7,$A22&lt;=$H$8),IFERROR('[1]State of Good Repair AP-CP'!$B$26*$C$108*B68*$J$108*VLOOKUP($E$108,$B$153:$D$155,3,0)*(HLOOKUP(C68,$E$149:$I$155,$P$150,0)-1)/100,0)+IFERROR('[1]State of Good Repair AP-CP'!$B$26*$C$109*B68*$J$109*VLOOKUP($E$109,$B$153:$D$155,3,0)*(HLOOKUP(C68,$E$149:$I$155,$P$151,0)-1)/100,0),0)</f>
        <v>0</v>
      </c>
      <c r="K68" s="55">
        <f t="shared" si="19"/>
        <v>0</v>
      </c>
      <c r="M68" s="8"/>
    </row>
    <row r="69" spans="1:13" x14ac:dyDescent="0.3">
      <c r="A69" s="77">
        <f>'[1]Major Assumption Key'!A28</f>
        <v>2029</v>
      </c>
      <c r="B69" s="39">
        <f t="shared" si="17"/>
        <v>3641.9999999999973</v>
      </c>
      <c r="C69" s="54" t="str" cm="1">
        <f t="array" ref="C69">IF(A69-$H$9&lt;0,"",INDEX('[1]Life Cycle of Rehabilitation'!$C$19:$C$73,A69-$H$9+1,0))</f>
        <v>New</v>
      </c>
      <c r="D69" s="54" t="str">
        <f>IF(C69="",IF(AND(A69&gt;='[1]Cost Summary'!$C$26,A69&lt;='[1]Cost Summary'!$D$26),"Construction",D23),"Routine Maintenance")</f>
        <v>Routine Maintenance</v>
      </c>
      <c r="E69" s="55">
        <f t="shared" si="18"/>
        <v>34857.276467068637</v>
      </c>
      <c r="F69" s="55"/>
      <c r="H69" s="39">
        <f>IF(AND(A69&gt;='[1]Cost Summary'!$C$26,A69&lt;='[1]Cost Summary'!$D$26),$J$184/IF('[1]Cost Summary'!$D$26='[1]Cost Summary'!$C$26,1,'[1]Cost Summary'!$D$26-'[1]Cost Summary'!$C$26)*(1+$H$5)^(A69-$H$6),0)</f>
        <v>0</v>
      </c>
      <c r="I69" s="55">
        <f>IF(AND($A23&gt;=$H$7,$A23&lt;=$H$8),IFERROR('[1]State of Good Repair AP-CP'!$B$26*$C$108*B69*(1-$J$108)*VLOOKUP($E$108,$B$150:$D$152,3,0)*(HLOOKUP(C69,$E$149:$I$155,$O$150,0)-1)/100,0)+IFERROR('[1]State of Good Repair AP-CP'!$B$26*$C$109*B69*(1-$J$109)*VLOOKUP($E$109,$B$150:$D$152,3,0)*(HLOOKUP(C69,$E$149:$I$155,$O$151,0)-1)/100,0),0)</f>
        <v>0</v>
      </c>
      <c r="J69" s="55">
        <f>IF(AND($A23&gt;=$H$7,$A23&lt;=$H$8),IFERROR('[1]State of Good Repair AP-CP'!$B$26*$C$108*B69*$J$108*VLOOKUP($E$108,$B$153:$D$155,3,0)*(HLOOKUP(C69,$E$149:$I$155,$P$150,0)-1)/100,0)+IFERROR('[1]State of Good Repair AP-CP'!$B$26*$C$109*B69*$J$109*VLOOKUP($E$109,$B$153:$D$155,3,0)*(HLOOKUP(C69,$E$149:$I$155,$P$151,0)-1)/100,0),0)</f>
        <v>0</v>
      </c>
      <c r="K69" s="55">
        <f t="shared" si="19"/>
        <v>0</v>
      </c>
      <c r="M69" s="8"/>
    </row>
    <row r="70" spans="1:13" x14ac:dyDescent="0.3">
      <c r="A70" s="77">
        <f>'[1]Major Assumption Key'!A29</f>
        <v>2030</v>
      </c>
      <c r="B70" s="39">
        <f t="shared" si="17"/>
        <v>3703.8537784969985</v>
      </c>
      <c r="C70" s="54" t="str" cm="1">
        <f t="array" ref="C70">IF(A70-$H$9&lt;0,"",INDEX('[1]Life Cycle of Rehabilitation'!$C$19:$C$73,A70-$H$9+1,0))</f>
        <v>New</v>
      </c>
      <c r="D70" s="54" t="str">
        <f>IF(C70="",IF(AND(A70&gt;='[1]Cost Summary'!$C$26,A70&lt;='[1]Cost Summary'!$D$26),"Construction",D24),"Routine Maintenance")</f>
        <v>Routine Maintenance</v>
      </c>
      <c r="E70" s="55">
        <f t="shared" si="18"/>
        <v>0</v>
      </c>
      <c r="F70" s="55"/>
      <c r="H70" s="39">
        <f>IF(AND(A70&gt;='[1]Cost Summary'!$C$26,A70&lt;='[1]Cost Summary'!$D$26),$J$184/IF('[1]Cost Summary'!$D$26='[1]Cost Summary'!$C$26,1,'[1]Cost Summary'!$D$26-'[1]Cost Summary'!$C$26)*(1+$H$5)^(A70-$H$6),0)</f>
        <v>0</v>
      </c>
      <c r="I70" s="55">
        <f>IF(AND($A24&gt;=$H$7,$A24&lt;=$H$8),IFERROR('[1]State of Good Repair AP-CP'!$B$26*$C$108*B70*(1-$J$108)*VLOOKUP($E$108,$B$150:$D$152,3,0)*(HLOOKUP(C70,$E$149:$I$155,$O$150,0)-1)/100,0)+IFERROR('[1]State of Good Repair AP-CP'!$B$26*$C$109*B70*(1-$J$109)*VLOOKUP($E$109,$B$150:$D$152,3,0)*(HLOOKUP(C70,$E$149:$I$155,$O$151,0)-1)/100,0),0)</f>
        <v>0</v>
      </c>
      <c r="J70" s="55">
        <f>IF(AND($A24&gt;=$H$7,$A24&lt;=$H$8),IFERROR('[1]State of Good Repair AP-CP'!$B$26*$C$108*B70*$J$108*VLOOKUP($E$108,$B$153:$D$155,3,0)*(HLOOKUP(C70,$E$149:$I$155,$P$150,0)-1)/100,0)+IFERROR('[1]State of Good Repair AP-CP'!$B$26*$C$109*B70*$J$109*VLOOKUP($E$109,$B$153:$D$155,3,0)*(HLOOKUP(C70,$E$149:$I$155,$P$151,0)-1)/100,0),0)</f>
        <v>0</v>
      </c>
      <c r="K70" s="55">
        <f t="shared" si="19"/>
        <v>0</v>
      </c>
      <c r="M70" s="8"/>
    </row>
    <row r="71" spans="1:13" x14ac:dyDescent="0.3">
      <c r="A71" s="77">
        <f>'[1]Major Assumption Key'!A30</f>
        <v>2031</v>
      </c>
      <c r="B71" s="39">
        <f t="shared" si="17"/>
        <v>3766.7580484586779</v>
      </c>
      <c r="C71" s="54" t="str" cm="1">
        <f t="array" ref="C71">IF(A71-$H$9&lt;0,"",INDEX('[1]Life Cycle of Rehabilitation'!$C$19:$C$73,A71-$H$9+1,0))</f>
        <v>New</v>
      </c>
      <c r="D71" s="54" t="str">
        <f>IF(C71="",IF(AND(A71&gt;='[1]Cost Summary'!$C$26,A71&lt;='[1]Cost Summary'!$D$26),"Construction",D25),"Routine Maintenance")</f>
        <v>Routine Maintenance</v>
      </c>
      <c r="E71" s="55">
        <f t="shared" si="18"/>
        <v>0</v>
      </c>
      <c r="F71" s="55"/>
      <c r="H71" s="39">
        <f>IF(AND(A71&gt;='[1]Cost Summary'!$C$26,A71&lt;='[1]Cost Summary'!$D$26),$J$184/IF('[1]Cost Summary'!$D$26='[1]Cost Summary'!$C$26,1,'[1]Cost Summary'!$D$26-'[1]Cost Summary'!$C$26)*(1+$H$5)^(A71-$H$6),0)</f>
        <v>0</v>
      </c>
      <c r="I71" s="55">
        <f>IF(AND($A25&gt;=$H$7,$A25&lt;=$H$8),IFERROR('[1]State of Good Repair AP-CP'!$B$26*$C$108*B71*(1-$J$108)*VLOOKUP($E$108,$B$150:$D$152,3,0)*(HLOOKUP(C71,$E$149:$I$155,$O$150,0)-1)/100,0)+IFERROR('[1]State of Good Repair AP-CP'!$B$26*$C$109*B71*(1-$J$109)*VLOOKUP($E$109,$B$150:$D$152,3,0)*(HLOOKUP(C71,$E$149:$I$155,$O$151,0)-1)/100,0),0)</f>
        <v>0</v>
      </c>
      <c r="J71" s="55">
        <f>IF(AND($A25&gt;=$H$7,$A25&lt;=$H$8),IFERROR('[1]State of Good Repair AP-CP'!$B$26*$C$108*B71*$J$108*VLOOKUP($E$108,$B$153:$D$155,3,0)*(HLOOKUP(C71,$E$149:$I$155,$P$150,0)-1)/100,0)+IFERROR('[1]State of Good Repair AP-CP'!$B$26*$C$109*B71*$J$109*VLOOKUP($E$109,$B$153:$D$155,3,0)*(HLOOKUP(C71,$E$149:$I$155,$P$151,0)-1)/100,0),0)</f>
        <v>0</v>
      </c>
      <c r="K71" s="55">
        <f t="shared" si="19"/>
        <v>0</v>
      </c>
      <c r="M71" s="8"/>
    </row>
    <row r="72" spans="1:13" x14ac:dyDescent="0.3">
      <c r="A72" s="77">
        <f>'[1]Major Assumption Key'!A31</f>
        <v>2032</v>
      </c>
      <c r="B72" s="39">
        <f t="shared" si="17"/>
        <v>3830.7306508697588</v>
      </c>
      <c r="C72" s="54" t="str" cm="1">
        <f t="array" ref="C72">IF(A72-$H$9&lt;0,"",INDEX('[1]Life Cycle of Rehabilitation'!$C$19:$C$73,A72-$H$9+1,0))</f>
        <v>New</v>
      </c>
      <c r="D72" s="54" t="str">
        <f>IF(C72="",IF(AND(A72&gt;='[1]Cost Summary'!$C$26,A72&lt;='[1]Cost Summary'!$D$26),"Construction",D26),"Routine Maintenance")</f>
        <v>Routine Maintenance</v>
      </c>
      <c r="E72" s="55">
        <f t="shared" si="18"/>
        <v>0</v>
      </c>
      <c r="F72" s="55"/>
      <c r="H72" s="39">
        <f>IF(AND(A72&gt;='[1]Cost Summary'!$C$26,A72&lt;='[1]Cost Summary'!$D$26),$J$184/IF('[1]Cost Summary'!$D$26='[1]Cost Summary'!$C$26,1,'[1]Cost Summary'!$D$26-'[1]Cost Summary'!$C$26)*(1+$H$5)^(A72-$H$6),0)</f>
        <v>0</v>
      </c>
      <c r="I72" s="55">
        <f>IF(AND($A26&gt;=$H$7,$A26&lt;=$H$8),IFERROR('[1]State of Good Repair AP-CP'!$B$26*$C$108*B72*(1-$J$108)*VLOOKUP($E$108,$B$150:$D$152,3,0)*(HLOOKUP(C72,$E$149:$I$155,$O$150,0)-1)/100,0)+IFERROR('[1]State of Good Repair AP-CP'!$B$26*$C$109*B72*(1-$J$109)*VLOOKUP($E$109,$B$150:$D$152,3,0)*(HLOOKUP(C72,$E$149:$I$155,$O$151,0)-1)/100,0),0)</f>
        <v>0</v>
      </c>
      <c r="J72" s="55">
        <f>IF(AND($A26&gt;=$H$7,$A26&lt;=$H$8),IFERROR('[1]State of Good Repair AP-CP'!$B$26*$C$108*B72*$J$108*VLOOKUP($E$108,$B$153:$D$155,3,0)*(HLOOKUP(C72,$E$149:$I$155,$P$150,0)-1)/100,0)+IFERROR('[1]State of Good Repair AP-CP'!$B$26*$C$109*B72*$J$109*VLOOKUP($E$109,$B$153:$D$155,3,0)*(HLOOKUP(C72,$E$149:$I$155,$P$151,0)-1)/100,0),0)</f>
        <v>0</v>
      </c>
      <c r="K72" s="55">
        <f t="shared" si="19"/>
        <v>0</v>
      </c>
      <c r="M72" s="8"/>
    </row>
    <row r="73" spans="1:13" x14ac:dyDescent="0.3">
      <c r="A73" s="77">
        <f>'[1]Major Assumption Key'!A32</f>
        <v>2033</v>
      </c>
      <c r="B73" s="39">
        <f t="shared" si="17"/>
        <v>3895.7897297167028</v>
      </c>
      <c r="C73" s="54" t="str" cm="1">
        <f t="array" ref="C73">IF(A73-$H$9&lt;0,"",INDEX('[1]Life Cycle of Rehabilitation'!$C$19:$C$73,A73-$H$9+1,0))</f>
        <v>New</v>
      </c>
      <c r="D73" s="54" t="str">
        <f>IF(C73="",IF(AND(A73&gt;='[1]Cost Summary'!$C$26,A73&lt;='[1]Cost Summary'!$D$26),"Construction",D27),"Routine Maintenance")</f>
        <v>Routine Maintenance</v>
      </c>
      <c r="E73" s="55">
        <f t="shared" si="18"/>
        <v>0</v>
      </c>
      <c r="F73" s="55"/>
      <c r="H73" s="39">
        <f>IF(AND(A73&gt;='[1]Cost Summary'!$C$26,A73&lt;='[1]Cost Summary'!$D$26),$J$184/IF('[1]Cost Summary'!$D$26='[1]Cost Summary'!$C$26,1,'[1]Cost Summary'!$D$26-'[1]Cost Summary'!$C$26)*(1+$H$5)^(A73-$H$6),0)</f>
        <v>0</v>
      </c>
      <c r="I73" s="55">
        <f>IF(AND($A27&gt;=$H$7,$A27&lt;=$H$8),IFERROR('[1]State of Good Repair AP-CP'!$B$26*$C$108*B73*(1-$J$108)*VLOOKUP($E$108,$B$150:$D$152,3,0)*(HLOOKUP(C73,$E$149:$I$155,$O$150,0)-1)/100,0)+IFERROR('[1]State of Good Repair AP-CP'!$B$26*$C$109*B73*(1-$J$109)*VLOOKUP($E$109,$B$150:$D$152,3,0)*(HLOOKUP(C73,$E$149:$I$155,$O$151,0)-1)/100,0),0)</f>
        <v>0</v>
      </c>
      <c r="J73" s="55">
        <f>IF(AND($A27&gt;=$H$7,$A27&lt;=$H$8),IFERROR('[1]State of Good Repair AP-CP'!$B$26*$C$108*B73*$J$108*VLOOKUP($E$108,$B$153:$D$155,3,0)*(HLOOKUP(C73,$E$149:$I$155,$P$150,0)-1)/100,0)+IFERROR('[1]State of Good Repair AP-CP'!$B$26*$C$109*B73*$J$109*VLOOKUP($E$109,$B$153:$D$155,3,0)*(HLOOKUP(C73,$E$149:$I$155,$P$151,0)-1)/100,0),0)</f>
        <v>0</v>
      </c>
      <c r="K73" s="55">
        <f t="shared" si="19"/>
        <v>0</v>
      </c>
      <c r="M73" s="8"/>
    </row>
    <row r="74" spans="1:13" x14ac:dyDescent="0.3">
      <c r="A74" s="77">
        <f>'[1]Major Assumption Key'!A33</f>
        <v>2034</v>
      </c>
      <c r="B74" s="39">
        <f t="shared" si="17"/>
        <v>3961.9537371337233</v>
      </c>
      <c r="C74" s="54" t="str" cm="1">
        <f t="array" ref="C74">IF(A74-$H$9&lt;0,"",INDEX('[1]Life Cycle of Rehabilitation'!$C$19:$C$73,A74-$H$9+1,0))</f>
        <v>New</v>
      </c>
      <c r="D74" s="54" t="str">
        <f>IF(C74="",IF(AND(A74&gt;='[1]Cost Summary'!$C$26,A74&lt;='[1]Cost Summary'!$D$26),"Construction",D28),"Routine Maintenance")</f>
        <v>Routine Maintenance</v>
      </c>
      <c r="E74" s="55">
        <f t="shared" si="18"/>
        <v>0</v>
      </c>
      <c r="F74" s="55"/>
      <c r="H74" s="39">
        <f>IF(AND(A74&gt;='[1]Cost Summary'!$C$26,A74&lt;='[1]Cost Summary'!$D$26),$J$184/IF('[1]Cost Summary'!$D$26='[1]Cost Summary'!$C$26,1,'[1]Cost Summary'!$D$26-'[1]Cost Summary'!$C$26)*(1+$H$5)^(A74-$H$6),0)</f>
        <v>0</v>
      </c>
      <c r="I74" s="55">
        <f>IF(AND($A28&gt;=$H$7,$A28&lt;=$H$8),IFERROR('[1]State of Good Repair AP-CP'!$B$26*$C$108*B74*(1-$J$108)*VLOOKUP($E$108,$B$150:$D$152,3,0)*(HLOOKUP(C74,$E$149:$I$155,$O$150,0)-1)/100,0)+IFERROR('[1]State of Good Repair AP-CP'!$B$26*$C$109*B74*(1-$J$109)*VLOOKUP($E$109,$B$150:$D$152,3,0)*(HLOOKUP(C74,$E$149:$I$155,$O$151,0)-1)/100,0),0)</f>
        <v>0</v>
      </c>
      <c r="J74" s="55">
        <f>IF(AND($A28&gt;=$H$7,$A28&lt;=$H$8),IFERROR('[1]State of Good Repair AP-CP'!$B$26*$C$108*B74*$J$108*VLOOKUP($E$108,$B$153:$D$155,3,0)*(HLOOKUP(C74,$E$149:$I$155,$P$150,0)-1)/100,0)+IFERROR('[1]State of Good Repair AP-CP'!$B$26*$C$109*B74*$J$109*VLOOKUP($E$109,$B$153:$D$155,3,0)*(HLOOKUP(C74,$E$149:$I$155,$P$151,0)-1)/100,0),0)</f>
        <v>0</v>
      </c>
      <c r="K74" s="55">
        <f t="shared" si="19"/>
        <v>0</v>
      </c>
      <c r="M74" s="8"/>
    </row>
    <row r="75" spans="1:13" x14ac:dyDescent="0.3">
      <c r="A75" s="77">
        <f>'[1]Major Assumption Key'!A34</f>
        <v>2035</v>
      </c>
      <c r="B75" s="39">
        <f t="shared" si="17"/>
        <v>4029.2414386362038</v>
      </c>
      <c r="C75" s="54" t="str" cm="1">
        <f t="array" ref="C75">IF(A75-$H$9&lt;0,"",INDEX('[1]Life Cycle of Rehabilitation'!$C$19:$C$73,A75-$H$9+1,0))</f>
        <v>New</v>
      </c>
      <c r="D75" s="54" t="str">
        <f>IF(C75="",IF(AND(A75&gt;='[1]Cost Summary'!$C$26,A75&lt;='[1]Cost Summary'!$D$26),"Construction",D29),"Routine Maintenance")</f>
        <v>Routine Maintenance</v>
      </c>
      <c r="E75" s="55">
        <f t="shared" si="18"/>
        <v>0</v>
      </c>
      <c r="F75" s="55"/>
      <c r="H75" s="39">
        <f>IF(AND(A75&gt;='[1]Cost Summary'!$C$26,A75&lt;='[1]Cost Summary'!$D$26),$J$184/IF('[1]Cost Summary'!$D$26='[1]Cost Summary'!$C$26,1,'[1]Cost Summary'!$D$26-'[1]Cost Summary'!$C$26)*(1+$H$5)^(A75-$H$6),0)</f>
        <v>0</v>
      </c>
      <c r="I75" s="55">
        <f>IF(AND($A29&gt;=$H$7,$A29&lt;=$H$8),IFERROR('[1]State of Good Repair AP-CP'!$B$26*$C$108*B75*(1-$J$108)*VLOOKUP($E$108,$B$150:$D$152,3,0)*(HLOOKUP(C75,$E$149:$I$155,$O$150,0)-1)/100,0)+IFERROR('[1]State of Good Repair AP-CP'!$B$26*$C$109*B75*(1-$J$109)*VLOOKUP($E$109,$B$150:$D$152,3,0)*(HLOOKUP(C75,$E$149:$I$155,$O$151,0)-1)/100,0),0)</f>
        <v>0</v>
      </c>
      <c r="J75" s="55">
        <f>IF(AND($A29&gt;=$H$7,$A29&lt;=$H$8),IFERROR('[1]State of Good Repair AP-CP'!$B$26*$C$108*B75*$J$108*VLOOKUP($E$108,$B$153:$D$155,3,0)*(HLOOKUP(C75,$E$149:$I$155,$P$150,0)-1)/100,0)+IFERROR('[1]State of Good Repair AP-CP'!$B$26*$C$109*B75*$J$109*VLOOKUP($E$109,$B$153:$D$155,3,0)*(HLOOKUP(C75,$E$149:$I$155,$P$151,0)-1)/100,0),0)</f>
        <v>0</v>
      </c>
      <c r="K75" s="55">
        <f t="shared" si="19"/>
        <v>0</v>
      </c>
      <c r="M75" s="8"/>
    </row>
    <row r="76" spans="1:13" x14ac:dyDescent="0.3">
      <c r="A76" s="77">
        <f>'[1]Major Assumption Key'!A35</f>
        <v>2036</v>
      </c>
      <c r="B76" s="39">
        <f t="shared" si="17"/>
        <v>4097.6719184429976</v>
      </c>
      <c r="C76" s="54" t="str" cm="1">
        <f t="array" ref="C76">IF(A76-$H$9&lt;0,"",INDEX('[1]Life Cycle of Rehabilitation'!$C$19:$C$73,A76-$H$9+1,0))</f>
        <v>New</v>
      </c>
      <c r="D76" s="54" t="str">
        <f>IF(C76="",IF(AND(A76&gt;='[1]Cost Summary'!$C$26,A76&lt;='[1]Cost Summary'!$D$26),"Construction",D30),"Routine Maintenance")</f>
        <v>Routine Maintenance</v>
      </c>
      <c r="E76" s="55">
        <f t="shared" si="18"/>
        <v>0</v>
      </c>
      <c r="F76" s="55"/>
      <c r="H76" s="39">
        <f>IF(AND(A76&gt;='[1]Cost Summary'!$C$26,A76&lt;='[1]Cost Summary'!$D$26),$J$184/IF('[1]Cost Summary'!$D$26='[1]Cost Summary'!$C$26,1,'[1]Cost Summary'!$D$26-'[1]Cost Summary'!$C$26)*(1+$H$5)^(A76-$H$6),0)</f>
        <v>0</v>
      </c>
      <c r="I76" s="55">
        <f>IF(AND($A30&gt;=$H$7,$A30&lt;=$H$8),IFERROR('[1]State of Good Repair AP-CP'!$B$26*$C$108*B76*(1-$J$108)*VLOOKUP($E$108,$B$150:$D$152,3,0)*(HLOOKUP(C76,$E$149:$I$155,$O$150,0)-1)/100,0)+IFERROR('[1]State of Good Repair AP-CP'!$B$26*$C$109*B76*(1-$J$109)*VLOOKUP($E$109,$B$150:$D$152,3,0)*(HLOOKUP(C76,$E$149:$I$155,$O$151,0)-1)/100,0),0)</f>
        <v>0</v>
      </c>
      <c r="J76" s="55">
        <f>IF(AND($A30&gt;=$H$7,$A30&lt;=$H$8),IFERROR('[1]State of Good Repair AP-CP'!$B$26*$C$108*B76*$J$108*VLOOKUP($E$108,$B$153:$D$155,3,0)*(HLOOKUP(C76,$E$149:$I$155,$P$150,0)-1)/100,0)+IFERROR('[1]State of Good Repair AP-CP'!$B$26*$C$109*B76*$J$109*VLOOKUP($E$109,$B$153:$D$155,3,0)*(HLOOKUP(C76,$E$149:$I$155,$P$151,0)-1)/100,0),0)</f>
        <v>0</v>
      </c>
      <c r="K76" s="55">
        <f t="shared" si="19"/>
        <v>0</v>
      </c>
      <c r="M76" s="8"/>
    </row>
    <row r="77" spans="1:13" x14ac:dyDescent="0.3">
      <c r="A77" s="77">
        <f>'[1]Major Assumption Key'!A36</f>
        <v>2037</v>
      </c>
      <c r="B77" s="39">
        <f t="shared" si="17"/>
        <v>4167.2645848891134</v>
      </c>
      <c r="C77" s="54" t="str" cm="1">
        <f t="array" ref="C77">IF(A77-$H$9&lt;0,"",INDEX('[1]Life Cycle of Rehabilitation'!$C$19:$C$73,A77-$H$9+1,0))</f>
        <v>New</v>
      </c>
      <c r="D77" s="54" t="str">
        <f>IF(C77="",IF(AND(A77&gt;='[1]Cost Summary'!$C$26,A77&lt;='[1]Cost Summary'!$D$26),"Construction",D31),"Routine Maintenance")</f>
        <v>Routine Maintenance</v>
      </c>
      <c r="E77" s="55">
        <f t="shared" si="18"/>
        <v>0</v>
      </c>
      <c r="F77" s="55"/>
      <c r="H77" s="39">
        <f>IF(AND(A77&gt;='[1]Cost Summary'!$C$26,A77&lt;='[1]Cost Summary'!$D$26),$J$184/IF('[1]Cost Summary'!$D$26='[1]Cost Summary'!$C$26,1,'[1]Cost Summary'!$D$26-'[1]Cost Summary'!$C$26)*(1+$H$5)^(A77-$H$6),0)</f>
        <v>0</v>
      </c>
      <c r="I77" s="55">
        <f>IF(AND($A31&gt;=$H$7,$A31&lt;=$H$8),IFERROR('[1]State of Good Repair AP-CP'!$B$26*$C$108*B77*(1-$J$108)*VLOOKUP($E$108,$B$150:$D$152,3,0)*(HLOOKUP(C77,$E$149:$I$155,$O$150,0)-1)/100,0)+IFERROR('[1]State of Good Repair AP-CP'!$B$26*$C$109*B77*(1-$J$109)*VLOOKUP($E$109,$B$150:$D$152,3,0)*(HLOOKUP(C77,$E$149:$I$155,$O$151,0)-1)/100,0),0)</f>
        <v>0</v>
      </c>
      <c r="J77" s="55">
        <f>IF(AND($A31&gt;=$H$7,$A31&lt;=$H$8),IFERROR('[1]State of Good Repair AP-CP'!$B$26*$C$108*B77*$J$108*VLOOKUP($E$108,$B$153:$D$155,3,0)*(HLOOKUP(C77,$E$149:$I$155,$P$150,0)-1)/100,0)+IFERROR('[1]State of Good Repair AP-CP'!$B$26*$C$109*B77*$J$109*VLOOKUP($E$109,$B$153:$D$155,3,0)*(HLOOKUP(C77,$E$149:$I$155,$P$151,0)-1)/100,0),0)</f>
        <v>0</v>
      </c>
      <c r="K77" s="55">
        <f t="shared" si="19"/>
        <v>0</v>
      </c>
      <c r="M77" s="8"/>
    </row>
    <row r="78" spans="1:13" x14ac:dyDescent="0.3">
      <c r="A78" s="77">
        <f>'[1]Major Assumption Key'!A37</f>
        <v>2038</v>
      </c>
      <c r="B78" s="39">
        <f t="shared" si="17"/>
        <v>4238.0391759303347</v>
      </c>
      <c r="C78" s="54" t="str" cm="1">
        <f t="array" ref="C78">IF(A78-$H$9&lt;0,"",INDEX('[1]Life Cycle of Rehabilitation'!$C$19:$C$73,A78-$H$9+1,0))</f>
        <v>New</v>
      </c>
      <c r="D78" s="54" t="str">
        <f>IF(C78="",IF(AND(A78&gt;='[1]Cost Summary'!$C$26,A78&lt;='[1]Cost Summary'!$D$26),"Construction",D32),"Routine Maintenance")</f>
        <v>Routine Maintenance</v>
      </c>
      <c r="E78" s="55">
        <f t="shared" si="18"/>
        <v>0</v>
      </c>
      <c r="F78" s="55"/>
      <c r="H78" s="39">
        <f>IF(AND(A78&gt;='[1]Cost Summary'!$C$26,A78&lt;='[1]Cost Summary'!$D$26),$J$184/IF('[1]Cost Summary'!$D$26='[1]Cost Summary'!$C$26,1,'[1]Cost Summary'!$D$26-'[1]Cost Summary'!$C$26)*(1+$H$5)^(A78-$H$6),0)</f>
        <v>0</v>
      </c>
      <c r="I78" s="55">
        <f>IF(AND($A32&gt;=$H$7,$A32&lt;=$H$8),IFERROR('[1]State of Good Repair AP-CP'!$B$26*$C$108*B78*(1-$J$108)*VLOOKUP($E$108,$B$150:$D$152,3,0)*(HLOOKUP(C78,$E$149:$I$155,$O$150,0)-1)/100,0)+IFERROR('[1]State of Good Repair AP-CP'!$B$26*$C$109*B78*(1-$J$109)*VLOOKUP($E$109,$B$150:$D$152,3,0)*(HLOOKUP(C78,$E$149:$I$155,$O$151,0)-1)/100,0),0)</f>
        <v>0</v>
      </c>
      <c r="J78" s="55">
        <f>IF(AND($A32&gt;=$H$7,$A32&lt;=$H$8),IFERROR('[1]State of Good Repair AP-CP'!$B$26*$C$108*B78*$J$108*VLOOKUP($E$108,$B$153:$D$155,3,0)*(HLOOKUP(C78,$E$149:$I$155,$P$150,0)-1)/100,0)+IFERROR('[1]State of Good Repair AP-CP'!$B$26*$C$109*B78*$J$109*VLOOKUP($E$109,$B$153:$D$155,3,0)*(HLOOKUP(C78,$E$149:$I$155,$P$151,0)-1)/100,0),0)</f>
        <v>0</v>
      </c>
      <c r="K78" s="55">
        <f t="shared" si="19"/>
        <v>0</v>
      </c>
      <c r="M78" s="8"/>
    </row>
    <row r="79" spans="1:13" x14ac:dyDescent="0.3">
      <c r="A79" s="77">
        <f>'[1]Major Assumption Key'!A38</f>
        <v>2039</v>
      </c>
      <c r="B79" s="39">
        <f t="shared" si="17"/>
        <v>4310.0157647413198</v>
      </c>
      <c r="C79" s="54" t="str" cm="1">
        <f t="array" ref="C79">IF(A79-$H$9&lt;0,"",INDEX('[1]Life Cycle of Rehabilitation'!$C$19:$C$73,A79-$H$9+1,0))</f>
        <v>New</v>
      </c>
      <c r="D79" s="54" t="str">
        <f>IF(C79="",IF(AND(A79&gt;='[1]Cost Summary'!$C$26,A79&lt;='[1]Cost Summary'!$D$26),"Construction",D33),"Routine Maintenance")</f>
        <v>Routine Maintenance</v>
      </c>
      <c r="E79" s="55">
        <f t="shared" si="18"/>
        <v>0</v>
      </c>
      <c r="F79" s="55"/>
      <c r="H79" s="39">
        <f>IF(AND(A79&gt;='[1]Cost Summary'!$C$26,A79&lt;='[1]Cost Summary'!$D$26),$J$184/IF('[1]Cost Summary'!$D$26='[1]Cost Summary'!$C$26,1,'[1]Cost Summary'!$D$26-'[1]Cost Summary'!$C$26)*(1+$H$5)^(A79-$H$6),0)</f>
        <v>0</v>
      </c>
      <c r="I79" s="55">
        <f>IF(AND($A33&gt;=$H$7,$A33&lt;=$H$8),IFERROR('[1]State of Good Repair AP-CP'!$B$26*$C$108*B79*(1-$J$108)*VLOOKUP($E$108,$B$150:$D$152,3,0)*(HLOOKUP(C79,$E$149:$I$155,$O$150,0)-1)/100,0)+IFERROR('[1]State of Good Repair AP-CP'!$B$26*$C$109*B79*(1-$J$109)*VLOOKUP($E$109,$B$150:$D$152,3,0)*(HLOOKUP(C79,$E$149:$I$155,$O$151,0)-1)/100,0),0)</f>
        <v>0</v>
      </c>
      <c r="J79" s="55">
        <f>IF(AND($A33&gt;=$H$7,$A33&lt;=$H$8),IFERROR('[1]State of Good Repair AP-CP'!$B$26*$C$108*B79*$J$108*VLOOKUP($E$108,$B$153:$D$155,3,0)*(HLOOKUP(C79,$E$149:$I$155,$P$150,0)-1)/100,0)+IFERROR('[1]State of Good Repair AP-CP'!$B$26*$C$109*B79*$J$109*VLOOKUP($E$109,$B$153:$D$155,3,0)*(HLOOKUP(C79,$E$149:$I$155,$P$151,0)-1)/100,0),0)</f>
        <v>0</v>
      </c>
      <c r="K79" s="55">
        <f t="shared" si="19"/>
        <v>0</v>
      </c>
      <c r="M79" s="8"/>
    </row>
    <row r="80" spans="1:13" x14ac:dyDescent="0.3">
      <c r="A80" s="77">
        <f>'[1]Major Assumption Key'!A39</f>
        <v>2040</v>
      </c>
      <c r="B80" s="39">
        <f t="shared" si="17"/>
        <v>4383.2147654087812</v>
      </c>
      <c r="C80" s="54" t="str" cm="1">
        <f t="array" ref="C80">IF(A80-$H$9&lt;0,"",INDEX('[1]Life Cycle of Rehabilitation'!$C$19:$C$73,A80-$H$9+1,0))</f>
        <v>New</v>
      </c>
      <c r="D80" s="54" t="str">
        <f>IF(C80="",IF(AND(A80&gt;='[1]Cost Summary'!$C$26,A80&lt;='[1]Cost Summary'!$D$26),"Construction",D34),"Routine Maintenance")</f>
        <v>Routine Maintenance</v>
      </c>
      <c r="E80" s="55">
        <f t="shared" si="18"/>
        <v>0</v>
      </c>
      <c r="F80" s="55"/>
      <c r="H80" s="39">
        <f>IF(AND(A80&gt;='[1]Cost Summary'!$C$26,A80&lt;='[1]Cost Summary'!$D$26),$J$184/IF('[1]Cost Summary'!$D$26='[1]Cost Summary'!$C$26,1,'[1]Cost Summary'!$D$26-'[1]Cost Summary'!$C$26)*(1+$H$5)^(A80-$H$6),0)</f>
        <v>0</v>
      </c>
      <c r="I80" s="55">
        <f>IF(AND($A34&gt;=$H$7,$A34&lt;=$H$8),IFERROR('[1]State of Good Repair AP-CP'!$B$26*$C$108*B80*(1-$J$108)*VLOOKUP($E$108,$B$150:$D$152,3,0)*(HLOOKUP(C80,$E$149:$I$155,$O$150,0)-1)/100,0)+IFERROR('[1]State of Good Repair AP-CP'!$B$26*$C$109*B80*(1-$J$109)*VLOOKUP($E$109,$B$150:$D$152,3,0)*(HLOOKUP(C80,$E$149:$I$155,$O$151,0)-1)/100,0),0)</f>
        <v>0</v>
      </c>
      <c r="J80" s="55">
        <f>IF(AND($A34&gt;=$H$7,$A34&lt;=$H$8),IFERROR('[1]State of Good Repair AP-CP'!$B$26*$C$108*B80*$J$108*VLOOKUP($E$108,$B$153:$D$155,3,0)*(HLOOKUP(C80,$E$149:$I$155,$P$150,0)-1)/100,0)+IFERROR('[1]State of Good Repair AP-CP'!$B$26*$C$109*B80*$J$109*VLOOKUP($E$109,$B$153:$D$155,3,0)*(HLOOKUP(C80,$E$149:$I$155,$P$151,0)-1)/100,0),0)</f>
        <v>0</v>
      </c>
      <c r="K80" s="55">
        <f t="shared" si="19"/>
        <v>0</v>
      </c>
      <c r="M80" s="8"/>
    </row>
    <row r="81" spans="1:13" x14ac:dyDescent="0.3">
      <c r="A81" s="77">
        <f>'[1]Major Assumption Key'!A40</f>
        <v>2041</v>
      </c>
      <c r="B81" s="39">
        <f t="shared" si="17"/>
        <v>4457.6569387213494</v>
      </c>
      <c r="C81" s="54" t="str" cm="1">
        <f t="array" ref="C81">IF(A81-$H$9&lt;0,"",INDEX('[1]Life Cycle of Rehabilitation'!$C$19:$C$73,A81-$H$9+1,0))</f>
        <v>Very Good</v>
      </c>
      <c r="D81" s="54" t="str">
        <f>IF(C81="",IF(AND(A81&gt;='[1]Cost Summary'!$C$26,A81&lt;='[1]Cost Summary'!$D$26),"Construction",D35),"Routine Maintenance")</f>
        <v>Routine Maintenance</v>
      </c>
      <c r="E81" s="55">
        <f t="shared" si="18"/>
        <v>0</v>
      </c>
      <c r="F81" s="55"/>
      <c r="H81" s="39">
        <f>IF(AND(A81&gt;='[1]Cost Summary'!$C$26,A81&lt;='[1]Cost Summary'!$D$26),$J$184/IF('[1]Cost Summary'!$D$26='[1]Cost Summary'!$C$26,1,'[1]Cost Summary'!$D$26-'[1]Cost Summary'!$C$26)*(1+$H$5)^(A81-$H$6),0)</f>
        <v>0</v>
      </c>
      <c r="I81" s="55">
        <f>IF(AND($A35&gt;=$H$7,$A35&lt;=$H$8),IFERROR('[1]State of Good Repair AP-CP'!$B$26*$C$108*B81*(1-$J$108)*VLOOKUP($E$108,$B$150:$D$152,3,0)*(HLOOKUP(C81,$E$149:$I$155,$O$150,0)-1)/100,0)+IFERROR('[1]State of Good Repair AP-CP'!$B$26*$C$109*B81*(1-$J$109)*VLOOKUP($E$109,$B$150:$D$152,3,0)*(HLOOKUP(C81,$E$149:$I$155,$O$151,0)-1)/100,0),0)</f>
        <v>2995.573134171962</v>
      </c>
      <c r="J81" s="55">
        <f>IF(AND($A35&gt;=$H$7,$A35&lt;=$H$8),IFERROR('[1]State of Good Repair AP-CP'!$B$26*$C$108*B81*$J$108*VLOOKUP($E$108,$B$153:$D$155,3,0)*(HLOOKUP(C81,$E$149:$I$155,$P$150,0)-1)/100,0)+IFERROR('[1]State of Good Repair AP-CP'!$B$26*$C$109*B81*$J$109*VLOOKUP($E$109,$B$153:$D$155,3,0)*(HLOOKUP(C81,$E$149:$I$155,$P$151,0)-1)/100,0),0)</f>
        <v>1052.3399556853387</v>
      </c>
      <c r="K81" s="55">
        <f t="shared" si="19"/>
        <v>4047.9130898573007</v>
      </c>
      <c r="M81" s="8"/>
    </row>
    <row r="82" spans="1:13" x14ac:dyDescent="0.3">
      <c r="A82" s="77">
        <f>'[1]Major Assumption Key'!A41</f>
        <v>2042</v>
      </c>
      <c r="B82" s="39">
        <f t="shared" si="17"/>
        <v>4533.3633980577843</v>
      </c>
      <c r="C82" s="54" t="str" cm="1">
        <f t="array" ref="C82">IF(A82-$H$9&lt;0,"",INDEX('[1]Life Cycle of Rehabilitation'!$C$19:$C$73,A82-$H$9+1,0))</f>
        <v>Very Good</v>
      </c>
      <c r="D82" s="54" t="str">
        <f>IF(C82="",IF(AND(A82&gt;='[1]Cost Summary'!$C$26,A82&lt;='[1]Cost Summary'!$D$26),"Construction",D36),"Routine Maintenance")</f>
        <v>Routine Maintenance</v>
      </c>
      <c r="E82" s="55">
        <f t="shared" si="18"/>
        <v>0</v>
      </c>
      <c r="F82" s="55"/>
      <c r="H82" s="39">
        <f>IF(AND(A82&gt;='[1]Cost Summary'!$C$26,A82&lt;='[1]Cost Summary'!$D$26),$J$184/IF('[1]Cost Summary'!$D$26='[1]Cost Summary'!$C$26,1,'[1]Cost Summary'!$D$26-'[1]Cost Summary'!$C$26)*(1+$H$5)^(A82-$H$6),0)</f>
        <v>0</v>
      </c>
      <c r="I82" s="55">
        <f>IF(AND($A36&gt;=$H$7,$A36&lt;=$H$8),IFERROR('[1]State of Good Repair AP-CP'!$B$26*$C$108*B82*(1-$J$108)*VLOOKUP($E$108,$B$150:$D$152,3,0)*(HLOOKUP(C82,$E$149:$I$155,$O$150,0)-1)/100,0)+IFERROR('[1]State of Good Repair AP-CP'!$B$26*$C$109*B82*(1-$J$109)*VLOOKUP($E$109,$B$150:$D$152,3,0)*(HLOOKUP(C82,$E$149:$I$155,$O$151,0)-1)/100,0),0)</f>
        <v>3046.4483448014635</v>
      </c>
      <c r="J82" s="55">
        <f>IF(AND($A36&gt;=$H$7,$A36&lt;=$H$8),IFERROR('[1]State of Good Repair AP-CP'!$B$26*$C$108*B82*$J$108*VLOOKUP($E$108,$B$153:$D$155,3,0)*(HLOOKUP(C82,$E$149:$I$155,$P$150,0)-1)/100,0)+IFERROR('[1]State of Good Repair AP-CP'!$B$26*$C$109*B82*$J$109*VLOOKUP($E$109,$B$153:$D$155,3,0)*(HLOOKUP(C82,$E$149:$I$155,$P$151,0)-1)/100,0),0)</f>
        <v>1070.212334192342</v>
      </c>
      <c r="K82" s="55">
        <f t="shared" si="19"/>
        <v>4116.660678993805</v>
      </c>
      <c r="M82" s="8"/>
    </row>
    <row r="83" spans="1:13" x14ac:dyDescent="0.3">
      <c r="A83" s="77">
        <f>'[1]Major Assumption Key'!A42</f>
        <v>2043</v>
      </c>
      <c r="B83" s="39">
        <f t="shared" si="17"/>
        <v>4610.3556153751579</v>
      </c>
      <c r="C83" s="54" t="str" cm="1">
        <f t="array" ref="C83">IF(A83-$H$9&lt;0,"",INDEX('[1]Life Cycle of Rehabilitation'!$C$19:$C$73,A83-$H$9+1,0))</f>
        <v>Very Good</v>
      </c>
      <c r="D83" s="54" t="str">
        <f>IF(C83="",IF(AND(A83&gt;='[1]Cost Summary'!$C$26,A83&lt;='[1]Cost Summary'!$D$26),"Construction",D37),"Routine Maintenance")</f>
        <v>Routine Maintenance</v>
      </c>
      <c r="E83" s="55">
        <f t="shared" si="18"/>
        <v>0</v>
      </c>
      <c r="F83" s="55"/>
      <c r="H83" s="39">
        <f>IF(AND(A83&gt;='[1]Cost Summary'!$C$26,A83&lt;='[1]Cost Summary'!$D$26),$J$184/IF('[1]Cost Summary'!$D$26='[1]Cost Summary'!$C$26,1,'[1]Cost Summary'!$D$26-'[1]Cost Summary'!$C$26)*(1+$H$5)^(A83-$H$6),0)</f>
        <v>0</v>
      </c>
      <c r="I83" s="55">
        <f>IF(AND($A37&gt;=$H$7,$A37&lt;=$H$8),IFERROR('[1]State of Good Repair AP-CP'!$B$26*$C$108*B83*(1-$J$108)*VLOOKUP($E$108,$B$150:$D$152,3,0)*(HLOOKUP(C83,$E$149:$I$155,$O$150,0)-1)/100,0)+IFERROR('[1]State of Good Repair AP-CP'!$B$26*$C$109*B83*(1-$J$109)*VLOOKUP($E$109,$B$150:$D$152,3,0)*(HLOOKUP(C83,$E$149:$I$155,$O$151,0)-1)/100,0),0)</f>
        <v>3098.1875927756269</v>
      </c>
      <c r="J83" s="55">
        <f>IF(AND($A37&gt;=$H$7,$A37&lt;=$H$8),IFERROR('[1]State of Good Repair AP-CP'!$B$26*$C$108*B83*$J$108*VLOOKUP($E$108,$B$153:$D$155,3,0)*(HLOOKUP(C83,$E$149:$I$155,$P$150,0)-1)/100,0)+IFERROR('[1]State of Good Repair AP-CP'!$B$26*$C$109*B83*$J$109*VLOOKUP($E$109,$B$153:$D$155,3,0)*(HLOOKUP(C83,$E$149:$I$155,$P$151,0)-1)/100,0),0)</f>
        <v>1088.388247609116</v>
      </c>
      <c r="K83" s="55">
        <f t="shared" si="19"/>
        <v>4186.5758403847431</v>
      </c>
      <c r="M83" s="8"/>
    </row>
    <row r="84" spans="1:13" x14ac:dyDescent="0.3">
      <c r="A84" s="77">
        <f>'[1]Major Assumption Key'!A43</f>
        <v>2044</v>
      </c>
      <c r="B84" s="39">
        <f t="shared" si="17"/>
        <v>4688.6554272987769</v>
      </c>
      <c r="C84" s="54" t="str" cm="1">
        <f t="array" ref="C84">IF(A84-$H$9&lt;0,"",INDEX('[1]Life Cycle of Rehabilitation'!$C$19:$C$73,A84-$H$9+1,0))</f>
        <v>Very Good</v>
      </c>
      <c r="D84" s="54" t="str">
        <f>IF(C84="",IF(AND(A84&gt;='[1]Cost Summary'!$C$26,A84&lt;='[1]Cost Summary'!$D$26),"Construction",D38),"Routine Maintenance")</f>
        <v>Routine Maintenance</v>
      </c>
      <c r="E84" s="55">
        <f t="shared" si="18"/>
        <v>0</v>
      </c>
      <c r="F84" s="55"/>
      <c r="H84" s="39">
        <f>IF(AND(A84&gt;='[1]Cost Summary'!$C$26,A84&lt;='[1]Cost Summary'!$D$26),$J$184/IF('[1]Cost Summary'!$D$26='[1]Cost Summary'!$C$26,1,'[1]Cost Summary'!$D$26-'[1]Cost Summary'!$C$26)*(1+$H$5)^(A84-$H$6),0)</f>
        <v>0</v>
      </c>
      <c r="I84" s="55">
        <f>IF(AND($A38&gt;=$H$7,$A38&lt;=$H$8),IFERROR('[1]State of Good Repair AP-CP'!$B$26*$C$108*B84*(1-$J$108)*VLOOKUP($E$108,$B$150:$D$152,3,0)*(HLOOKUP(C84,$E$149:$I$155,$O$150,0)-1)/100,0)+IFERROR('[1]State of Good Repair AP-CP'!$B$26*$C$109*B84*(1-$J$109)*VLOOKUP($E$109,$B$150:$D$152,3,0)*(HLOOKUP(C84,$E$149:$I$155,$O$151,0)-1)/100,0),0)</f>
        <v>3150.8055524422116</v>
      </c>
      <c r="J84" s="55">
        <f>IF(AND($A38&gt;=$H$7,$A38&lt;=$H$8),IFERROR('[1]State of Good Repair AP-CP'!$B$26*$C$108*B84*$J$108*VLOOKUP($E$108,$B$153:$D$155,3,0)*(HLOOKUP(C84,$E$149:$I$155,$P$150,0)-1)/100,0)+IFERROR('[1]State of Good Repair AP-CP'!$B$26*$C$109*B84*$J$109*VLOOKUP($E$109,$B$153:$D$155,3,0)*(HLOOKUP(C84,$E$149:$I$155,$P$151,0)-1)/100,0),0)</f>
        <v>1106.8728510100916</v>
      </c>
      <c r="K84" s="55">
        <f t="shared" si="19"/>
        <v>4257.6784034523034</v>
      </c>
      <c r="M84" s="8"/>
    </row>
    <row r="85" spans="1:13" x14ac:dyDescent="0.3">
      <c r="A85" s="77">
        <f>'[1]Major Assumption Key'!A44</f>
        <v>2045</v>
      </c>
      <c r="B85" s="39">
        <f t="shared" si="17"/>
        <v>4768.2850413154983</v>
      </c>
      <c r="C85" s="54" t="str" cm="1">
        <f t="array" ref="C85">IF(A85-$H$9&lt;0,"",INDEX('[1]Life Cycle of Rehabilitation'!$C$19:$C$73,A85-$H$9+1,0))</f>
        <v>Very Good</v>
      </c>
      <c r="D85" s="54" t="str">
        <f>IF(C85="",IF(AND(A85&gt;='[1]Cost Summary'!$C$26,A85&lt;='[1]Cost Summary'!$D$26),"Construction",D39),"Routine Maintenance")</f>
        <v>Routine Maintenance</v>
      </c>
      <c r="E85" s="55">
        <f t="shared" si="18"/>
        <v>0</v>
      </c>
      <c r="F85" s="55"/>
      <c r="H85" s="39">
        <f>IF(AND(A85&gt;='[1]Cost Summary'!$C$26,A85&lt;='[1]Cost Summary'!$D$26),$J$184/IF('[1]Cost Summary'!$D$26='[1]Cost Summary'!$C$26,1,'[1]Cost Summary'!$D$26-'[1]Cost Summary'!$C$26)*(1+$H$5)^(A85-$H$6),0)</f>
        <v>0</v>
      </c>
      <c r="I85" s="55">
        <f>IF(AND($A39&gt;=$H$7,$A39&lt;=$H$8),IFERROR('[1]State of Good Repair AP-CP'!$B$26*$C$108*B85*(1-$J$108)*VLOOKUP($E$108,$B$150:$D$152,3,0)*(HLOOKUP(C85,$E$149:$I$155,$O$150,0)-1)/100,0)+IFERROR('[1]State of Good Repair AP-CP'!$B$26*$C$109*B85*(1-$J$109)*VLOOKUP($E$109,$B$150:$D$152,3,0)*(HLOOKUP(C85,$E$149:$I$155,$O$151,0)-1)/100,0),0)</f>
        <v>3204.3171473702405</v>
      </c>
      <c r="J85" s="55">
        <f>IF(AND($A39&gt;=$H$7,$A39&lt;=$H$8),IFERROR('[1]State of Good Repair AP-CP'!$B$26*$C$108*B85*$J$108*VLOOKUP($E$108,$B$153:$D$155,3,0)*(HLOOKUP(C85,$E$149:$I$155,$P$150,0)-1)/100,0)+IFERROR('[1]State of Good Repair AP-CP'!$B$26*$C$109*B85*$J$109*VLOOKUP($E$109,$B$153:$D$155,3,0)*(HLOOKUP(C85,$E$149:$I$155,$P$151,0)-1)/100,0),0)</f>
        <v>1125.6713870207238</v>
      </c>
      <c r="K85" s="55">
        <f t="shared" si="19"/>
        <v>4329.9885343909646</v>
      </c>
      <c r="M85" s="8"/>
    </row>
    <row r="86" spans="1:13" x14ac:dyDescent="0.3">
      <c r="A86" s="77">
        <f>'[1]Major Assumption Key'!A45</f>
        <v>2046</v>
      </c>
      <c r="B86" s="39">
        <f t="shared" si="17"/>
        <v>4849.2670420722507</v>
      </c>
      <c r="C86" s="54" t="str" cm="1">
        <f t="array" ref="C86">IF(A86-$H$9&lt;0,"",INDEX('[1]Life Cycle of Rehabilitation'!$C$19:$C$73,A86-$H$9+1,0))</f>
        <v>Very Good</v>
      </c>
      <c r="D86" s="54" t="str">
        <f>IF(C86="",IF(AND(A86&gt;='[1]Cost Summary'!$C$26,A86&lt;='[1]Cost Summary'!$D$26),"Construction",D40),"Routine Maintenance")</f>
        <v>Routine Maintenance</v>
      </c>
      <c r="E86" s="55">
        <f t="shared" si="18"/>
        <v>0</v>
      </c>
      <c r="F86" s="55"/>
      <c r="H86" s="39">
        <f>IF(AND(A86&gt;='[1]Cost Summary'!$C$26,A86&lt;='[1]Cost Summary'!$D$26),$J$184/IF('[1]Cost Summary'!$D$26='[1]Cost Summary'!$C$26,1,'[1]Cost Summary'!$D$26-'[1]Cost Summary'!$C$26)*(1+$H$5)^(A86-$H$6),0)</f>
        <v>0</v>
      </c>
      <c r="I86" s="55">
        <f>IF(AND($A40&gt;=$H$7,$A40&lt;=$H$8),IFERROR('[1]State of Good Repair AP-CP'!$B$26*$C$108*B86*(1-$J$108)*VLOOKUP($E$108,$B$150:$D$152,3,0)*(HLOOKUP(C86,$E$149:$I$155,$O$150,0)-1)/100,0)+IFERROR('[1]State of Good Repair AP-CP'!$B$26*$C$109*B86*(1-$J$109)*VLOOKUP($E$109,$B$150:$D$152,3,0)*(HLOOKUP(C86,$E$149:$I$155,$O$151,0)-1)/100,0),0)</f>
        <v>3258.7375545826462</v>
      </c>
      <c r="J86" s="55">
        <f>IF(AND($A40&gt;=$H$7,$A40&lt;=$H$8),IFERROR('[1]State of Good Repair AP-CP'!$B$26*$C$108*B86*$J$108*VLOOKUP($E$108,$B$153:$D$155,3,0)*(HLOOKUP(C86,$E$149:$I$155,$P$150,0)-1)/100,0)+IFERROR('[1]State of Good Repair AP-CP'!$B$26*$C$109*B86*$J$109*VLOOKUP($E$109,$B$153:$D$155,3,0)*(HLOOKUP(C86,$E$149:$I$155,$P$151,0)-1)/100,0),0)</f>
        <v>1144.7891873044118</v>
      </c>
      <c r="K86" s="55">
        <f t="shared" si="19"/>
        <v>4403.5267418870581</v>
      </c>
      <c r="M86" s="8"/>
    </row>
    <row r="87" spans="1:13" x14ac:dyDescent="0.3">
      <c r="A87" s="77">
        <f>'[1]Major Assumption Key'!A46</f>
        <v>2047</v>
      </c>
      <c r="B87" s="39">
        <f t="shared" si="17"/>
        <v>4931.6243977815166</v>
      </c>
      <c r="C87" s="54" t="str" cm="1">
        <f t="array" ref="C87">IF(A87-$H$9&lt;0,"",INDEX('[1]Life Cycle of Rehabilitation'!$C$19:$C$73,A87-$H$9+1,0))</f>
        <v>Very Good</v>
      </c>
      <c r="D87" s="54" t="str">
        <f>IF(C87="",IF(AND(A87&gt;='[1]Cost Summary'!$C$26,A87&lt;='[1]Cost Summary'!$D$26),"Construction",D41),"Routine Maintenance")</f>
        <v>Routine Maintenance</v>
      </c>
      <c r="E87" s="55">
        <f t="shared" si="18"/>
        <v>0</v>
      </c>
      <c r="F87" s="55"/>
      <c r="H87" s="39">
        <f>IF(AND(A87&gt;='[1]Cost Summary'!$C$26,A87&lt;='[1]Cost Summary'!$D$26),$J$184/IF('[1]Cost Summary'!$D$26='[1]Cost Summary'!$C$26,1,'[1]Cost Summary'!$D$26-'[1]Cost Summary'!$C$26)*(1+$H$5)^(A87-$H$6),0)</f>
        <v>0</v>
      </c>
      <c r="I87" s="55">
        <f>IF(AND($A41&gt;=$H$7,$A41&lt;=$H$8),IFERROR('[1]State of Good Repair AP-CP'!$B$26*$C$108*B87*(1-$J$108)*VLOOKUP($E$108,$B$150:$D$152,3,0)*(HLOOKUP(C87,$E$149:$I$155,$O$150,0)-1)/100,0)+IFERROR('[1]State of Good Repair AP-CP'!$B$26*$C$109*B87*(1-$J$109)*VLOOKUP($E$109,$B$150:$D$152,3,0)*(HLOOKUP(C87,$E$149:$I$155,$O$151,0)-1)/100,0),0)</f>
        <v>3314.0822088607929</v>
      </c>
      <c r="J87" s="55">
        <f>IF(AND($A41&gt;=$H$7,$A41&lt;=$H$8),IFERROR('[1]State of Good Repair AP-CP'!$B$26*$C$108*B87*$J$108*VLOOKUP($E$108,$B$153:$D$155,3,0)*(HLOOKUP(C87,$E$149:$I$155,$P$150,0)-1)/100,0)+IFERROR('[1]State of Good Repair AP-CP'!$B$26*$C$109*B87*$J$109*VLOOKUP($E$109,$B$153:$D$155,3,0)*(HLOOKUP(C87,$E$149:$I$155,$P$151,0)-1)/100,0),0)</f>
        <v>1164.2316740746726</v>
      </c>
      <c r="K87" s="55">
        <f t="shared" si="19"/>
        <v>4478.3138829354657</v>
      </c>
      <c r="M87" s="8"/>
    </row>
    <row r="88" spans="1:13" x14ac:dyDescent="0.3">
      <c r="A88" s="77">
        <f>'[1]Major Assumption Key'!A47</f>
        <v>2048</v>
      </c>
      <c r="B88" s="39">
        <f t="shared" si="17"/>
        <v>5015.3804667356035</v>
      </c>
      <c r="C88" s="54" t="str" cm="1">
        <f t="array" ref="C88">IF(A88-$H$9&lt;0,"",INDEX('[1]Life Cycle of Rehabilitation'!$C$19:$C$73,A88-$H$9+1,0))</f>
        <v>Very Good</v>
      </c>
      <c r="D88" s="54" t="str">
        <f>IF(C88="",IF(AND(A88&gt;='[1]Cost Summary'!$C$26,A88&lt;='[1]Cost Summary'!$D$26),"Construction",D42),"Routine Maintenance")</f>
        <v>Routine Maintenance</v>
      </c>
      <c r="E88" s="55">
        <f t="shared" si="18"/>
        <v>0</v>
      </c>
      <c r="F88" s="55"/>
      <c r="H88" s="39">
        <f>IF(AND(A88&gt;='[1]Cost Summary'!$C$26,A88&lt;='[1]Cost Summary'!$D$26),$J$184/IF('[1]Cost Summary'!$D$26='[1]Cost Summary'!$C$26,1,'[1]Cost Summary'!$D$26-'[1]Cost Summary'!$C$26)*(1+$H$5)^(A88-$H$6),0)</f>
        <v>0</v>
      </c>
      <c r="I88" s="55">
        <f>IF(AND($A42&gt;=$H$7,$A42&lt;=$H$8),IFERROR('[1]State of Good Repair AP-CP'!$B$26*$C$108*B88*(1-$J$108)*VLOOKUP($E$108,$B$150:$D$152,3,0)*(HLOOKUP(C88,$E$149:$I$155,$O$150,0)-1)/100,0)+IFERROR('[1]State of Good Repair AP-CP'!$B$26*$C$109*B88*(1-$J$109)*VLOOKUP($E$109,$B$150:$D$152,3,0)*(HLOOKUP(C88,$E$149:$I$155,$O$151,0)-1)/100,0),0)</f>
        <v>3370.3668071221136</v>
      </c>
      <c r="J88" s="55">
        <f>IF(AND($A42&gt;=$H$7,$A42&lt;=$H$8),IFERROR('[1]State of Good Repair AP-CP'!$B$26*$C$108*B88*$J$108*VLOOKUP($E$108,$B$153:$D$155,3,0)*(HLOOKUP(C88,$E$149:$I$155,$P$150,0)-1)/100,0)+IFERROR('[1]State of Good Repair AP-CP'!$B$26*$C$109*B88*$J$109*VLOOKUP($E$109,$B$153:$D$155,3,0)*(HLOOKUP(C88,$E$149:$I$155,$P$151,0)-1)/100,0),0)</f>
        <v>1184.004361632994</v>
      </c>
      <c r="K88" s="55">
        <f t="shared" si="19"/>
        <v>4554.3711687551076</v>
      </c>
      <c r="M88" s="8"/>
    </row>
    <row r="89" spans="1:13" x14ac:dyDescent="0.3">
      <c r="A89" s="77">
        <f>'[1]Major Assumption Key'!A48</f>
        <v>2049</v>
      </c>
      <c r="B89" s="39">
        <f t="shared" si="17"/>
        <v>5100.559003931553</v>
      </c>
      <c r="C89" s="54" t="str" cm="1">
        <f t="array" ref="C89">IF(A89-$H$9&lt;0,"",INDEX('[1]Life Cycle of Rehabilitation'!$C$19:$C$73,A89-$H$9+1,0))</f>
        <v>Good</v>
      </c>
      <c r="D89" s="54" t="str">
        <f>IF(C89="",IF(AND(A89&gt;='[1]Cost Summary'!$C$26,A89&lt;='[1]Cost Summary'!$D$26),"Construction",D43),"Routine Maintenance")</f>
        <v>Routine Maintenance</v>
      </c>
      <c r="E89" s="55">
        <f t="shared" si="18"/>
        <v>0</v>
      </c>
      <c r="F89" s="55"/>
      <c r="H89" s="39">
        <f>IF(AND(A89&gt;='[1]Cost Summary'!$C$26,A89&lt;='[1]Cost Summary'!$D$26),$J$184/IF('[1]Cost Summary'!$D$26='[1]Cost Summary'!$C$26,1,'[1]Cost Summary'!$D$26-'[1]Cost Summary'!$C$26)*(1+$H$5)^(A89-$H$6),0)</f>
        <v>0</v>
      </c>
      <c r="I89" s="55">
        <f>IF(AND($A43&gt;=$H$7,$A43&lt;=$H$8),IFERROR('[1]State of Good Repair AP-CP'!$B$26*$C$108*B89*(1-$J$108)*VLOOKUP($E$108,$B$150:$D$152,3,0)*(HLOOKUP(C89,$E$149:$I$155,$O$150,0)-1)/100,0)+IFERROR('[1]State of Good Repair AP-CP'!$B$26*$C$109*B89*(1-$J$109)*VLOOKUP($E$109,$B$150:$D$152,3,0)*(HLOOKUP(C89,$E$149:$I$155,$O$151,0)-1)/100,0),0)</f>
        <v>0</v>
      </c>
      <c r="J89" s="55">
        <f>IF(AND($A43&gt;=$H$7,$A43&lt;=$H$8),IFERROR('[1]State of Good Repair AP-CP'!$B$26*$C$108*B89*$J$108*VLOOKUP($E$108,$B$153:$D$155,3,0)*(HLOOKUP(C89,$E$149:$I$155,$P$150,0)-1)/100,0)+IFERROR('[1]State of Good Repair AP-CP'!$B$26*$C$109*B89*$J$109*VLOOKUP($E$109,$B$153:$D$155,3,0)*(HLOOKUP(C89,$E$149:$I$155,$P$151,0)-1)/100,0),0)</f>
        <v>0</v>
      </c>
      <c r="K89" s="55">
        <f t="shared" si="19"/>
        <v>0</v>
      </c>
      <c r="M89" s="8"/>
    </row>
    <row r="90" spans="1:13" x14ac:dyDescent="0.3">
      <c r="A90" s="77">
        <f>'[1]Major Assumption Key'!A49</f>
        <v>2050</v>
      </c>
      <c r="B90" s="39">
        <f t="shared" si="17"/>
        <v>5187.1841678085621</v>
      </c>
      <c r="C90" s="54" t="str" cm="1">
        <f t="array" ref="C90">IF(A90-$H$9&lt;0,"",INDEX('[1]Life Cycle of Rehabilitation'!$C$19:$C$73,A90-$H$9+1,0))</f>
        <v>Good</v>
      </c>
      <c r="D90" s="54" t="str">
        <f>IF(C90="",IF(AND(A90&gt;='[1]Cost Summary'!$C$26,A90&lt;='[1]Cost Summary'!$D$26),"Construction",D44),"Routine Maintenance")</f>
        <v>Routine Maintenance</v>
      </c>
      <c r="E90" s="55">
        <f t="shared" si="18"/>
        <v>0</v>
      </c>
      <c r="F90" s="55"/>
      <c r="H90" s="39">
        <f>IF(AND(A90&gt;='[1]Cost Summary'!$C$26,A90&lt;='[1]Cost Summary'!$D$26),$J$184/IF('[1]Cost Summary'!$D$26='[1]Cost Summary'!$C$26,1,'[1]Cost Summary'!$D$26-'[1]Cost Summary'!$C$26)*(1+$H$5)^(A90-$H$6),0)</f>
        <v>0</v>
      </c>
      <c r="I90" s="55">
        <f>IF(AND($A44&gt;=$H$7,$A44&lt;=$H$8),IFERROR('[1]State of Good Repair AP-CP'!$B$26*$C$108*B90*(1-$J$108)*VLOOKUP($E$108,$B$150:$D$152,3,0)*(HLOOKUP(C90,$E$149:$I$155,$O$150,0)-1)/100,0)+IFERROR('[1]State of Good Repair AP-CP'!$B$26*$C$109*B90*(1-$J$109)*VLOOKUP($E$109,$B$150:$D$152,3,0)*(HLOOKUP(C90,$E$149:$I$155,$O$151,0)-1)/100,0),0)</f>
        <v>0</v>
      </c>
      <c r="J90" s="55">
        <f>IF(AND($A44&gt;=$H$7,$A44&lt;=$H$8),IFERROR('[1]State of Good Repair AP-CP'!$B$26*$C$108*B90*$J$108*VLOOKUP($E$108,$B$153:$D$155,3,0)*(HLOOKUP(C90,$E$149:$I$155,$P$150,0)-1)/100,0)+IFERROR('[1]State of Good Repair AP-CP'!$B$26*$C$109*B90*$J$109*VLOOKUP($E$109,$B$153:$D$155,3,0)*(HLOOKUP(C90,$E$149:$I$155,$P$151,0)-1)/100,0),0)</f>
        <v>0</v>
      </c>
      <c r="K90" s="55">
        <f t="shared" si="19"/>
        <v>0</v>
      </c>
      <c r="M90" s="8"/>
    </row>
    <row r="91" spans="1:13" x14ac:dyDescent="0.3">
      <c r="A91" s="77">
        <f>'[1]Major Assumption Key'!A50</f>
        <v>2051</v>
      </c>
      <c r="B91" s="39">
        <f t="shared" si="17"/>
        <v>5275.2805270998251</v>
      </c>
      <c r="C91" s="54" t="str" cm="1">
        <f t="array" ref="C91">IF(A91-$H$9&lt;0,"",INDEX('[1]Life Cycle of Rehabilitation'!$C$19:$C$73,A91-$H$9+1,0))</f>
        <v>Good</v>
      </c>
      <c r="D91" s="54" t="str">
        <f>IF(C91="",IF(AND(A91&gt;='[1]Cost Summary'!$C$26,A91&lt;='[1]Cost Summary'!$D$26),"Construction",D45),"Routine Maintenance")</f>
        <v>Routine Maintenance</v>
      </c>
      <c r="E91" s="55">
        <f t="shared" si="18"/>
        <v>0</v>
      </c>
      <c r="F91" s="55"/>
      <c r="H91" s="39">
        <f>IF(AND(A91&gt;='[1]Cost Summary'!$C$26,A91&lt;='[1]Cost Summary'!$D$26),$J$184/IF('[1]Cost Summary'!$D$26='[1]Cost Summary'!$C$26,1,'[1]Cost Summary'!$D$26-'[1]Cost Summary'!$C$26)*(1+$H$5)^(A91-$H$6),0)</f>
        <v>0</v>
      </c>
      <c r="I91" s="55">
        <f>IF(AND($A45&gt;=$H$7,$A45&lt;=$H$8),IFERROR('[1]State of Good Repair AP-CP'!$B$26*$C$108*B91*(1-$J$108)*VLOOKUP($E$108,$B$150:$D$152,3,0)*(HLOOKUP(C91,$E$149:$I$155,$O$150,0)-1)/100,0)+IFERROR('[1]State of Good Repair AP-CP'!$B$26*$C$109*B91*(1-$J$109)*VLOOKUP($E$109,$B$150:$D$152,3,0)*(HLOOKUP(C91,$E$149:$I$155,$O$151,0)-1)/100,0),0)</f>
        <v>0</v>
      </c>
      <c r="J91" s="55">
        <f>IF(AND($A45&gt;=$H$7,$A45&lt;=$H$8),IFERROR('[1]State of Good Repair AP-CP'!$B$26*$C$108*B91*$J$108*VLOOKUP($E$108,$B$153:$D$155,3,0)*(HLOOKUP(C91,$E$149:$I$155,$P$150,0)-1)/100,0)+IFERROR('[1]State of Good Repair AP-CP'!$B$26*$C$109*B91*$J$109*VLOOKUP($E$109,$B$153:$D$155,3,0)*(HLOOKUP(C91,$E$149:$I$155,$P$151,0)-1)/100,0),0)</f>
        <v>0</v>
      </c>
      <c r="K91" s="55">
        <f t="shared" si="19"/>
        <v>0</v>
      </c>
      <c r="M91" s="8"/>
    </row>
    <row r="92" spans="1:13" x14ac:dyDescent="0.3">
      <c r="A92" s="77">
        <f>'[1]Major Assumption Key'!A51</f>
        <v>2052</v>
      </c>
      <c r="B92" s="39">
        <f t="shared" si="17"/>
        <v>5364.8730678007523</v>
      </c>
      <c r="C92" s="54" t="str" cm="1">
        <f t="array" ref="C92">IF(A92-$H$9&lt;0,"",INDEX('[1]Life Cycle of Rehabilitation'!$C$19:$C$73,A92-$H$9+1,0))</f>
        <v>Good</v>
      </c>
      <c r="D92" s="54" t="str">
        <f>IF(C92="",IF(AND(A92&gt;='[1]Cost Summary'!$C$26,A92&lt;='[1]Cost Summary'!$D$26),"Construction",D46),"Routine Maintenance")</f>
        <v>Routine Maintenance</v>
      </c>
      <c r="E92" s="55">
        <f t="shared" si="18"/>
        <v>0</v>
      </c>
      <c r="F92" s="55"/>
      <c r="H92" s="39">
        <f>IF(AND(A92&gt;='[1]Cost Summary'!$C$26,A92&lt;='[1]Cost Summary'!$D$26),$J$184/IF('[1]Cost Summary'!$D$26='[1]Cost Summary'!$C$26,1,'[1]Cost Summary'!$D$26-'[1]Cost Summary'!$C$26)*(1+$H$5)^(A92-$H$6),0)</f>
        <v>0</v>
      </c>
      <c r="I92" s="55">
        <f>IF(AND($A46&gt;=$H$7,$A46&lt;=$H$8),IFERROR('[1]State of Good Repair AP-CP'!$B$26*$C$108*B92*(1-$J$108)*VLOOKUP($E$108,$B$150:$D$152,3,0)*(HLOOKUP(C92,$E$149:$I$155,$O$150,0)-1)/100,0)+IFERROR('[1]State of Good Repair AP-CP'!$B$26*$C$109*B92*(1-$J$109)*VLOOKUP($E$109,$B$150:$D$152,3,0)*(HLOOKUP(C92,$E$149:$I$155,$O$151,0)-1)/100,0),0)</f>
        <v>0</v>
      </c>
      <c r="J92" s="55">
        <f>IF(AND($A46&gt;=$H$7,$A46&lt;=$H$8),IFERROR('[1]State of Good Repair AP-CP'!$B$26*$C$108*B92*$J$108*VLOOKUP($E$108,$B$153:$D$155,3,0)*(HLOOKUP(C92,$E$149:$I$155,$P$150,0)-1)/100,0)+IFERROR('[1]State of Good Repair AP-CP'!$B$26*$C$109*B92*$J$109*VLOOKUP($E$109,$B$153:$D$155,3,0)*(HLOOKUP(C92,$E$149:$I$155,$P$151,0)-1)/100,0),0)</f>
        <v>0</v>
      </c>
      <c r="K92" s="55">
        <f t="shared" si="19"/>
        <v>0</v>
      </c>
      <c r="M92" s="8"/>
    </row>
    <row r="93" spans="1:13" x14ac:dyDescent="0.3">
      <c r="A93" s="77">
        <f>'[1]Major Assumption Key'!A52</f>
        <v>2053</v>
      </c>
      <c r="B93" s="39">
        <f t="shared" si="17"/>
        <v>5455.987200255523</v>
      </c>
      <c r="C93" s="54" t="str" cm="1">
        <f t="array" ref="C93">IF(A93-$H$9&lt;0,"",INDEX('[1]Life Cycle of Rehabilitation'!$C$19:$C$73,A93-$H$9+1,0))</f>
        <v>Good</v>
      </c>
      <c r="D93" s="54" t="str">
        <f>IF(C93="",IF(AND(A93&gt;='[1]Cost Summary'!$C$26,A93&lt;='[1]Cost Summary'!$D$26),"Construction",D47),"Routine Maintenance")</f>
        <v>Routine Maintenance</v>
      </c>
      <c r="E93" s="55">
        <f t="shared" si="18"/>
        <v>0</v>
      </c>
      <c r="F93" s="55"/>
      <c r="H93" s="39">
        <f>IF(AND(A93&gt;='[1]Cost Summary'!$C$26,A93&lt;='[1]Cost Summary'!$D$26),$J$184/IF('[1]Cost Summary'!$D$26='[1]Cost Summary'!$C$26,1,'[1]Cost Summary'!$D$26-'[1]Cost Summary'!$C$26)*(1+$H$5)^(A93-$H$6),0)</f>
        <v>0</v>
      </c>
      <c r="I93" s="55">
        <f>IF(AND($A47&gt;=$H$7,$A47&lt;=$H$8),IFERROR('[1]State of Good Repair AP-CP'!$B$26*$C$108*B93*(1-$J$108)*VLOOKUP($E$108,$B$150:$D$152,3,0)*(HLOOKUP(C93,$E$149:$I$155,$O$150,0)-1)/100,0)+IFERROR('[1]State of Good Repair AP-CP'!$B$26*$C$109*B93*(1-$J$109)*VLOOKUP($E$109,$B$150:$D$152,3,0)*(HLOOKUP(C93,$E$149:$I$155,$O$151,0)-1)/100,0),0)</f>
        <v>0</v>
      </c>
      <c r="J93" s="55">
        <f>IF(AND($A47&gt;=$H$7,$A47&lt;=$H$8),IFERROR('[1]State of Good Repair AP-CP'!$B$26*$C$108*B93*$J$108*VLOOKUP($E$108,$B$153:$D$155,3,0)*(HLOOKUP(C93,$E$149:$I$155,$P$150,0)-1)/100,0)+IFERROR('[1]State of Good Repair AP-CP'!$B$26*$C$109*B93*$J$109*VLOOKUP($E$109,$B$153:$D$155,3,0)*(HLOOKUP(C93,$E$149:$I$155,$P$151,0)-1)/100,0),0)</f>
        <v>0</v>
      </c>
      <c r="K93" s="55">
        <f t="shared" si="19"/>
        <v>0</v>
      </c>
      <c r="M93" s="8"/>
    </row>
    <row r="94" spans="1:13" x14ac:dyDescent="0.3">
      <c r="A94" s="77">
        <f>'[1]Major Assumption Key'!A53</f>
        <v>2054</v>
      </c>
      <c r="B94" s="39">
        <f t="shared" si="17"/>
        <v>5548.6487663640009</v>
      </c>
      <c r="C94" s="54" t="str" cm="1">
        <f t="array" ref="C94">IF(A94-$H$9&lt;0,"",INDEX('[1]Life Cycle of Rehabilitation'!$C$19:$C$73,A94-$H$9+1,0))</f>
        <v>Good</v>
      </c>
      <c r="D94" s="54" t="str">
        <f>IF(C94="",IF(AND(A94&gt;='[1]Cost Summary'!$C$26,A94&lt;='[1]Cost Summary'!$D$26),"Construction",D48),"Routine Maintenance")</f>
        <v>Routine Maintenance</v>
      </c>
      <c r="E94" s="55">
        <f t="shared" si="18"/>
        <v>0</v>
      </c>
      <c r="F94" s="55"/>
      <c r="H94" s="39">
        <f>IF(AND(A94&gt;='[1]Cost Summary'!$C$26,A94&lt;='[1]Cost Summary'!$D$26),$J$184/IF('[1]Cost Summary'!$D$26='[1]Cost Summary'!$C$26,1,'[1]Cost Summary'!$D$26-'[1]Cost Summary'!$C$26)*(1+$H$5)^(A94-$H$6),0)</f>
        <v>0</v>
      </c>
      <c r="I94" s="55">
        <f>IF(AND($A48&gt;=$H$7,$A48&lt;=$H$8),IFERROR('[1]State of Good Repair AP-CP'!$B$26*$C$108*B94*(1-$J$108)*VLOOKUP($E$108,$B$150:$D$152,3,0)*(HLOOKUP(C94,$E$149:$I$155,$O$150,0)-1)/100,0)+IFERROR('[1]State of Good Repair AP-CP'!$B$26*$C$109*B94*(1-$J$109)*VLOOKUP($E$109,$B$150:$D$152,3,0)*(HLOOKUP(C94,$E$149:$I$155,$O$151,0)-1)/100,0),0)</f>
        <v>0</v>
      </c>
      <c r="J94" s="55">
        <f>IF(AND($A48&gt;=$H$7,$A48&lt;=$H$8),IFERROR('[1]State of Good Repair AP-CP'!$B$26*$C$108*B94*$J$108*VLOOKUP($E$108,$B$153:$D$155,3,0)*(HLOOKUP(C94,$E$149:$I$155,$P$150,0)-1)/100,0)+IFERROR('[1]State of Good Repair AP-CP'!$B$26*$C$109*B94*$J$109*VLOOKUP($E$109,$B$153:$D$155,3,0)*(HLOOKUP(C94,$E$149:$I$155,$P$151,0)-1)/100,0),0)</f>
        <v>0</v>
      </c>
      <c r="K94" s="55">
        <f t="shared" si="19"/>
        <v>0</v>
      </c>
      <c r="M94" s="8"/>
    </row>
    <row r="95" spans="1:13" x14ac:dyDescent="0.3">
      <c r="A95" s="77">
        <f>'[1]Major Assumption Key'!A54</f>
        <v>2055</v>
      </c>
      <c r="B95" s="39">
        <f t="shared" si="17"/>
        <v>5642.8840469110455</v>
      </c>
      <c r="C95" s="54" t="str" cm="1">
        <f t="array" ref="C95">IF(A95-$H$9&lt;0,"",INDEX('[1]Life Cycle of Rehabilitation'!$C$19:$C$73,A95-$H$9+1,0))</f>
        <v>Fair</v>
      </c>
      <c r="D95" s="54" t="str">
        <f>IF(C95="",IF(AND(A95&gt;='[1]Cost Summary'!$C$26,A95&lt;='[1]Cost Summary'!$D$26),"Construction",D49),"Routine Maintenance")</f>
        <v>Routine Maintenance</v>
      </c>
      <c r="E95" s="55">
        <f t="shared" si="18"/>
        <v>0</v>
      </c>
      <c r="F95" s="55"/>
      <c r="H95" s="39">
        <f>IF(AND(A95&gt;='[1]Cost Summary'!$C$26,A95&lt;='[1]Cost Summary'!$D$26),$J$184/IF('[1]Cost Summary'!$D$26='[1]Cost Summary'!$C$26,1,'[1]Cost Summary'!$D$26-'[1]Cost Summary'!$C$26)*(1+$H$5)^(A95-$H$6),0)</f>
        <v>0</v>
      </c>
      <c r="I95" s="55">
        <f>IF(AND($A49&gt;=$H$7,$A49&lt;=$H$8),IFERROR('[1]State of Good Repair AP-CP'!$B$26*$C$108*B95*(1-$J$108)*VLOOKUP($E$108,$B$150:$D$152,3,0)*(HLOOKUP(C95,$E$149:$I$155,$O$150,0)-1)/100,0)+IFERROR('[1]State of Good Repair AP-CP'!$B$26*$C$109*B95*(1-$J$109)*VLOOKUP($E$109,$B$150:$D$152,3,0)*(HLOOKUP(C95,$E$149:$I$155,$O$151,0)-1)/100,0),0)</f>
        <v>0</v>
      </c>
      <c r="J95" s="55">
        <f>IF(AND($A49&gt;=$H$7,$A49&lt;=$H$8),IFERROR('[1]State of Good Repair AP-CP'!$B$26*$C$108*B95*$J$108*VLOOKUP($E$108,$B$153:$D$155,3,0)*(HLOOKUP(C95,$E$149:$I$155,$P$150,0)-1)/100,0)+IFERROR('[1]State of Good Repair AP-CP'!$B$26*$C$109*B95*$J$109*VLOOKUP($E$109,$B$153:$D$155,3,0)*(HLOOKUP(C95,$E$149:$I$155,$P$151,0)-1)/100,0),0)</f>
        <v>0</v>
      </c>
      <c r="K95" s="55">
        <f t="shared" si="19"/>
        <v>0</v>
      </c>
      <c r="M95" s="8"/>
    </row>
    <row r="96" spans="1:13" x14ac:dyDescent="0.3">
      <c r="A96" s="77">
        <f>'[1]Major Assumption Key'!A55</f>
        <v>2056</v>
      </c>
      <c r="B96" s="39">
        <f t="shared" si="17"/>
        <v>5738.7197690202984</v>
      </c>
      <c r="C96" s="54" t="str" cm="1">
        <f t="array" ref="C96">IF(A96-$H$9&lt;0,"",INDEX('[1]Life Cycle of Rehabilitation'!$C$19:$C$73,A96-$H$9+1,0))</f>
        <v>Fair</v>
      </c>
      <c r="D96" s="54" t="str">
        <f>IF(C96="",IF(AND(A96&gt;='[1]Cost Summary'!$C$26,A96&lt;='[1]Cost Summary'!$D$26),"Construction",D50),"Routine Maintenance")</f>
        <v>Routine Maintenance</v>
      </c>
      <c r="E96" s="55">
        <f t="shared" si="18"/>
        <v>0</v>
      </c>
      <c r="F96" s="55"/>
      <c r="H96" s="39">
        <f>IF(AND(A96&gt;='[1]Cost Summary'!$C$26,A96&lt;='[1]Cost Summary'!$D$26),$J$184/IF('[1]Cost Summary'!$D$26='[1]Cost Summary'!$C$26,1,'[1]Cost Summary'!$D$26-'[1]Cost Summary'!$C$26)*(1+$H$5)^(A96-$H$6),0)</f>
        <v>0</v>
      </c>
      <c r="I96" s="55">
        <f>IF(AND($A50&gt;=$H$7,$A50&lt;=$H$8),IFERROR('[1]State of Good Repair AP-CP'!$B$26*$C$108*B96*(1-$J$108)*VLOOKUP($E$108,$B$150:$D$152,3,0)*(HLOOKUP(C96,$E$149:$I$155,$O$150,0)-1)/100,0)+IFERROR('[1]State of Good Repair AP-CP'!$B$26*$C$109*B96*(1-$J$109)*VLOOKUP($E$109,$B$150:$D$152,3,0)*(HLOOKUP(C96,$E$149:$I$155,$O$151,0)-1)/100,0),0)</f>
        <v>0</v>
      </c>
      <c r="J96" s="55">
        <f>IF(AND($A50&gt;=$H$7,$A50&lt;=$H$8),IFERROR('[1]State of Good Repair AP-CP'!$B$26*$C$108*B96*$J$108*VLOOKUP($E$108,$B$153:$D$155,3,0)*(HLOOKUP(C96,$E$149:$I$155,$P$150,0)-1)/100,0)+IFERROR('[1]State of Good Repair AP-CP'!$B$26*$C$109*B96*$J$109*VLOOKUP($E$109,$B$153:$D$155,3,0)*(HLOOKUP(C96,$E$149:$I$155,$P$151,0)-1)/100,0),0)</f>
        <v>0</v>
      </c>
      <c r="K96" s="55">
        <f t="shared" si="19"/>
        <v>0</v>
      </c>
      <c r="M96" s="8"/>
    </row>
    <row r="97" spans="1:16" x14ac:dyDescent="0.3">
      <c r="A97" s="77">
        <f>'[1]Major Assumption Key'!A56</f>
        <v>2057</v>
      </c>
      <c r="B97" s="39">
        <f t="shared" si="17"/>
        <v>5836.1831137345598</v>
      </c>
      <c r="C97" s="54" t="str" cm="1">
        <f t="array" ref="C97">IF(A97-$H$9&lt;0,"",INDEX('[1]Life Cycle of Rehabilitation'!$C$19:$C$73,A97-$H$9+1,0))</f>
        <v>Fair</v>
      </c>
      <c r="D97" s="54" t="str">
        <f>IF(C97="",IF(AND(A97&gt;='[1]Cost Summary'!$C$26,A97&lt;='[1]Cost Summary'!$D$26),"Construction",D51),"Routine Maintenance")</f>
        <v>Routine Maintenance</v>
      </c>
      <c r="E97" s="55">
        <f t="shared" si="18"/>
        <v>0</v>
      </c>
      <c r="F97" s="55"/>
      <c r="H97" s="39">
        <f>IF(AND(A97&gt;='[1]Cost Summary'!$C$26,A97&lt;='[1]Cost Summary'!$D$26),$J$184/IF('[1]Cost Summary'!$D$26='[1]Cost Summary'!$C$26,1,'[1]Cost Summary'!$D$26-'[1]Cost Summary'!$C$26)*(1+$H$5)^(A97-$H$6),0)</f>
        <v>0</v>
      </c>
      <c r="I97" s="55">
        <f>IF(AND($A51&gt;=$H$7,$A51&lt;=$H$8),IFERROR('[1]State of Good Repair AP-CP'!$B$26*$C$108*B97*(1-$J$108)*VLOOKUP($E$108,$B$150:$D$152,3,0)*(HLOOKUP(C97,$E$149:$I$155,$O$150,0)-1)/100,0)+IFERROR('[1]State of Good Repair AP-CP'!$B$26*$C$109*B97*(1-$J$109)*VLOOKUP($E$109,$B$150:$D$152,3,0)*(HLOOKUP(C97,$E$149:$I$155,$O$151,0)-1)/100,0),0)</f>
        <v>0</v>
      </c>
      <c r="J97" s="55">
        <f>IF(AND($A51&gt;=$H$7,$A51&lt;=$H$8),IFERROR('[1]State of Good Repair AP-CP'!$B$26*$C$108*B97*$J$108*VLOOKUP($E$108,$B$153:$D$155,3,0)*(HLOOKUP(C97,$E$149:$I$155,$P$150,0)-1)/100,0)+IFERROR('[1]State of Good Repair AP-CP'!$B$26*$C$109*B97*$J$109*VLOOKUP($E$109,$B$153:$D$155,3,0)*(HLOOKUP(C97,$E$149:$I$155,$P$151,0)-1)/100,0),0)</f>
        <v>0</v>
      </c>
      <c r="K97" s="55">
        <f t="shared" si="19"/>
        <v>0</v>
      </c>
      <c r="M97" s="8"/>
    </row>
    <row r="98" spans="1:16" x14ac:dyDescent="0.3">
      <c r="A98" s="77">
        <f>'[1]Major Assumption Key'!A57</f>
        <v>2058</v>
      </c>
      <c r="B98" s="39">
        <f t="shared" si="17"/>
        <v>5935.301723724916</v>
      </c>
      <c r="C98" s="54" t="str" cm="1">
        <f t="array" ref="C98">IF(A98-$H$9&lt;0,"",INDEX('[1]Life Cycle of Rehabilitation'!$C$19:$C$73,A98-$H$9+1,0))</f>
        <v>Fair</v>
      </c>
      <c r="D98" s="54" t="str">
        <f>IF(C98="",IF(AND(A98&gt;='[1]Cost Summary'!$C$26,A98&lt;='[1]Cost Summary'!$D$26),"Construction",D52),"Routine Maintenance")</f>
        <v>Routine Maintenance</v>
      </c>
      <c r="E98" s="55">
        <f t="shared" si="18"/>
        <v>0</v>
      </c>
      <c r="F98" s="55"/>
      <c r="H98" s="39">
        <f>IF(AND(A98&gt;='[1]Cost Summary'!$C$26,A98&lt;='[1]Cost Summary'!$D$26),$J$184/IF('[1]Cost Summary'!$D$26='[1]Cost Summary'!$C$26,1,'[1]Cost Summary'!$D$26-'[1]Cost Summary'!$C$26)*(1+$H$5)^(A98-$H$6),0)</f>
        <v>0</v>
      </c>
      <c r="I98" s="55">
        <f>IF(AND($A52&gt;=$H$7,$A52&lt;=$H$8),IFERROR('[1]State of Good Repair AP-CP'!$B$26*$C$108*B98*(1-$J$108)*VLOOKUP($E$108,$B$150:$D$152,3,0)*(HLOOKUP(C98,$E$149:$I$155,$O$150,0)-1)/100,0)+IFERROR('[1]State of Good Repair AP-CP'!$B$26*$C$109*B98*(1-$J$109)*VLOOKUP($E$109,$B$150:$D$152,3,0)*(HLOOKUP(C98,$E$149:$I$155,$O$151,0)-1)/100,0),0)</f>
        <v>0</v>
      </c>
      <c r="J98" s="55">
        <f>IF(AND($A52&gt;=$H$7,$A52&lt;=$H$8),IFERROR('[1]State of Good Repair AP-CP'!$B$26*$C$108*B98*$J$108*VLOOKUP($E$108,$B$153:$D$155,3,0)*(HLOOKUP(C98,$E$149:$I$155,$P$150,0)-1)/100,0)+IFERROR('[1]State of Good Repair AP-CP'!$B$26*$C$109*B98*$J$109*VLOOKUP($E$109,$B$153:$D$155,3,0)*(HLOOKUP(C98,$E$149:$I$155,$P$151,0)-1)/100,0),0)</f>
        <v>0</v>
      </c>
      <c r="K98" s="55">
        <f t="shared" si="19"/>
        <v>0</v>
      </c>
      <c r="M98" s="8"/>
    </row>
    <row r="99" spans="1:16" x14ac:dyDescent="0.3">
      <c r="A99" s="77">
        <f>'[1]Major Assumption Key'!A58</f>
        <v>2059</v>
      </c>
      <c r="B99" s="39">
        <f t="shared" si="17"/>
        <v>6036.1037111307778</v>
      </c>
      <c r="C99" s="54" t="str" cm="1">
        <f t="array" ref="C99">IF(A99-$H$9&lt;0,"",INDEX('[1]Life Cycle of Rehabilitation'!$C$19:$C$73,A99-$H$9+1,0))</f>
        <v>Fair</v>
      </c>
      <c r="D99" s="54" t="str">
        <f>IF(C99="",IF(AND(A99&gt;='[1]Cost Summary'!$C$26,A99&lt;='[1]Cost Summary'!$D$26),"Construction",D53),"Routine Maintenance")</f>
        <v>Routine Maintenance</v>
      </c>
      <c r="E99" s="55">
        <f t="shared" si="18"/>
        <v>0</v>
      </c>
      <c r="F99" s="55"/>
      <c r="H99" s="39">
        <f>IF(AND(A99&gt;='[1]Cost Summary'!$C$26,A99&lt;='[1]Cost Summary'!$D$26),$J$184/IF('[1]Cost Summary'!$D$26='[1]Cost Summary'!$C$26,1,'[1]Cost Summary'!$D$26-'[1]Cost Summary'!$C$26)*(1+$H$5)^(A99-$H$6),0)</f>
        <v>0</v>
      </c>
      <c r="I99" s="55">
        <f>IF(AND($A53&gt;=$H$7,$A53&lt;=$H$8),IFERROR('[1]State of Good Repair AP-CP'!$B$26*$C$108*B99*(1-$J$108)*VLOOKUP($E$108,$B$150:$D$152,3,0)*(HLOOKUP(C99,$E$149:$I$155,$O$150,0)-1)/100,0)+IFERROR('[1]State of Good Repair AP-CP'!$B$26*$C$109*B99*(1-$J$109)*VLOOKUP($E$109,$B$150:$D$152,3,0)*(HLOOKUP(C99,$E$149:$I$155,$O$151,0)-1)/100,0),0)</f>
        <v>0</v>
      </c>
      <c r="J99" s="55">
        <f>IF(AND($A53&gt;=$H$7,$A53&lt;=$H$8),IFERROR('[1]State of Good Repair AP-CP'!$B$26*$C$108*B99*$J$108*VLOOKUP($E$108,$B$153:$D$155,3,0)*(HLOOKUP(C99,$E$149:$I$155,$P$150,0)-1)/100,0)+IFERROR('[1]State of Good Repair AP-CP'!$B$26*$C$109*B99*$J$109*VLOOKUP($E$109,$B$153:$D$155,3,0)*(HLOOKUP(C99,$E$149:$I$155,$P$151,0)-1)/100,0),0)</f>
        <v>0</v>
      </c>
      <c r="K99" s="55">
        <f t="shared" si="19"/>
        <v>0</v>
      </c>
      <c r="M99" s="8"/>
    </row>
    <row r="100" spans="1:16" x14ac:dyDescent="0.3">
      <c r="A100" s="77">
        <f>'[1]Major Assumption Key'!A59</f>
        <v>2060</v>
      </c>
      <c r="B100" s="39">
        <f t="shared" si="17"/>
        <v>6138.6176655330864</v>
      </c>
      <c r="C100" s="54" t="str" cm="1">
        <f t="array" ref="C100">IF(A100-$H$9&lt;0,"",INDEX('[1]Life Cycle of Rehabilitation'!$C$19:$C$73,A100-$H$9+1,0))</f>
        <v>Fair</v>
      </c>
      <c r="D100" s="54" t="str">
        <f>IF(C100="",IF(AND(A100&gt;='[1]Cost Summary'!$C$26,A100&lt;='[1]Cost Summary'!$D$26),"Construction",D54),"Routine Maintenance")</f>
        <v>Routine Maintenance</v>
      </c>
      <c r="E100" s="55">
        <f t="shared" si="18"/>
        <v>0</v>
      </c>
      <c r="F100" s="55"/>
      <c r="H100" s="39">
        <f>IF(AND(A100&gt;='[1]Cost Summary'!$C$26,A100&lt;='[1]Cost Summary'!$D$26),$J$184/IF('[1]Cost Summary'!$D$26='[1]Cost Summary'!$C$26,1,'[1]Cost Summary'!$D$26-'[1]Cost Summary'!$C$26)*(1+$H$5)^(A100-$H$6),0)</f>
        <v>0</v>
      </c>
      <c r="I100" s="55">
        <f>IF(AND($A54&gt;=$H$7,$A54&lt;=$H$8),IFERROR('[1]State of Good Repair AP-CP'!$B$26*$C$108*B100*(1-$J$108)*VLOOKUP($E$108,$B$150:$D$152,3,0)*(HLOOKUP(C100,$E$149:$I$155,$O$150,0)-1)/100,0)+IFERROR('[1]State of Good Repair AP-CP'!$B$26*$C$109*B100*(1-$J$109)*VLOOKUP($E$109,$B$150:$D$152,3,0)*(HLOOKUP(C100,$E$149:$I$155,$O$151,0)-1)/100,0),0)</f>
        <v>0</v>
      </c>
      <c r="J100" s="55">
        <f>IF(AND($A54&gt;=$H$7,$A54&lt;=$H$8),IFERROR('[1]State of Good Repair AP-CP'!$B$26*$C$108*B100*$J$108*VLOOKUP($E$108,$B$153:$D$155,3,0)*(HLOOKUP(C100,$E$149:$I$155,$P$150,0)-1)/100,0)+IFERROR('[1]State of Good Repair AP-CP'!$B$26*$C$109*B100*$J$109*VLOOKUP($E$109,$B$153:$D$155,3,0)*(HLOOKUP(C100,$E$149:$I$155,$P$151,0)-1)/100,0),0)</f>
        <v>0</v>
      </c>
      <c r="K100" s="55">
        <f t="shared" si="19"/>
        <v>0</v>
      </c>
      <c r="M100" s="8"/>
    </row>
    <row r="101" spans="1:16" x14ac:dyDescent="0.3">
      <c r="A101" s="81" t="s">
        <v>27</v>
      </c>
      <c r="B101" s="79"/>
      <c r="C101" s="80"/>
      <c r="D101" s="80"/>
      <c r="E101" s="56">
        <f>SUMIFS(E$60:E$100,$A$60:$A$100,"&gt;="&amp;$H$7,$A$60:$A$100,"&lt;="&amp;$H$8)</f>
        <v>138038.2575967251</v>
      </c>
      <c r="F101" s="56">
        <f t="shared" ref="F101:J101" si="20">SUMIFS(F$60:F$100,$A$60:$A$100,"&gt;="&amp;$H$7,$A$60:$A$100,"&lt;="&amp;$H$8)</f>
        <v>0</v>
      </c>
      <c r="G101" s="56">
        <f t="shared" si="20"/>
        <v>0</v>
      </c>
      <c r="H101" s="56">
        <f>SUM(H60:H100)</f>
        <v>222961.45273031743</v>
      </c>
      <c r="I101" s="56">
        <f t="shared" si="20"/>
        <v>25438.518342127056</v>
      </c>
      <c r="J101" s="56">
        <f t="shared" si="20"/>
        <v>8936.5099985296911</v>
      </c>
      <c r="K101" s="56">
        <f>SUMIFS(K$60:K$100,$A$60:$A$100,"&gt;="&amp;$H$7,$A$60:$A$100,"&lt;="&amp;$H$8)</f>
        <v>34375.028340656747</v>
      </c>
      <c r="M101" s="8"/>
    </row>
    <row r="102" spans="1:16" x14ac:dyDescent="0.3">
      <c r="A102" s="82"/>
      <c r="B102" s="83"/>
      <c r="C102" s="84"/>
      <c r="D102" s="84"/>
      <c r="E102" s="85"/>
      <c r="F102" s="85"/>
      <c r="G102" s="85"/>
      <c r="H102" s="85"/>
      <c r="I102" s="85"/>
      <c r="J102" s="85"/>
      <c r="K102" s="85"/>
      <c r="M102" s="8"/>
    </row>
    <row r="103" spans="1:16" x14ac:dyDescent="0.3">
      <c r="M103" s="8"/>
    </row>
    <row r="104" spans="1:16" x14ac:dyDescent="0.3">
      <c r="A104" s="11" t="s">
        <v>248</v>
      </c>
      <c r="B104" s="12"/>
      <c r="C104" s="13"/>
      <c r="M104" s="8"/>
    </row>
    <row r="105" spans="1:16" x14ac:dyDescent="0.3">
      <c r="D105" s="8"/>
      <c r="M105" s="8"/>
    </row>
    <row r="106" spans="1:16" x14ac:dyDescent="0.3">
      <c r="A106" s="14" t="s">
        <v>66</v>
      </c>
      <c r="H106" s="3" t="s">
        <v>249</v>
      </c>
    </row>
    <row r="107" spans="1:16" x14ac:dyDescent="0.3">
      <c r="A107" s="8" t="s">
        <v>250</v>
      </c>
      <c r="B107" s="5" t="s">
        <v>68</v>
      </c>
      <c r="C107" s="5" t="s">
        <v>71</v>
      </c>
      <c r="D107" s="3" t="s">
        <v>251</v>
      </c>
      <c r="E107" s="3" t="s">
        <v>252</v>
      </c>
      <c r="F107" s="3" t="s">
        <v>253</v>
      </c>
      <c r="G107" s="3" t="s">
        <v>254</v>
      </c>
      <c r="H107" s="3" t="s">
        <v>31</v>
      </c>
      <c r="I107" s="3" t="s">
        <v>255</v>
      </c>
      <c r="J107" s="3" t="s">
        <v>256</v>
      </c>
      <c r="N107" s="3"/>
      <c r="O107" s="3"/>
      <c r="P107" s="3"/>
    </row>
    <row r="108" spans="1:16" x14ac:dyDescent="0.3">
      <c r="A108" s="8" t="str">
        <f>B6</f>
        <v>IH10 to 1H610</v>
      </c>
      <c r="B108" s="5">
        <f>C108*5280</f>
        <v>3643.2</v>
      </c>
      <c r="C108" s="86">
        <f>'[1]Major Assumption Key'!B13</f>
        <v>0.69</v>
      </c>
      <c r="D108" s="3" t="s">
        <v>287</v>
      </c>
      <c r="E108" s="87" t="s">
        <v>56</v>
      </c>
      <c r="F108" s="87">
        <v>4</v>
      </c>
      <c r="G108" s="87">
        <v>12</v>
      </c>
      <c r="H108" s="88">
        <v>2.76</v>
      </c>
      <c r="I108" s="3" t="str">
        <f>IF(G114=5,"Very Good",IF(G114=4,"Good",IF(G114=3,"Fair",IF(G114=2,"Poor","Very Poor"))))</f>
        <v>Good</v>
      </c>
      <c r="J108" s="89">
        <v>0.11799999999999999</v>
      </c>
      <c r="K108" s="89"/>
      <c r="N108" s="3"/>
      <c r="O108" s="3"/>
      <c r="P108" s="3"/>
    </row>
    <row r="109" spans="1:16" x14ac:dyDescent="0.3">
      <c r="C109" s="8"/>
      <c r="D109" s="8"/>
      <c r="E109" s="8"/>
      <c r="F109" s="8"/>
      <c r="G109" s="8"/>
      <c r="H109" s="8"/>
      <c r="I109" s="8"/>
      <c r="J109" s="8"/>
      <c r="K109" s="8"/>
      <c r="M109" s="90"/>
      <c r="N109" s="3"/>
      <c r="O109" s="3"/>
      <c r="P109" s="3"/>
    </row>
    <row r="110" spans="1:16" x14ac:dyDescent="0.3">
      <c r="B110" s="5"/>
      <c r="C110" s="91"/>
      <c r="G110" s="92"/>
      <c r="H110" s="93"/>
      <c r="J110" s="89"/>
      <c r="K110" s="89"/>
      <c r="M110" s="94"/>
      <c r="N110" s="3"/>
    </row>
    <row r="111" spans="1:16" s="3" customFormat="1" x14ac:dyDescent="0.3">
      <c r="A111" s="14" t="s">
        <v>257</v>
      </c>
      <c r="B111" s="8"/>
      <c r="N111" s="8"/>
      <c r="O111" s="8"/>
      <c r="P111" s="8"/>
    </row>
    <row r="112" spans="1:16" s="3" customFormat="1" x14ac:dyDescent="0.3">
      <c r="A112" s="8" t="s">
        <v>258</v>
      </c>
      <c r="B112" s="5" t="s">
        <v>259</v>
      </c>
      <c r="C112" s="3" t="s">
        <v>260</v>
      </c>
      <c r="D112" s="3" t="s">
        <v>261</v>
      </c>
      <c r="E112" s="3" t="s">
        <v>262</v>
      </c>
      <c r="F112" s="3" t="s">
        <v>263</v>
      </c>
      <c r="G112" s="3" t="s">
        <v>264</v>
      </c>
      <c r="N112" s="8"/>
      <c r="O112" s="8"/>
      <c r="P112" s="8"/>
    </row>
    <row r="113" spans="1:16" s="3" customFormat="1" x14ac:dyDescent="0.3">
      <c r="A113" s="8" t="s">
        <v>265</v>
      </c>
      <c r="B113" s="5" t="s">
        <v>45</v>
      </c>
      <c r="C113" s="3" t="s">
        <v>22</v>
      </c>
      <c r="D113" s="3" t="s">
        <v>26</v>
      </c>
      <c r="E113" s="3" t="s">
        <v>25</v>
      </c>
      <c r="F113" s="3" t="s">
        <v>24</v>
      </c>
      <c r="G113" s="3" t="s">
        <v>266</v>
      </c>
      <c r="I113" s="84" t="s">
        <v>267</v>
      </c>
      <c r="N113" s="8"/>
      <c r="O113" s="8"/>
      <c r="P113" s="8"/>
    </row>
    <row r="114" spans="1:16" s="3" customFormat="1" x14ac:dyDescent="0.3">
      <c r="A114" s="8" t="str">
        <f>A6</f>
        <v>Gellhorn</v>
      </c>
      <c r="B114" s="95">
        <v>0</v>
      </c>
      <c r="C114" s="95">
        <v>0</v>
      </c>
      <c r="D114" s="95">
        <v>0</v>
      </c>
      <c r="E114" s="95">
        <v>1</v>
      </c>
      <c r="F114" s="95">
        <v>0</v>
      </c>
      <c r="G114" s="93">
        <f>IFERROR(ROUND((1*B114+2*C114+3*D114+4*E114+5*F114)/SUM(B114:F114),0),0)</f>
        <v>4</v>
      </c>
      <c r="I114" s="96">
        <v>2020</v>
      </c>
      <c r="J114" s="9"/>
      <c r="N114" s="8"/>
      <c r="O114" s="8"/>
      <c r="P114" s="8"/>
    </row>
    <row r="115" spans="1:16" s="3" customFormat="1" x14ac:dyDescent="0.3">
      <c r="A115" s="8" t="str">
        <f>A6</f>
        <v>Gellhorn</v>
      </c>
      <c r="B115" s="95"/>
      <c r="C115" s="87"/>
      <c r="D115" s="87"/>
      <c r="E115" s="87"/>
      <c r="F115" s="87"/>
      <c r="G115" s="93"/>
      <c r="N115" s="8"/>
      <c r="O115" s="8"/>
      <c r="P115" s="8"/>
    </row>
    <row r="116" spans="1:16" s="3" customFormat="1" x14ac:dyDescent="0.3">
      <c r="A116" s="8" t="s">
        <v>268</v>
      </c>
      <c r="B116" s="5"/>
      <c r="D116" s="97"/>
      <c r="E116" s="97"/>
      <c r="F116" s="97"/>
      <c r="G116" s="93"/>
      <c r="N116" s="8"/>
      <c r="O116" s="8"/>
      <c r="P116" s="8"/>
    </row>
    <row r="117" spans="1:16" s="3" customFormat="1" x14ac:dyDescent="0.3">
      <c r="A117" s="8"/>
      <c r="B117" s="5"/>
      <c r="D117" s="90"/>
      <c r="E117" s="90"/>
      <c r="F117" s="90"/>
      <c r="G117" s="93"/>
      <c r="N117" s="8"/>
      <c r="O117" s="8"/>
      <c r="P117" s="8"/>
    </row>
    <row r="119" spans="1:16" s="3" customFormat="1" x14ac:dyDescent="0.3">
      <c r="A119" s="11" t="s">
        <v>30</v>
      </c>
      <c r="B119" s="12"/>
      <c r="C119" s="13"/>
      <c r="N119" s="8"/>
      <c r="O119" s="8"/>
      <c r="P119" s="8"/>
    </row>
    <row r="120" spans="1:16" x14ac:dyDescent="0.3">
      <c r="A120" s="14" t="s">
        <v>31</v>
      </c>
      <c r="B120" s="15" t="s">
        <v>32</v>
      </c>
      <c r="C120" s="16">
        <v>16000</v>
      </c>
    </row>
    <row r="121" spans="1:16" x14ac:dyDescent="0.3">
      <c r="A121" s="14"/>
      <c r="C121" s="17"/>
    </row>
    <row r="122" spans="1:16" x14ac:dyDescent="0.3">
      <c r="A122" s="15" t="s">
        <v>33</v>
      </c>
    </row>
    <row r="124" spans="1:16" x14ac:dyDescent="0.3">
      <c r="A124" s="14" t="s">
        <v>34</v>
      </c>
      <c r="C124" s="10"/>
      <c r="H124" s="84"/>
    </row>
    <row r="125" spans="1:16" ht="13.35" customHeight="1" x14ac:dyDescent="0.3">
      <c r="A125" s="8" t="s">
        <v>35</v>
      </c>
      <c r="B125" s="8" t="s">
        <v>36</v>
      </c>
      <c r="C125" s="18">
        <f>12786100+16544900+81783400</f>
        <v>111114400</v>
      </c>
      <c r="D125" s="9" t="s">
        <v>37</v>
      </c>
      <c r="H125" s="84"/>
      <c r="I125" s="98"/>
      <c r="J125" s="98"/>
      <c r="K125" s="98"/>
      <c r="L125" s="98"/>
      <c r="M125" s="17"/>
    </row>
    <row r="126" spans="1:16" x14ac:dyDescent="0.3">
      <c r="A126" s="8" t="s">
        <v>38</v>
      </c>
      <c r="B126" s="8" t="s">
        <v>36</v>
      </c>
      <c r="C126" s="99">
        <f>C125/C120</f>
        <v>6944.65</v>
      </c>
      <c r="H126" s="84"/>
      <c r="I126" s="98"/>
      <c r="J126" s="98"/>
      <c r="K126" s="98"/>
      <c r="L126" s="98"/>
      <c r="M126" s="17"/>
    </row>
    <row r="127" spans="1:16" x14ac:dyDescent="0.3">
      <c r="C127" s="99"/>
      <c r="H127" s="84"/>
      <c r="I127" s="98"/>
      <c r="J127" s="98"/>
      <c r="K127" s="98"/>
      <c r="L127" s="98"/>
      <c r="M127" s="17"/>
    </row>
    <row r="128" spans="1:16" x14ac:dyDescent="0.3">
      <c r="A128" s="15" t="s">
        <v>39</v>
      </c>
      <c r="C128" s="17"/>
      <c r="H128" s="84"/>
      <c r="I128" s="98"/>
      <c r="J128" s="98"/>
      <c r="K128" s="98"/>
      <c r="L128" s="98"/>
    </row>
    <row r="129" spans="1:16" x14ac:dyDescent="0.3">
      <c r="C129" s="8"/>
      <c r="D129" s="8"/>
    </row>
    <row r="130" spans="1:16" x14ac:dyDescent="0.3">
      <c r="C130" s="8"/>
      <c r="D130" s="8"/>
      <c r="N130" s="3"/>
      <c r="O130" s="3"/>
      <c r="P130" s="3"/>
    </row>
    <row r="131" spans="1:16" x14ac:dyDescent="0.3">
      <c r="A131" s="14" t="s">
        <v>40</v>
      </c>
      <c r="C131" s="8"/>
      <c r="N131" s="3"/>
      <c r="O131" s="3"/>
      <c r="P131" s="3"/>
    </row>
    <row r="132" spans="1:16" x14ac:dyDescent="0.3">
      <c r="A132" s="8" t="str">
        <f>A108</f>
        <v>IH10 to 1H610</v>
      </c>
      <c r="B132" s="100">
        <f>H108</f>
        <v>2.76</v>
      </c>
      <c r="C132" s="101"/>
      <c r="N132" s="3"/>
      <c r="O132" s="3"/>
      <c r="P132" s="3"/>
    </row>
    <row r="133" spans="1:16" x14ac:dyDescent="0.3">
      <c r="A133" s="8">
        <f>A109</f>
        <v>0</v>
      </c>
      <c r="B133" s="100">
        <f>H109</f>
        <v>0</v>
      </c>
      <c r="C133" s="8"/>
      <c r="N133" s="3"/>
      <c r="O133" s="3"/>
      <c r="P133" s="3"/>
    </row>
    <row r="134" spans="1:16" x14ac:dyDescent="0.3">
      <c r="B134" s="102"/>
      <c r="C134" s="8"/>
      <c r="N134" s="3"/>
      <c r="O134" s="3"/>
      <c r="P134" s="3"/>
    </row>
    <row r="135" spans="1:16" x14ac:dyDescent="0.3">
      <c r="A135" s="14" t="s">
        <v>41</v>
      </c>
      <c r="C135" s="101"/>
    </row>
    <row r="136" spans="1:16" x14ac:dyDescent="0.3">
      <c r="A136" s="8" t="s">
        <v>42</v>
      </c>
      <c r="B136" s="101" t="s">
        <v>43</v>
      </c>
      <c r="C136" s="5" t="s">
        <v>44</v>
      </c>
      <c r="D136" s="3" t="str">
        <f>A6</f>
        <v>Gellhorn</v>
      </c>
      <c r="E136" s="5"/>
    </row>
    <row r="137" spans="1:16" x14ac:dyDescent="0.3">
      <c r="A137" s="8" t="s">
        <v>29</v>
      </c>
      <c r="B137" s="103">
        <v>0</v>
      </c>
      <c r="C137" s="19">
        <v>0.24</v>
      </c>
      <c r="D137" s="10">
        <f>ROUND(SUM($B$132:$B$133)*$C$126*B137,0)</f>
        <v>0</v>
      </c>
      <c r="E137" s="10"/>
      <c r="F137" s="10"/>
    </row>
    <row r="138" spans="1:16" x14ac:dyDescent="0.3">
      <c r="A138" s="8" t="s">
        <v>24</v>
      </c>
      <c r="B138" s="103">
        <v>0</v>
      </c>
      <c r="C138" s="19">
        <v>0.4</v>
      </c>
      <c r="D138" s="10">
        <f t="shared" ref="D138:D141" si="21">ROUND(SUM($B$132:$B$133)*$C$126*B138,0)</f>
        <v>0</v>
      </c>
      <c r="E138" s="10"/>
      <c r="F138" s="10"/>
    </row>
    <row r="139" spans="1:16" x14ac:dyDescent="0.3">
      <c r="A139" s="8" t="s">
        <v>25</v>
      </c>
      <c r="B139" s="103">
        <v>0.25</v>
      </c>
      <c r="C139" s="19">
        <v>0.52</v>
      </c>
      <c r="D139" s="10">
        <f t="shared" si="21"/>
        <v>4792</v>
      </c>
      <c r="E139" s="10"/>
      <c r="F139" s="10"/>
    </row>
    <row r="140" spans="1:16" x14ac:dyDescent="0.3">
      <c r="A140" s="8" t="s">
        <v>26</v>
      </c>
      <c r="B140" s="104">
        <v>1</v>
      </c>
      <c r="C140" s="19">
        <v>0.64</v>
      </c>
      <c r="D140" s="10">
        <f t="shared" si="21"/>
        <v>19167</v>
      </c>
      <c r="E140" s="10"/>
      <c r="F140" s="10"/>
    </row>
    <row r="141" spans="1:16" x14ac:dyDescent="0.3">
      <c r="A141" s="8" t="s">
        <v>22</v>
      </c>
      <c r="B141" s="104">
        <v>1.5</v>
      </c>
      <c r="C141" s="19">
        <v>0.8</v>
      </c>
      <c r="D141" s="10">
        <f t="shared" si="21"/>
        <v>28751</v>
      </c>
      <c r="E141" s="10"/>
      <c r="F141" s="10"/>
    </row>
    <row r="142" spans="1:16" x14ac:dyDescent="0.3">
      <c r="A142" s="8" t="s">
        <v>45</v>
      </c>
      <c r="B142" s="104">
        <v>3</v>
      </c>
      <c r="C142" s="19">
        <v>1</v>
      </c>
      <c r="D142" s="10">
        <f>ROUND(SUM($B$132:$B$133)*$C$126*B142,0)</f>
        <v>57502</v>
      </c>
      <c r="E142" s="10"/>
      <c r="F142" s="10"/>
    </row>
    <row r="143" spans="1:16" x14ac:dyDescent="0.3">
      <c r="A143" s="8" t="s">
        <v>46</v>
      </c>
      <c r="C143" s="105"/>
    </row>
    <row r="144" spans="1:16" x14ac:dyDescent="0.3">
      <c r="C144" s="105"/>
    </row>
    <row r="145" spans="1:16" x14ac:dyDescent="0.3">
      <c r="J145" s="106"/>
      <c r="K145" s="106"/>
      <c r="L145" s="8"/>
      <c r="M145" s="8"/>
    </row>
    <row r="146" spans="1:16" x14ac:dyDescent="0.3">
      <c r="A146" s="11" t="s">
        <v>47</v>
      </c>
      <c r="B146" s="12"/>
      <c r="C146" s="13"/>
      <c r="D146" s="107"/>
      <c r="E146" s="106"/>
      <c r="F146" s="106"/>
      <c r="G146" s="106"/>
      <c r="H146" s="106"/>
      <c r="I146" s="106"/>
      <c r="J146" s="106"/>
      <c r="K146" s="106"/>
      <c r="L146" s="8"/>
      <c r="M146" s="8"/>
    </row>
    <row r="147" spans="1:16" ht="43.35" customHeight="1" x14ac:dyDescent="0.3">
      <c r="A147" s="108" t="s">
        <v>48</v>
      </c>
      <c r="B147" s="109" t="s">
        <v>49</v>
      </c>
      <c r="C147" s="110" t="s">
        <v>50</v>
      </c>
      <c r="D147" s="111" t="s">
        <v>51</v>
      </c>
      <c r="E147" s="186" t="s">
        <v>52</v>
      </c>
      <c r="F147" s="187"/>
      <c r="G147" s="187"/>
      <c r="H147" s="187"/>
      <c r="I147" s="188"/>
      <c r="J147" s="106"/>
      <c r="K147" s="106"/>
      <c r="L147" s="8"/>
      <c r="M147" s="8"/>
    </row>
    <row r="148" spans="1:16" x14ac:dyDescent="0.3">
      <c r="A148" s="175" t="s">
        <v>53</v>
      </c>
      <c r="B148" s="176"/>
      <c r="C148" s="176"/>
      <c r="D148" s="177"/>
      <c r="E148" s="110">
        <v>2</v>
      </c>
      <c r="F148" s="110">
        <v>3</v>
      </c>
      <c r="G148" s="110">
        <v>4</v>
      </c>
      <c r="H148" s="110">
        <v>5</v>
      </c>
      <c r="I148" s="110">
        <v>6</v>
      </c>
      <c r="J148" s="106"/>
      <c r="K148" s="106"/>
      <c r="L148" s="171" t="s">
        <v>269</v>
      </c>
      <c r="M148" s="171"/>
      <c r="N148" s="171"/>
      <c r="O148" s="171"/>
      <c r="P148" s="171"/>
    </row>
    <row r="149" spans="1:16" x14ac:dyDescent="0.3">
      <c r="A149" s="175" t="s">
        <v>54</v>
      </c>
      <c r="B149" s="176"/>
      <c r="C149" s="177"/>
      <c r="D149" s="111"/>
      <c r="E149" s="110" t="s">
        <v>24</v>
      </c>
      <c r="F149" s="110" t="s">
        <v>25</v>
      </c>
      <c r="G149" s="110" t="s">
        <v>26</v>
      </c>
      <c r="H149" s="110" t="s">
        <v>22</v>
      </c>
      <c r="I149" s="110" t="s">
        <v>45</v>
      </c>
      <c r="J149" s="106"/>
      <c r="K149" s="106"/>
      <c r="L149" s="8" t="s">
        <v>270</v>
      </c>
      <c r="M149" s="106" t="s">
        <v>251</v>
      </c>
      <c r="N149" s="112" t="s">
        <v>252</v>
      </c>
      <c r="O149" s="112" t="s">
        <v>55</v>
      </c>
      <c r="P149" s="112" t="s">
        <v>59</v>
      </c>
    </row>
    <row r="150" spans="1:16" x14ac:dyDescent="0.3">
      <c r="A150" s="178" t="s">
        <v>55</v>
      </c>
      <c r="B150" s="113" t="s">
        <v>56</v>
      </c>
      <c r="C150" s="114">
        <f>ROUND((14+16.1+16.3)/3,1)</f>
        <v>15.5</v>
      </c>
      <c r="D150" s="115">
        <f>C150*'[1]Major Assumption Key'!$B$68</f>
        <v>21.235000000000003</v>
      </c>
      <c r="E150" s="114">
        <f>ROUND((1.02+1.01+1.02)/3,2)</f>
        <v>1.02</v>
      </c>
      <c r="F150" s="116">
        <f>ROUND((1.04+1.02+1.03)/3,2)</f>
        <v>1.03</v>
      </c>
      <c r="G150" s="116">
        <f>ROUND((1.08+1.05+1.09)/3,2)</f>
        <v>1.07</v>
      </c>
      <c r="H150" s="116">
        <f>ROUND((1.15+1.11+1.2)/3,2)</f>
        <v>1.1499999999999999</v>
      </c>
      <c r="I150" s="116">
        <f>ROUND((1.22+1.18+1.34)/3,2)</f>
        <v>1.25</v>
      </c>
      <c r="J150" s="106"/>
      <c r="K150" s="106"/>
      <c r="L150" s="8" t="str">
        <f>A108</f>
        <v>IH10 to 1H610</v>
      </c>
      <c r="M150" s="106" t="str">
        <f>D108</f>
        <v>CCP</v>
      </c>
      <c r="N150" s="112" t="str">
        <f>E108</f>
        <v>Collector</v>
      </c>
      <c r="O150" s="112">
        <f>IF(N150="Collector",2,IF(N150="Arterial",3,IF(N150="Highway",4,0)))</f>
        <v>2</v>
      </c>
      <c r="P150" s="112">
        <f>IF(N150="Collector",5,IF(N150="Arterial",6,IF(N150="Highway",7,0)))</f>
        <v>5</v>
      </c>
    </row>
    <row r="151" spans="1:16" x14ac:dyDescent="0.3">
      <c r="A151" s="179"/>
      <c r="B151" s="114" t="s">
        <v>57</v>
      </c>
      <c r="C151" s="114">
        <f>ROUND((16.8+20.2+20.8)/3,1)</f>
        <v>19.3</v>
      </c>
      <c r="D151" s="115">
        <f>C151*'[1]Major Assumption Key'!$B$68</f>
        <v>26.441000000000003</v>
      </c>
      <c r="E151" s="114">
        <f>ROUND((1.02+1.01+1.02)/3,2)</f>
        <v>1.02</v>
      </c>
      <c r="F151" s="116">
        <f>ROUND((1.04+1.01+1.03)/3,2)</f>
        <v>1.03</v>
      </c>
      <c r="G151" s="116">
        <f>ROUND((1.08+1.05+1.09)/3,2)</f>
        <v>1.07</v>
      </c>
      <c r="H151" s="116">
        <f>ROUND((1.15+1.11+1.2)/3,2)</f>
        <v>1.1499999999999999</v>
      </c>
      <c r="I151" s="116">
        <f>ROUND((1.22+1.17+1.32)/3,2)</f>
        <v>1.24</v>
      </c>
      <c r="L151" s="8">
        <f>A109</f>
        <v>0</v>
      </c>
      <c r="M151" s="106">
        <f>D109</f>
        <v>0</v>
      </c>
      <c r="N151" s="112">
        <f>E109</f>
        <v>0</v>
      </c>
      <c r="O151" s="112">
        <f>IF(N151="Collector",2,IF(N151="Arterial",3,IF(N151="Highway",4,0)))</f>
        <v>0</v>
      </c>
      <c r="P151" s="112">
        <f>IF(N151="Collector",5,IF(N151="Arterial",6,IF(N151="Highway",7,0)))</f>
        <v>0</v>
      </c>
    </row>
    <row r="152" spans="1:16" x14ac:dyDescent="0.3">
      <c r="A152" s="180"/>
      <c r="B152" s="114" t="s">
        <v>58</v>
      </c>
      <c r="C152" s="114">
        <f>ROUND((21.3+26.5+28.2)/3,1)</f>
        <v>25.3</v>
      </c>
      <c r="D152" s="115">
        <f>C152*'[1]Major Assumption Key'!$B$68</f>
        <v>34.661000000000001</v>
      </c>
      <c r="E152" s="114">
        <f>ROUND((1.02+1.01+1.01)/3,2)</f>
        <v>1.01</v>
      </c>
      <c r="F152" s="116">
        <f>ROUND((1.03+1.01+1.03)/3,2)</f>
        <v>1.02</v>
      </c>
      <c r="G152" s="116">
        <f>ROUND((1.07+1.04+1.08)/3,2)</f>
        <v>1.06</v>
      </c>
      <c r="H152" s="116">
        <f>ROUND((1.14+1.1+1.18)/3,2)</f>
        <v>1.1399999999999999</v>
      </c>
      <c r="I152" s="116">
        <f>ROUND((1.21+1.16+1.29)/3,2)</f>
        <v>1.22</v>
      </c>
      <c r="L152" s="8"/>
      <c r="M152" s="106"/>
      <c r="N152" s="112"/>
      <c r="O152" s="112"/>
      <c r="P152" s="112"/>
    </row>
    <row r="153" spans="1:16" x14ac:dyDescent="0.3">
      <c r="A153" s="178" t="s">
        <v>59</v>
      </c>
      <c r="B153" s="114" t="s">
        <v>56</v>
      </c>
      <c r="C153" s="114">
        <f>ROUND((23.9+57.5)/2,1)</f>
        <v>40.700000000000003</v>
      </c>
      <c r="D153" s="115">
        <f>C153*'[1]Major Assumption Key'!$B$68</f>
        <v>55.759000000000007</v>
      </c>
      <c r="E153" s="114">
        <f>ROUND((1.01+1.02)/2,2)</f>
        <v>1.02</v>
      </c>
      <c r="F153" s="116">
        <f>ROUND((1.02+1.03)/2,2)</f>
        <v>1.03</v>
      </c>
      <c r="G153" s="116">
        <f>ROUND((1.06+1.07)/2,2)</f>
        <v>1.07</v>
      </c>
      <c r="H153" s="116">
        <f>ROUND((1.13+1.13)/2,2)</f>
        <v>1.1299999999999999</v>
      </c>
      <c r="I153" s="116">
        <f>ROUND((1.22+1.19)/2,2)</f>
        <v>1.21</v>
      </c>
    </row>
    <row r="154" spans="1:16" x14ac:dyDescent="0.3">
      <c r="A154" s="179"/>
      <c r="B154" s="114" t="s">
        <v>57</v>
      </c>
      <c r="C154" s="114">
        <f>ROUND((34.6+90.7)/2,1)</f>
        <v>62.7</v>
      </c>
      <c r="D154" s="115">
        <f>C154*'[1]Major Assumption Key'!$B$68</f>
        <v>85.899000000000015</v>
      </c>
      <c r="E154" s="114">
        <f>ROUND((1.01+1.01)/2,2)</f>
        <v>1.01</v>
      </c>
      <c r="F154" s="116">
        <f>ROUND((1.02+1.02)/2,2)</f>
        <v>1.02</v>
      </c>
      <c r="G154" s="116">
        <f>ROUND((1.05+1.05)/2,2)</f>
        <v>1.05</v>
      </c>
      <c r="H154" s="116">
        <f>ROUND((1.12+1.1)/2,2)</f>
        <v>1.1100000000000001</v>
      </c>
      <c r="I154" s="116">
        <f>ROUND((1.2+1.15)/2,2)</f>
        <v>1.18</v>
      </c>
    </row>
    <row r="155" spans="1:16" x14ac:dyDescent="0.3">
      <c r="A155" s="180"/>
      <c r="B155" s="114" t="s">
        <v>58</v>
      </c>
      <c r="C155" s="114">
        <f>ROUND((48.1+130)/2,1)</f>
        <v>89.1</v>
      </c>
      <c r="D155" s="115">
        <f>C155*'[1]Major Assumption Key'!$B$68</f>
        <v>122.06700000000001</v>
      </c>
      <c r="E155" s="114">
        <f>ROUND((1.01+1.01)/2,2)</f>
        <v>1.01</v>
      </c>
      <c r="F155" s="116">
        <f>ROUND((1.01+1.02)/2,2)</f>
        <v>1.02</v>
      </c>
      <c r="G155" s="116">
        <f>ROUND((1.04+1.04)/2,2)</f>
        <v>1.04</v>
      </c>
      <c r="H155" s="116">
        <f>ROUND((1.1+1.08)/2,2)</f>
        <v>1.0900000000000001</v>
      </c>
      <c r="I155" s="116">
        <f>ROUND((1.17+1.13)/2,2)</f>
        <v>1.1499999999999999</v>
      </c>
    </row>
    <row r="156" spans="1:16" x14ac:dyDescent="0.3">
      <c r="A156" s="8" t="s">
        <v>60</v>
      </c>
    </row>
    <row r="157" spans="1:16" x14ac:dyDescent="0.3">
      <c r="A157" s="8" t="s">
        <v>61</v>
      </c>
    </row>
    <row r="158" spans="1:16" x14ac:dyDescent="0.3">
      <c r="A158" s="8" t="s">
        <v>62</v>
      </c>
    </row>
    <row r="161" spans="1:15" x14ac:dyDescent="0.3">
      <c r="A161" s="11" t="s">
        <v>63</v>
      </c>
      <c r="B161" s="12"/>
      <c r="C161" s="13"/>
      <c r="D161" s="117"/>
    </row>
    <row r="162" spans="1:15" x14ac:dyDescent="0.3">
      <c r="A162" s="20"/>
      <c r="B162" s="5" t="s">
        <v>38</v>
      </c>
      <c r="C162" s="117"/>
      <c r="M162" s="8"/>
    </row>
    <row r="163" spans="1:15" x14ac:dyDescent="0.3">
      <c r="A163" s="9" t="s">
        <v>64</v>
      </c>
      <c r="B163" s="10">
        <f>'[1]State of Good Repair AP-CP'!B25</f>
        <v>283756</v>
      </c>
      <c r="C163" s="9"/>
    </row>
    <row r="164" spans="1:15" x14ac:dyDescent="0.3">
      <c r="A164" s="9"/>
      <c r="B164" s="10"/>
      <c r="C164" s="9"/>
    </row>
    <row r="165" spans="1:15" x14ac:dyDescent="0.3">
      <c r="A165" s="3"/>
      <c r="B165" s="10"/>
      <c r="C165" s="117"/>
      <c r="D165" s="117"/>
    </row>
    <row r="166" spans="1:15" x14ac:dyDescent="0.3">
      <c r="A166" s="11" t="s">
        <v>65</v>
      </c>
      <c r="B166" s="12"/>
      <c r="C166" s="13"/>
      <c r="D166" s="21"/>
      <c r="E166" s="21"/>
      <c r="F166" s="21"/>
      <c r="G166" s="21"/>
      <c r="H166" s="21"/>
      <c r="I166" s="21"/>
    </row>
    <row r="167" spans="1:15" x14ac:dyDescent="0.3">
      <c r="A167" s="14" t="s">
        <v>66</v>
      </c>
      <c r="C167" s="21"/>
      <c r="D167" s="21"/>
      <c r="E167" s="21"/>
      <c r="F167" s="21"/>
      <c r="G167" s="21"/>
      <c r="H167" s="21"/>
      <c r="I167" s="21"/>
    </row>
    <row r="168" spans="1:15" ht="28.8" x14ac:dyDescent="0.3">
      <c r="A168" s="22" t="s">
        <v>67</v>
      </c>
      <c r="B168" s="22" t="s">
        <v>68</v>
      </c>
      <c r="C168" s="23" t="s">
        <v>69</v>
      </c>
      <c r="D168" s="22" t="s">
        <v>70</v>
      </c>
      <c r="E168" s="24" t="s">
        <v>71</v>
      </c>
      <c r="F168" s="24" t="s">
        <v>72</v>
      </c>
      <c r="G168" s="25" t="s">
        <v>73</v>
      </c>
      <c r="H168" s="25" t="s">
        <v>74</v>
      </c>
      <c r="I168" s="25" t="s">
        <v>75</v>
      </c>
      <c r="J168" s="25" t="s">
        <v>76</v>
      </c>
      <c r="K168" s="118"/>
      <c r="M168" s="8"/>
    </row>
    <row r="169" spans="1:15" x14ac:dyDescent="0.3">
      <c r="A169" s="8" t="str">
        <f>$A$6</f>
        <v>Gellhorn</v>
      </c>
      <c r="B169" s="26">
        <f>SUM($B$108:$B$109)</f>
        <v>3643.2</v>
      </c>
      <c r="C169" s="5">
        <f>_xlfn.XLOOKUP("Rehab",$D$14:$D$54,$A$14:$A$54,"N/A",0)</f>
        <v>2032</v>
      </c>
      <c r="D169" s="26">
        <f>VLOOKUP(C169,$A$13:$B$54,2,FALSE)</f>
        <v>3830.7306508697588</v>
      </c>
      <c r="E169" s="27">
        <f>$C$108+$C$109</f>
        <v>0.69</v>
      </c>
      <c r="F169" s="21">
        <f>$B$173</f>
        <v>35</v>
      </c>
      <c r="G169" s="21">
        <f>F169*$B$178</f>
        <v>26.25</v>
      </c>
      <c r="H169" s="119">
        <f>IFERROR((E169/G169)-(E169/F169),0)</f>
        <v>6.5714285714285718E-3</v>
      </c>
      <c r="I169" s="26">
        <f>(D169*$B$175)*($B$176*E169)*H169</f>
        <v>3316.0841762158429</v>
      </c>
      <c r="J169" s="28">
        <f>I169*$B$177*(1+$H$5)^(C169-$H$6)</f>
        <v>92740.743091531956</v>
      </c>
      <c r="K169" s="28"/>
      <c r="M169" s="8"/>
    </row>
    <row r="170" spans="1:15" x14ac:dyDescent="0.3">
      <c r="A170" s="8" t="str">
        <f t="shared" ref="A170" si="22">$A$6</f>
        <v>Gellhorn</v>
      </c>
      <c r="B170" s="26">
        <f t="shared" ref="B170" si="23">SUM($B$108:$B$109)</f>
        <v>3643.2</v>
      </c>
      <c r="C170" s="5">
        <f>A41</f>
        <v>2047</v>
      </c>
      <c r="D170" s="26">
        <f t="shared" ref="D170" si="24">VLOOKUP(C170,$A$13:$B$54,2,FALSE)</f>
        <v>4931.6243977815166</v>
      </c>
      <c r="E170" s="27">
        <f t="shared" ref="E170" si="25">$C$108+$C$109</f>
        <v>0.69</v>
      </c>
      <c r="F170" s="21">
        <f>F169</f>
        <v>35</v>
      </c>
      <c r="G170" s="21">
        <f>F170*$B$178</f>
        <v>26.25</v>
      </c>
      <c r="H170" s="119">
        <f t="shared" ref="H170" si="26">IFERROR((E170/G170)-(E170/F170),0)</f>
        <v>6.5714285714285718E-3</v>
      </c>
      <c r="I170" s="26">
        <f>(D170*$B$175)*($B$176*E170)*H170</f>
        <v>4269.0763509593671</v>
      </c>
      <c r="J170" s="28">
        <f>I170*$B$177*(1+$H$5)^(C170-$H$6)</f>
        <v>180388.38992731081</v>
      </c>
      <c r="K170" s="28"/>
      <c r="M170" s="8"/>
    </row>
    <row r="171" spans="1:15" x14ac:dyDescent="0.3">
      <c r="A171" s="21"/>
      <c r="B171" s="21"/>
      <c r="C171" s="21"/>
      <c r="D171" s="21"/>
      <c r="E171" s="21"/>
      <c r="F171" s="21"/>
      <c r="G171" s="21"/>
      <c r="H171" s="21"/>
      <c r="I171" s="21"/>
    </row>
    <row r="172" spans="1:15" x14ac:dyDescent="0.3">
      <c r="A172" s="29" t="s">
        <v>77</v>
      </c>
      <c r="B172" s="30"/>
      <c r="C172" s="21"/>
      <c r="D172" s="106"/>
      <c r="E172" s="106"/>
      <c r="F172" s="106"/>
      <c r="G172" s="106"/>
      <c r="H172" s="106"/>
      <c r="I172" s="120" t="s">
        <v>271</v>
      </c>
      <c r="J172" s="121">
        <f>J169+J170</f>
        <v>273129.13301884278</v>
      </c>
      <c r="K172" s="106"/>
    </row>
    <row r="173" spans="1:15" x14ac:dyDescent="0.3">
      <c r="A173" s="107" t="s">
        <v>78</v>
      </c>
      <c r="B173" s="122">
        <f>'[1]State of Good Repair AP-CP'!B24</f>
        <v>35</v>
      </c>
      <c r="C173" s="107" t="s">
        <v>79</v>
      </c>
      <c r="D173" s="106"/>
      <c r="E173" s="106"/>
      <c r="F173" s="106"/>
      <c r="G173" s="106"/>
      <c r="H173" s="106"/>
      <c r="I173" s="106"/>
      <c r="J173" s="106"/>
      <c r="K173" s="106"/>
    </row>
    <row r="174" spans="1:15" x14ac:dyDescent="0.3">
      <c r="A174" s="107" t="s">
        <v>80</v>
      </c>
      <c r="B174" s="106">
        <f>B173*B178</f>
        <v>26.25</v>
      </c>
      <c r="C174" s="107" t="s">
        <v>81</v>
      </c>
      <c r="D174" s="106"/>
      <c r="E174" s="106"/>
      <c r="F174" s="106"/>
      <c r="G174" s="106"/>
      <c r="H174" s="106"/>
      <c r="I174" s="106"/>
      <c r="J174" s="106"/>
      <c r="K174" s="106"/>
    </row>
    <row r="175" spans="1:15" x14ac:dyDescent="0.3">
      <c r="A175" s="107" t="s">
        <v>82</v>
      </c>
      <c r="B175" s="123">
        <f>'[1]State of Good Repair AP-CP'!C32</f>
        <v>1.5909399999999998</v>
      </c>
      <c r="C175" s="107" t="s">
        <v>83</v>
      </c>
      <c r="D175" s="106"/>
      <c r="E175" s="106"/>
      <c r="F175" s="106"/>
      <c r="G175" s="106"/>
      <c r="H175" s="106"/>
      <c r="I175" s="106"/>
      <c r="J175" s="106"/>
      <c r="K175" s="106"/>
      <c r="N175" s="3"/>
      <c r="O175" s="3"/>
    </row>
    <row r="176" spans="1:15" x14ac:dyDescent="0.3">
      <c r="A176" s="107" t="s">
        <v>84</v>
      </c>
      <c r="B176" s="106">
        <f>'[1]State of Good Repair AP-CP'!B22</f>
        <v>120</v>
      </c>
      <c r="C176" s="107" t="s">
        <v>85</v>
      </c>
      <c r="D176" s="124"/>
      <c r="E176" s="124"/>
      <c r="F176" s="124"/>
      <c r="G176" s="124"/>
      <c r="H176" s="8"/>
      <c r="I176" s="124"/>
      <c r="J176" s="124"/>
      <c r="K176" s="124"/>
      <c r="N176" s="3"/>
      <c r="O176" s="3"/>
    </row>
    <row r="177" spans="1:16" x14ac:dyDescent="0.3">
      <c r="A177" s="107" t="s">
        <v>86</v>
      </c>
      <c r="B177" s="125">
        <f>'[1]State of Good Repair AP-CP'!D32</f>
        <v>21.240200000000002</v>
      </c>
      <c r="C177" s="107" t="s">
        <v>83</v>
      </c>
      <c r="D177" s="106"/>
      <c r="E177" s="106"/>
      <c r="F177" s="106"/>
      <c r="G177" s="106"/>
      <c r="I177" s="106"/>
      <c r="J177" s="106"/>
      <c r="K177" s="106"/>
      <c r="N177" s="3"/>
    </row>
    <row r="178" spans="1:16" x14ac:dyDescent="0.3">
      <c r="A178" s="107" t="s">
        <v>87</v>
      </c>
      <c r="B178" s="126">
        <f>'[1]State of Good Repair AP-CP'!B23</f>
        <v>0.75</v>
      </c>
      <c r="C178" s="8" t="s">
        <v>88</v>
      </c>
      <c r="N178" s="3"/>
    </row>
    <row r="179" spans="1:16" x14ac:dyDescent="0.3">
      <c r="A179" s="107"/>
      <c r="C179" s="9"/>
    </row>
    <row r="181" spans="1:16" x14ac:dyDescent="0.3">
      <c r="A181" s="11" t="s">
        <v>89</v>
      </c>
      <c r="B181" s="12"/>
      <c r="C181" s="13"/>
      <c r="D181" s="21"/>
      <c r="E181" s="21"/>
      <c r="F181" s="21"/>
      <c r="G181" s="21"/>
      <c r="H181" s="21"/>
      <c r="I181" s="21"/>
    </row>
    <row r="182" spans="1:16" x14ac:dyDescent="0.3">
      <c r="A182" s="14" t="s">
        <v>66</v>
      </c>
      <c r="C182" s="21"/>
      <c r="D182" s="21"/>
      <c r="E182" s="21"/>
      <c r="F182" s="21"/>
    </row>
    <row r="183" spans="1:16" ht="28.8" x14ac:dyDescent="0.3">
      <c r="A183" s="22" t="s">
        <v>67</v>
      </c>
      <c r="B183" s="22" t="s">
        <v>68</v>
      </c>
      <c r="C183" s="23" t="s">
        <v>90</v>
      </c>
      <c r="D183" s="22" t="s">
        <v>70</v>
      </c>
      <c r="E183" s="24" t="s">
        <v>71</v>
      </c>
      <c r="F183" s="24" t="s">
        <v>72</v>
      </c>
      <c r="G183" s="25" t="s">
        <v>73</v>
      </c>
      <c r="H183" s="25" t="s">
        <v>74</v>
      </c>
      <c r="I183" s="25" t="s">
        <v>75</v>
      </c>
      <c r="J183" s="25" t="s">
        <v>91</v>
      </c>
      <c r="K183" s="118"/>
    </row>
    <row r="184" spans="1:16" x14ac:dyDescent="0.3">
      <c r="A184" s="8" t="str">
        <f>A6</f>
        <v>Gellhorn</v>
      </c>
      <c r="B184" s="26">
        <f>$B$108+$B$109</f>
        <v>3643.2</v>
      </c>
      <c r="C184" s="5" t="str">
        <f>'[1]Cost Summary'!C26&amp;"-"&amp;'[1]Cost Summary'!D26</f>
        <v>2026-2028</v>
      </c>
      <c r="D184" s="26">
        <f>AVERAGEIFS(B60:B100,A60:A100,"&gt;="&amp;'[1]Cost Summary'!C26,A60:A100,"&lt;="&amp;'[1]Cost Summary'!D26)</f>
        <v>3521.7069503075459</v>
      </c>
      <c r="E184" s="27">
        <f>$C$108+$C$109</f>
        <v>0.69</v>
      </c>
      <c r="F184" s="31">
        <f>$B$187</f>
        <v>35</v>
      </c>
      <c r="G184" s="21">
        <f>F184*$B$192</f>
        <v>26.25</v>
      </c>
      <c r="H184" s="119">
        <f>IFERROR((E184/G184)-(E184/F184),0)</f>
        <v>6.5714285714285718E-3</v>
      </c>
      <c r="I184" s="26">
        <f>IFERROR((D184*$B$189)*($B$190*E184)*H184,0)</f>
        <v>6097.153653198081</v>
      </c>
      <c r="J184" s="28">
        <f>I184*$B$191</f>
        <v>129504.76302465789</v>
      </c>
      <c r="K184" s="28"/>
    </row>
    <row r="185" spans="1:16" x14ac:dyDescent="0.3">
      <c r="A185" s="21"/>
      <c r="B185" s="21"/>
      <c r="C185" s="21"/>
      <c r="D185" s="21"/>
      <c r="E185" s="21"/>
      <c r="F185" s="21"/>
      <c r="G185" s="21"/>
      <c r="H185" s="21"/>
      <c r="I185" s="21"/>
    </row>
    <row r="186" spans="1:16" x14ac:dyDescent="0.3">
      <c r="A186" s="29" t="s">
        <v>92</v>
      </c>
      <c r="B186" s="30"/>
      <c r="C186" s="21"/>
      <c r="D186" s="106"/>
      <c r="E186" s="106"/>
      <c r="F186" s="106"/>
      <c r="G186" s="106"/>
      <c r="H186" s="106"/>
      <c r="I186" s="106"/>
      <c r="J186" s="106"/>
      <c r="K186" s="106"/>
    </row>
    <row r="187" spans="1:16" x14ac:dyDescent="0.3">
      <c r="A187" s="107" t="s">
        <v>78</v>
      </c>
      <c r="B187" s="122">
        <f>'[1]State of Good Repair AP-CP'!B24</f>
        <v>35</v>
      </c>
      <c r="C187" s="107" t="s">
        <v>79</v>
      </c>
      <c r="D187" s="106"/>
      <c r="E187" s="106"/>
      <c r="F187" s="106"/>
      <c r="G187" s="106"/>
      <c r="H187" s="106"/>
      <c r="I187" s="181" t="s">
        <v>272</v>
      </c>
      <c r="J187" s="181"/>
      <c r="K187" s="181"/>
    </row>
    <row r="188" spans="1:16" x14ac:dyDescent="0.3">
      <c r="A188" s="107" t="s">
        <v>80</v>
      </c>
      <c r="B188" s="106">
        <f>B187*B192</f>
        <v>26.25</v>
      </c>
      <c r="C188" s="107" t="s">
        <v>81</v>
      </c>
      <c r="D188" s="106"/>
      <c r="E188" s="106"/>
      <c r="F188" s="106"/>
      <c r="G188" s="106"/>
      <c r="H188" s="106"/>
      <c r="I188" s="106"/>
      <c r="J188" s="121">
        <f>J172-J184</f>
        <v>143624.36999418488</v>
      </c>
      <c r="K188" s="106"/>
    </row>
    <row r="189" spans="1:16" x14ac:dyDescent="0.3">
      <c r="A189" s="107" t="s">
        <v>82</v>
      </c>
      <c r="B189" s="123">
        <f>'[1]State of Good Repair AP-CP'!C32</f>
        <v>1.5909399999999998</v>
      </c>
      <c r="C189" s="107" t="s">
        <v>83</v>
      </c>
      <c r="D189" s="106"/>
      <c r="E189" s="106"/>
      <c r="F189" s="106"/>
      <c r="G189" s="106"/>
      <c r="H189" s="106"/>
      <c r="I189" s="106"/>
      <c r="J189" s="106"/>
      <c r="K189" s="106"/>
    </row>
    <row r="190" spans="1:16" x14ac:dyDescent="0.3">
      <c r="A190" s="107" t="str">
        <f>'[1]State of Good Repair AP-CP'!A21</f>
        <v>Reconstruction days</v>
      </c>
      <c r="B190" s="106">
        <f>'[1]State of Good Repair AP-CP'!B21</f>
        <v>240</v>
      </c>
      <c r="C190" s="106" t="str">
        <f>'[1]State of Good Repair AP-CP'!C21</f>
        <v>Per Mile - City of Houston Averages</v>
      </c>
      <c r="D190" s="124"/>
      <c r="E190" s="124"/>
      <c r="F190" s="124"/>
      <c r="G190" s="124"/>
      <c r="H190" s="8"/>
      <c r="I190" s="124"/>
      <c r="J190" s="124"/>
      <c r="K190" s="124"/>
    </row>
    <row r="191" spans="1:16" x14ac:dyDescent="0.3">
      <c r="A191" s="107" t="s">
        <v>86</v>
      </c>
      <c r="B191" s="125">
        <f>'[1]State of Good Repair AP-CP'!D32</f>
        <v>21.240200000000002</v>
      </c>
      <c r="C191" s="107" t="s">
        <v>83</v>
      </c>
      <c r="D191" s="106"/>
      <c r="E191" s="106"/>
      <c r="F191" s="106"/>
      <c r="G191" s="106"/>
      <c r="I191" s="106"/>
      <c r="J191" s="106"/>
      <c r="K191" s="106"/>
    </row>
    <row r="192" spans="1:16" s="3" customFormat="1" x14ac:dyDescent="0.3">
      <c r="A192" s="107" t="s">
        <v>87</v>
      </c>
      <c r="B192" s="126">
        <f>'[1]State of Good Repair AP-CP'!B23</f>
        <v>0.75</v>
      </c>
      <c r="C192" s="8" t="s">
        <v>88</v>
      </c>
      <c r="N192" s="8"/>
      <c r="O192" s="8"/>
      <c r="P192" s="8"/>
    </row>
    <row r="193" spans="1:16" s="3" customFormat="1" x14ac:dyDescent="0.3">
      <c r="A193" s="107" t="s">
        <v>82</v>
      </c>
      <c r="B193" s="123">
        <f>'[2]State of Good Repair AP-CP'!C32</f>
        <v>1.6565999999999999</v>
      </c>
      <c r="C193" s="107" t="s">
        <v>83</v>
      </c>
      <c r="D193" s="106"/>
      <c r="E193" s="106"/>
      <c r="F193" s="106"/>
      <c r="G193" s="106"/>
      <c r="H193" s="106"/>
      <c r="I193" s="106"/>
      <c r="J193" s="106"/>
      <c r="K193" s="106"/>
      <c r="N193" s="8"/>
      <c r="O193" s="8"/>
      <c r="P193" s="8"/>
    </row>
    <row r="194" spans="1:16" s="3" customFormat="1" x14ac:dyDescent="0.3">
      <c r="A194" s="107" t="str">
        <f>'[2]State of Good Repair AP-CP'!A21</f>
        <v>Reconstruction days</v>
      </c>
      <c r="B194" s="106">
        <f>'[2]State of Good Repair AP-CP'!B21</f>
        <v>240</v>
      </c>
      <c r="C194" s="106" t="str">
        <f>'[2]State of Good Repair AP-CP'!C21</f>
        <v>Per Mile - City of Houston Averages</v>
      </c>
      <c r="D194" s="124"/>
      <c r="E194" s="124"/>
      <c r="F194" s="124"/>
      <c r="G194" s="124"/>
      <c r="H194" s="8"/>
      <c r="I194" s="181" t="s">
        <v>272</v>
      </c>
      <c r="J194" s="181"/>
      <c r="K194" s="181"/>
      <c r="N194" s="8"/>
      <c r="O194" s="8"/>
      <c r="P194" s="8"/>
    </row>
    <row r="195" spans="1:16" s="3" customFormat="1" x14ac:dyDescent="0.3">
      <c r="A195" s="107" t="s">
        <v>86</v>
      </c>
      <c r="B195" s="125">
        <f>'[2]State of Good Repair AP-CP'!D32</f>
        <v>19.878000000000004</v>
      </c>
      <c r="C195" s="107" t="s">
        <v>83</v>
      </c>
      <c r="D195" s="106"/>
      <c r="E195" s="106"/>
      <c r="F195" s="106"/>
      <c r="G195" s="106"/>
      <c r="I195" s="106"/>
      <c r="J195" s="127">
        <f>J174-J186</f>
        <v>0</v>
      </c>
      <c r="K195" s="106"/>
      <c r="N195" s="8"/>
      <c r="O195" s="8"/>
      <c r="P195" s="8"/>
    </row>
    <row r="196" spans="1:16" s="3" customFormat="1" x14ac:dyDescent="0.3">
      <c r="A196" s="107" t="s">
        <v>87</v>
      </c>
      <c r="B196" s="126">
        <f>'[2]State of Good Repair AP-CP'!B23</f>
        <v>0.75</v>
      </c>
      <c r="C196" s="8" t="s">
        <v>88</v>
      </c>
      <c r="N196" s="8"/>
      <c r="O196" s="8"/>
      <c r="P196" s="8"/>
    </row>
  </sheetData>
  <mergeCells count="13">
    <mergeCell ref="A150:A152"/>
    <mergeCell ref="A153:A155"/>
    <mergeCell ref="I194:K194"/>
    <mergeCell ref="A12:K12"/>
    <mergeCell ref="A58:K58"/>
    <mergeCell ref="E147:I147"/>
    <mergeCell ref="A148:D148"/>
    <mergeCell ref="I187:K187"/>
    <mergeCell ref="L148:P148"/>
    <mergeCell ref="A4:A5"/>
    <mergeCell ref="B4:B5"/>
    <mergeCell ref="E4:E5"/>
    <mergeCell ref="A149:C149"/>
  </mergeCells>
  <dataValidations count="1">
    <dataValidation type="list" allowBlank="1" showInputMessage="1" showErrorMessage="1" sqref="E108" xr:uid="{6A144689-5F30-46CA-927A-0E8E531EA39D}">
      <formula1>$B$150:$B$152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7591F3-40CC-4AA7-BAC9-F87911CA4B0A}">
  <dimension ref="A1:P124"/>
  <sheetViews>
    <sheetView topLeftCell="A28" workbookViewId="0">
      <selection activeCell="E36" sqref="E36"/>
    </sheetView>
  </sheetViews>
  <sheetFormatPr defaultColWidth="8.88671875" defaultRowHeight="14.4" x14ac:dyDescent="0.3"/>
  <cols>
    <col min="1" max="1" width="24.5546875" style="106" bestFit="1" customWidth="1"/>
    <col min="2" max="2" width="88.5546875" style="106" bestFit="1" customWidth="1"/>
    <col min="3" max="3" width="9.109375" style="106" bestFit="1" customWidth="1"/>
    <col min="4" max="4" width="17.88671875" style="106" bestFit="1" customWidth="1"/>
    <col min="5" max="5" width="24.44140625" style="106" bestFit="1" customWidth="1"/>
    <col min="6" max="6" width="10.44140625" style="106" bestFit="1" customWidth="1"/>
    <col min="7" max="16384" width="8.88671875" style="106"/>
  </cols>
  <sheetData>
    <row r="1" spans="1:5" x14ac:dyDescent="0.3">
      <c r="A1" s="40" t="s">
        <v>93</v>
      </c>
      <c r="B1" s="41" t="s">
        <v>94</v>
      </c>
      <c r="C1" s="137"/>
      <c r="D1" s="137"/>
      <c r="E1" s="137"/>
    </row>
    <row r="3" spans="1:5" x14ac:dyDescent="0.3">
      <c r="A3" s="138"/>
    </row>
    <row r="4" spans="1:5" s="138" customFormat="1" ht="13.2" x14ac:dyDescent="0.25">
      <c r="A4" s="139" t="s">
        <v>96</v>
      </c>
      <c r="B4" s="139"/>
      <c r="C4" s="139" t="s">
        <v>97</v>
      </c>
    </row>
    <row r="5" spans="1:5" x14ac:dyDescent="0.3">
      <c r="A5" s="140" t="s">
        <v>99</v>
      </c>
      <c r="B5" s="140" t="s">
        <v>100</v>
      </c>
      <c r="C5" s="141">
        <v>67549</v>
      </c>
    </row>
    <row r="6" spans="1:5" x14ac:dyDescent="0.3">
      <c r="A6" s="140" t="s">
        <v>103</v>
      </c>
      <c r="B6" s="140" t="s">
        <v>104</v>
      </c>
      <c r="C6" s="141">
        <v>88485</v>
      </c>
    </row>
    <row r="7" spans="1:5" x14ac:dyDescent="0.3">
      <c r="A7" s="140" t="s">
        <v>106</v>
      </c>
      <c r="B7" s="140" t="s">
        <v>107</v>
      </c>
      <c r="C7" s="141">
        <v>88485</v>
      </c>
    </row>
    <row r="8" spans="1:5" x14ac:dyDescent="0.3">
      <c r="A8" s="140"/>
      <c r="B8" s="140"/>
      <c r="C8" s="140"/>
    </row>
    <row r="9" spans="1:5" s="138" customFormat="1" ht="13.2" x14ac:dyDescent="0.25">
      <c r="A9" s="139" t="s">
        <v>23</v>
      </c>
      <c r="B9" s="139"/>
      <c r="C9" s="139" t="s">
        <v>97</v>
      </c>
    </row>
    <row r="10" spans="1:5" x14ac:dyDescent="0.3">
      <c r="A10" s="140" t="s">
        <v>99</v>
      </c>
      <c r="B10" s="140" t="s">
        <v>109</v>
      </c>
      <c r="C10" s="141">
        <v>283756</v>
      </c>
    </row>
    <row r="11" spans="1:5" x14ac:dyDescent="0.3">
      <c r="A11" s="140" t="s">
        <v>103</v>
      </c>
      <c r="B11" s="140" t="s">
        <v>110</v>
      </c>
      <c r="C11" s="141">
        <v>307824</v>
      </c>
    </row>
    <row r="12" spans="1:5" x14ac:dyDescent="0.3">
      <c r="A12" s="140" t="s">
        <v>106</v>
      </c>
      <c r="B12" s="140" t="s">
        <v>110</v>
      </c>
      <c r="C12" s="141">
        <v>307824</v>
      </c>
    </row>
    <row r="13" spans="1:5" x14ac:dyDescent="0.3">
      <c r="A13" s="140"/>
      <c r="B13" s="140"/>
      <c r="C13" s="140"/>
    </row>
    <row r="14" spans="1:5" s="138" customFormat="1" ht="13.2" x14ac:dyDescent="0.25">
      <c r="A14" s="139" t="s">
        <v>112</v>
      </c>
      <c r="B14" s="139"/>
      <c r="C14" s="139" t="s">
        <v>97</v>
      </c>
    </row>
    <row r="15" spans="1:5" x14ac:dyDescent="0.3">
      <c r="A15" s="140" t="s">
        <v>99</v>
      </c>
      <c r="B15" s="140" t="s">
        <v>113</v>
      </c>
      <c r="C15" s="141">
        <v>400260</v>
      </c>
    </row>
    <row r="16" spans="1:5" x14ac:dyDescent="0.3">
      <c r="A16" s="140" t="s">
        <v>103</v>
      </c>
      <c r="B16" s="140" t="s">
        <v>115</v>
      </c>
      <c r="C16" s="141">
        <v>399621</v>
      </c>
    </row>
    <row r="17" spans="1:3" x14ac:dyDescent="0.3">
      <c r="A17" s="140" t="s">
        <v>106</v>
      </c>
      <c r="B17" s="140" t="s">
        <v>115</v>
      </c>
      <c r="C17" s="141">
        <v>399621</v>
      </c>
    </row>
    <row r="18" spans="1:3" x14ac:dyDescent="0.3">
      <c r="A18" s="140"/>
      <c r="B18" s="140"/>
      <c r="C18" s="140"/>
    </row>
    <row r="19" spans="1:3" s="138" customFormat="1" ht="13.2" x14ac:dyDescent="0.25">
      <c r="A19" s="139" t="s">
        <v>121</v>
      </c>
      <c r="B19" s="139"/>
      <c r="C19" s="139" t="s">
        <v>97</v>
      </c>
    </row>
    <row r="20" spans="1:3" x14ac:dyDescent="0.3">
      <c r="A20" s="140" t="s">
        <v>99</v>
      </c>
      <c r="B20" s="140" t="s">
        <v>122</v>
      </c>
      <c r="C20" s="141">
        <v>579727</v>
      </c>
    </row>
    <row r="21" spans="1:3" x14ac:dyDescent="0.3">
      <c r="A21" s="140" t="s">
        <v>103</v>
      </c>
      <c r="B21" s="140" t="s">
        <v>122</v>
      </c>
      <c r="C21" s="141">
        <v>992071</v>
      </c>
    </row>
    <row r="22" spans="1:3" x14ac:dyDescent="0.3">
      <c r="A22" s="140" t="s">
        <v>106</v>
      </c>
      <c r="B22" s="140" t="s">
        <v>122</v>
      </c>
      <c r="C22" s="141">
        <v>992071</v>
      </c>
    </row>
    <row r="24" spans="1:3" x14ac:dyDescent="0.3">
      <c r="A24" s="106" t="s">
        <v>123</v>
      </c>
    </row>
    <row r="25" spans="1:3" x14ac:dyDescent="0.3">
      <c r="A25" s="106" t="s">
        <v>99</v>
      </c>
      <c r="B25" s="106" t="s">
        <v>124</v>
      </c>
    </row>
    <row r="26" spans="1:3" x14ac:dyDescent="0.3">
      <c r="A26" s="106" t="s">
        <v>103</v>
      </c>
      <c r="B26" s="106" t="s">
        <v>125</v>
      </c>
    </row>
    <row r="27" spans="1:3" x14ac:dyDescent="0.3">
      <c r="A27" s="106" t="s">
        <v>106</v>
      </c>
      <c r="B27" s="106" t="s">
        <v>126</v>
      </c>
    </row>
    <row r="28" spans="1:3" x14ac:dyDescent="0.3">
      <c r="A28" s="106" t="s">
        <v>127</v>
      </c>
      <c r="B28" s="106" t="s">
        <v>128</v>
      </c>
    </row>
    <row r="29" spans="1:3" x14ac:dyDescent="0.3">
      <c r="A29" s="106" t="s">
        <v>107</v>
      </c>
    </row>
    <row r="30" spans="1:3" x14ac:dyDescent="0.3">
      <c r="B30" s="106" t="s">
        <v>129</v>
      </c>
    </row>
    <row r="31" spans="1:3" x14ac:dyDescent="0.3">
      <c r="A31" s="106" t="s">
        <v>122</v>
      </c>
    </row>
    <row r="32" spans="1:3" x14ac:dyDescent="0.3">
      <c r="B32" s="106" t="s">
        <v>130</v>
      </c>
    </row>
    <row r="33" spans="1:16" x14ac:dyDescent="0.3">
      <c r="A33" s="106" t="s">
        <v>97</v>
      </c>
      <c r="B33" s="106" t="s">
        <v>131</v>
      </c>
    </row>
    <row r="34" spans="1:16" x14ac:dyDescent="0.3">
      <c r="A34" s="106" t="s">
        <v>132</v>
      </c>
      <c r="B34" s="106" t="s">
        <v>133</v>
      </c>
    </row>
    <row r="35" spans="1:16" x14ac:dyDescent="0.3">
      <c r="B35" s="7" t="s">
        <v>134</v>
      </c>
    </row>
    <row r="36" spans="1:16" x14ac:dyDescent="0.3">
      <c r="A36" s="106" t="s">
        <v>135</v>
      </c>
      <c r="B36" s="106" t="s">
        <v>136</v>
      </c>
    </row>
    <row r="37" spans="1:16" x14ac:dyDescent="0.3">
      <c r="A37" s="106" t="s">
        <v>137</v>
      </c>
      <c r="B37" s="106" t="s">
        <v>138</v>
      </c>
    </row>
    <row r="41" spans="1:16" x14ac:dyDescent="0.3">
      <c r="A41" s="106" t="s">
        <v>95</v>
      </c>
    </row>
    <row r="44" spans="1:16" ht="15" thickBot="1" x14ac:dyDescent="0.35">
      <c r="A44" s="138" t="s">
        <v>98</v>
      </c>
      <c r="L44" s="2"/>
      <c r="M44" s="2"/>
      <c r="N44" s="2"/>
      <c r="O44" s="2"/>
      <c r="P44" s="2"/>
    </row>
    <row r="45" spans="1:16" x14ac:dyDescent="0.3">
      <c r="A45" s="142"/>
      <c r="B45" s="192" t="s">
        <v>101</v>
      </c>
      <c r="C45" s="193"/>
      <c r="D45" s="194" t="s">
        <v>102</v>
      </c>
      <c r="E45" s="193"/>
      <c r="J45" s="2"/>
      <c r="K45" s="2"/>
      <c r="L45" s="2"/>
      <c r="M45" s="2"/>
      <c r="N45" s="2"/>
      <c r="O45" s="2"/>
      <c r="P45" s="2"/>
    </row>
    <row r="46" spans="1:16" x14ac:dyDescent="0.3">
      <c r="A46" s="143" t="s">
        <v>42</v>
      </c>
      <c r="B46" s="144" t="s">
        <v>28</v>
      </c>
      <c r="C46" s="145" t="s">
        <v>1</v>
      </c>
      <c r="D46" s="146" t="s">
        <v>28</v>
      </c>
      <c r="E46" s="145" t="s">
        <v>105</v>
      </c>
      <c r="J46" s="2"/>
      <c r="K46" s="2"/>
      <c r="L46" s="2"/>
      <c r="M46" s="2"/>
      <c r="N46" s="2"/>
      <c r="O46" s="2"/>
      <c r="P46" s="2"/>
    </row>
    <row r="47" spans="1:16" x14ac:dyDescent="0.3">
      <c r="A47" s="143" t="s">
        <v>29</v>
      </c>
      <c r="B47" s="147">
        <v>6</v>
      </c>
      <c r="C47" s="148">
        <v>2</v>
      </c>
      <c r="D47" s="149">
        <v>12</v>
      </c>
      <c r="E47" s="148">
        <v>6</v>
      </c>
      <c r="J47" s="2"/>
      <c r="K47" s="2"/>
      <c r="L47" s="2"/>
      <c r="M47" s="2"/>
      <c r="N47" s="2"/>
      <c r="O47" s="2"/>
      <c r="P47" s="2"/>
    </row>
    <row r="48" spans="1:16" x14ac:dyDescent="0.3">
      <c r="A48" s="143" t="s">
        <v>24</v>
      </c>
      <c r="B48" s="147">
        <v>4</v>
      </c>
      <c r="C48" s="148">
        <v>2</v>
      </c>
      <c r="D48" s="149">
        <v>8</v>
      </c>
      <c r="E48" s="148">
        <v>4</v>
      </c>
      <c r="K48" s="9"/>
      <c r="L48" s="9"/>
      <c r="M48" s="9"/>
      <c r="N48" s="3"/>
      <c r="O48" s="3"/>
      <c r="P48" s="3"/>
    </row>
    <row r="49" spans="1:5" x14ac:dyDescent="0.3">
      <c r="A49" s="143" t="s">
        <v>25</v>
      </c>
      <c r="B49" s="147">
        <v>3</v>
      </c>
      <c r="C49" s="148">
        <v>1</v>
      </c>
      <c r="D49" s="149">
        <v>6</v>
      </c>
      <c r="E49" s="148">
        <v>3</v>
      </c>
    </row>
    <row r="50" spans="1:5" x14ac:dyDescent="0.3">
      <c r="A50" s="143" t="s">
        <v>26</v>
      </c>
      <c r="B50" s="147">
        <v>3</v>
      </c>
      <c r="C50" s="148">
        <v>1</v>
      </c>
      <c r="D50" s="149">
        <v>6</v>
      </c>
      <c r="E50" s="148">
        <v>3</v>
      </c>
    </row>
    <row r="51" spans="1:5" x14ac:dyDescent="0.3">
      <c r="A51" s="143" t="s">
        <v>22</v>
      </c>
      <c r="B51" s="147">
        <v>4</v>
      </c>
      <c r="C51" s="148">
        <v>2</v>
      </c>
      <c r="D51" s="149">
        <v>8</v>
      </c>
      <c r="E51" s="148">
        <v>4</v>
      </c>
    </row>
    <row r="52" spans="1:5" x14ac:dyDescent="0.3">
      <c r="A52" s="143" t="s">
        <v>45</v>
      </c>
      <c r="B52" s="147">
        <v>5</v>
      </c>
      <c r="C52" s="148">
        <v>2</v>
      </c>
      <c r="D52" s="149">
        <v>10</v>
      </c>
      <c r="E52" s="148">
        <v>5</v>
      </c>
    </row>
    <row r="53" spans="1:5" ht="15" thickBot="1" x14ac:dyDescent="0.35">
      <c r="A53" s="150" t="s">
        <v>111</v>
      </c>
      <c r="B53" s="151">
        <v>25</v>
      </c>
      <c r="C53" s="152">
        <v>10</v>
      </c>
      <c r="D53" s="153">
        <v>50</v>
      </c>
      <c r="E53" s="152">
        <v>25</v>
      </c>
    </row>
    <row r="55" spans="1:5" ht="15" thickBot="1" x14ac:dyDescent="0.35">
      <c r="A55" s="138" t="s">
        <v>114</v>
      </c>
    </row>
    <row r="56" spans="1:5" x14ac:dyDescent="0.3">
      <c r="A56" s="189" t="s">
        <v>101</v>
      </c>
      <c r="B56" s="190"/>
      <c r="C56" s="190" t="s">
        <v>116</v>
      </c>
      <c r="D56" s="191"/>
    </row>
    <row r="57" spans="1:5" x14ac:dyDescent="0.3">
      <c r="A57" s="154" t="s">
        <v>117</v>
      </c>
      <c r="B57" s="138" t="s">
        <v>118</v>
      </c>
      <c r="C57" s="138" t="s">
        <v>119</v>
      </c>
      <c r="D57" s="155" t="s">
        <v>120</v>
      </c>
    </row>
    <row r="58" spans="1:5" x14ac:dyDescent="0.3">
      <c r="A58" s="156" t="s">
        <v>29</v>
      </c>
      <c r="B58" s="106" t="s">
        <v>29</v>
      </c>
      <c r="C58" s="106" t="s">
        <v>29</v>
      </c>
      <c r="D58" s="157" t="s">
        <v>29</v>
      </c>
    </row>
    <row r="59" spans="1:5" x14ac:dyDescent="0.3">
      <c r="A59" s="156" t="s">
        <v>29</v>
      </c>
      <c r="B59" s="106" t="s">
        <v>29</v>
      </c>
      <c r="C59" s="106" t="s">
        <v>29</v>
      </c>
      <c r="D59" s="157" t="s">
        <v>29</v>
      </c>
    </row>
    <row r="60" spans="1:5" x14ac:dyDescent="0.3">
      <c r="A60" s="156" t="s">
        <v>29</v>
      </c>
      <c r="B60" s="106" t="s">
        <v>24</v>
      </c>
      <c r="C60" s="106" t="s">
        <v>29</v>
      </c>
      <c r="D60" s="157" t="s">
        <v>29</v>
      </c>
    </row>
    <row r="61" spans="1:5" x14ac:dyDescent="0.3">
      <c r="A61" s="156" t="s">
        <v>29</v>
      </c>
      <c r="B61" s="106" t="s">
        <v>24</v>
      </c>
      <c r="C61" s="106" t="s">
        <v>29</v>
      </c>
      <c r="D61" s="157" t="s">
        <v>29</v>
      </c>
    </row>
    <row r="62" spans="1:5" x14ac:dyDescent="0.3">
      <c r="A62" s="156" t="s">
        <v>29</v>
      </c>
      <c r="B62" s="106" t="s">
        <v>25</v>
      </c>
      <c r="C62" s="106" t="s">
        <v>29</v>
      </c>
      <c r="D62" s="157" t="s">
        <v>29</v>
      </c>
    </row>
    <row r="63" spans="1:5" x14ac:dyDescent="0.3">
      <c r="A63" s="156" t="s">
        <v>29</v>
      </c>
      <c r="B63" s="106" t="s">
        <v>26</v>
      </c>
      <c r="C63" s="106" t="s">
        <v>29</v>
      </c>
      <c r="D63" s="157" t="s">
        <v>29</v>
      </c>
    </row>
    <row r="64" spans="1:5" x14ac:dyDescent="0.3">
      <c r="A64" s="156" t="s">
        <v>24</v>
      </c>
      <c r="B64" s="107" t="s">
        <v>22</v>
      </c>
      <c r="C64" s="106" t="s">
        <v>29</v>
      </c>
      <c r="D64" s="157" t="s">
        <v>24</v>
      </c>
    </row>
    <row r="65" spans="1:4" x14ac:dyDescent="0.3">
      <c r="A65" s="156" t="s">
        <v>24</v>
      </c>
      <c r="B65" s="107" t="s">
        <v>22</v>
      </c>
      <c r="C65" s="106" t="s">
        <v>29</v>
      </c>
      <c r="D65" s="157" t="s">
        <v>24</v>
      </c>
    </row>
    <row r="66" spans="1:4" x14ac:dyDescent="0.3">
      <c r="A66" s="156" t="s">
        <v>24</v>
      </c>
      <c r="B66" s="107" t="s">
        <v>23</v>
      </c>
      <c r="C66" s="106" t="s">
        <v>29</v>
      </c>
      <c r="D66" s="157" t="s">
        <v>24</v>
      </c>
    </row>
    <row r="67" spans="1:4" x14ac:dyDescent="0.3">
      <c r="A67" s="156" t="s">
        <v>24</v>
      </c>
      <c r="B67" s="106" t="s">
        <v>24</v>
      </c>
      <c r="C67" s="106" t="s">
        <v>29</v>
      </c>
      <c r="D67" s="157" t="s">
        <v>24</v>
      </c>
    </row>
    <row r="68" spans="1:4" x14ac:dyDescent="0.3">
      <c r="A68" s="156" t="s">
        <v>25</v>
      </c>
      <c r="B68" s="106" t="s">
        <v>24</v>
      </c>
      <c r="C68" s="106" t="s">
        <v>29</v>
      </c>
      <c r="D68" s="157" t="s">
        <v>25</v>
      </c>
    </row>
    <row r="69" spans="1:4" x14ac:dyDescent="0.3">
      <c r="A69" s="156" t="s">
        <v>25</v>
      </c>
      <c r="B69" s="106" t="s">
        <v>25</v>
      </c>
      <c r="C69" s="106" t="s">
        <v>29</v>
      </c>
      <c r="D69" s="157" t="s">
        <v>25</v>
      </c>
    </row>
    <row r="70" spans="1:4" x14ac:dyDescent="0.3">
      <c r="A70" s="156" t="s">
        <v>25</v>
      </c>
      <c r="B70" s="106" t="s">
        <v>26</v>
      </c>
      <c r="C70" s="106" t="s">
        <v>24</v>
      </c>
      <c r="D70" s="157" t="s">
        <v>25</v>
      </c>
    </row>
    <row r="71" spans="1:4" x14ac:dyDescent="0.3">
      <c r="A71" s="156" t="s">
        <v>26</v>
      </c>
      <c r="B71" s="107" t="s">
        <v>22</v>
      </c>
      <c r="C71" s="106" t="s">
        <v>24</v>
      </c>
      <c r="D71" s="157" t="s">
        <v>26</v>
      </c>
    </row>
    <row r="72" spans="1:4" x14ac:dyDescent="0.3">
      <c r="A72" s="156" t="s">
        <v>26</v>
      </c>
      <c r="B72" s="107" t="s">
        <v>22</v>
      </c>
      <c r="C72" s="106" t="s">
        <v>24</v>
      </c>
      <c r="D72" s="157" t="s">
        <v>26</v>
      </c>
    </row>
    <row r="73" spans="1:4" x14ac:dyDescent="0.3">
      <c r="A73" s="156" t="s">
        <v>26</v>
      </c>
      <c r="B73" s="107" t="s">
        <v>23</v>
      </c>
      <c r="C73" s="106" t="s">
        <v>24</v>
      </c>
      <c r="D73" s="157" t="s">
        <v>26</v>
      </c>
    </row>
    <row r="74" spans="1:4" x14ac:dyDescent="0.3">
      <c r="A74" s="156" t="s">
        <v>22</v>
      </c>
      <c r="B74" s="106" t="s">
        <v>24</v>
      </c>
      <c r="C74" s="106" t="s">
        <v>24</v>
      </c>
      <c r="D74" s="157" t="s">
        <v>22</v>
      </c>
    </row>
    <row r="75" spans="1:4" x14ac:dyDescent="0.3">
      <c r="A75" s="156" t="s">
        <v>22</v>
      </c>
      <c r="B75" s="106" t="s">
        <v>24</v>
      </c>
      <c r="C75" s="106" t="s">
        <v>24</v>
      </c>
      <c r="D75" s="157" t="s">
        <v>22</v>
      </c>
    </row>
    <row r="76" spans="1:4" x14ac:dyDescent="0.3">
      <c r="A76" s="156" t="s">
        <v>22</v>
      </c>
      <c r="B76" s="106" t="s">
        <v>25</v>
      </c>
      <c r="C76" s="106" t="s">
        <v>24</v>
      </c>
      <c r="D76" s="157" t="s">
        <v>22</v>
      </c>
    </row>
    <row r="77" spans="1:4" x14ac:dyDescent="0.3">
      <c r="A77" s="156" t="s">
        <v>22</v>
      </c>
      <c r="B77" s="106" t="s">
        <v>26</v>
      </c>
      <c r="C77" s="106" t="s">
        <v>24</v>
      </c>
      <c r="D77" s="157" t="s">
        <v>22</v>
      </c>
    </row>
    <row r="78" spans="1:4" x14ac:dyDescent="0.3">
      <c r="A78" s="158" t="s">
        <v>23</v>
      </c>
      <c r="B78" s="107" t="s">
        <v>22</v>
      </c>
      <c r="C78" s="106" t="s">
        <v>25</v>
      </c>
      <c r="D78" s="159" t="s">
        <v>23</v>
      </c>
    </row>
    <row r="79" spans="1:4" x14ac:dyDescent="0.3">
      <c r="A79" s="156" t="s">
        <v>24</v>
      </c>
      <c r="B79" s="107" t="s">
        <v>22</v>
      </c>
      <c r="C79" s="106" t="s">
        <v>25</v>
      </c>
      <c r="D79" s="157" t="s">
        <v>24</v>
      </c>
    </row>
    <row r="80" spans="1:4" x14ac:dyDescent="0.3">
      <c r="A80" s="156" t="s">
        <v>24</v>
      </c>
      <c r="B80" s="107" t="s">
        <v>23</v>
      </c>
      <c r="C80" s="106" t="s">
        <v>25</v>
      </c>
      <c r="D80" s="157" t="s">
        <v>24</v>
      </c>
    </row>
    <row r="81" spans="1:4" x14ac:dyDescent="0.3">
      <c r="A81" s="156" t="s">
        <v>24</v>
      </c>
      <c r="B81" s="106" t="s">
        <v>24</v>
      </c>
      <c r="C81" s="106" t="s">
        <v>25</v>
      </c>
      <c r="D81" s="157" t="s">
        <v>24</v>
      </c>
    </row>
    <row r="82" spans="1:4" x14ac:dyDescent="0.3">
      <c r="A82" s="156" t="s">
        <v>24</v>
      </c>
      <c r="B82" s="106" t="s">
        <v>24</v>
      </c>
      <c r="C82" s="106" t="s">
        <v>25</v>
      </c>
      <c r="D82" s="157" t="s">
        <v>24</v>
      </c>
    </row>
    <row r="83" spans="1:4" x14ac:dyDescent="0.3">
      <c r="A83" s="156" t="s">
        <v>25</v>
      </c>
      <c r="B83" s="106" t="s">
        <v>25</v>
      </c>
      <c r="C83" s="106" t="s">
        <v>25</v>
      </c>
      <c r="D83" s="157" t="s">
        <v>25</v>
      </c>
    </row>
    <row r="84" spans="1:4" x14ac:dyDescent="0.3">
      <c r="A84" s="156" t="s">
        <v>25</v>
      </c>
      <c r="B84" s="106" t="s">
        <v>26</v>
      </c>
      <c r="C84" s="106" t="s">
        <v>26</v>
      </c>
      <c r="D84" s="157" t="s">
        <v>25</v>
      </c>
    </row>
    <row r="85" spans="1:4" x14ac:dyDescent="0.3">
      <c r="A85" s="156" t="s">
        <v>25</v>
      </c>
      <c r="B85" s="107" t="s">
        <v>22</v>
      </c>
      <c r="C85" s="106" t="s">
        <v>26</v>
      </c>
      <c r="D85" s="157" t="s">
        <v>25</v>
      </c>
    </row>
    <row r="86" spans="1:4" x14ac:dyDescent="0.3">
      <c r="A86" s="156" t="s">
        <v>26</v>
      </c>
      <c r="B86" s="107" t="s">
        <v>22</v>
      </c>
      <c r="C86" s="106" t="s">
        <v>26</v>
      </c>
      <c r="D86" s="157" t="s">
        <v>26</v>
      </c>
    </row>
    <row r="87" spans="1:4" x14ac:dyDescent="0.3">
      <c r="A87" s="156" t="s">
        <v>26</v>
      </c>
      <c r="B87" s="107" t="s">
        <v>23</v>
      </c>
      <c r="C87" s="106" t="s">
        <v>26</v>
      </c>
      <c r="D87" s="157" t="s">
        <v>26</v>
      </c>
    </row>
    <row r="88" spans="1:4" x14ac:dyDescent="0.3">
      <c r="A88" s="156" t="s">
        <v>26</v>
      </c>
      <c r="B88" s="106" t="s">
        <v>24</v>
      </c>
      <c r="C88" s="106" t="s">
        <v>26</v>
      </c>
      <c r="D88" s="157" t="s">
        <v>26</v>
      </c>
    </row>
    <row r="89" spans="1:4" x14ac:dyDescent="0.3">
      <c r="A89" s="156" t="s">
        <v>22</v>
      </c>
      <c r="B89" s="106" t="s">
        <v>24</v>
      </c>
      <c r="C89" s="106" t="s">
        <v>26</v>
      </c>
      <c r="D89" s="157" t="s">
        <v>22</v>
      </c>
    </row>
    <row r="90" spans="1:4" x14ac:dyDescent="0.3">
      <c r="A90" s="156" t="s">
        <v>22</v>
      </c>
      <c r="B90" s="106" t="s">
        <v>25</v>
      </c>
      <c r="C90" s="106" t="s">
        <v>22</v>
      </c>
      <c r="D90" s="157" t="s">
        <v>22</v>
      </c>
    </row>
    <row r="91" spans="1:4" x14ac:dyDescent="0.3">
      <c r="A91" s="156" t="s">
        <v>22</v>
      </c>
      <c r="B91" s="106" t="s">
        <v>26</v>
      </c>
      <c r="C91" s="106" t="s">
        <v>22</v>
      </c>
      <c r="D91" s="157" t="s">
        <v>22</v>
      </c>
    </row>
    <row r="92" spans="1:4" x14ac:dyDescent="0.3">
      <c r="A92" s="156" t="s">
        <v>22</v>
      </c>
      <c r="B92" s="107" t="s">
        <v>22</v>
      </c>
      <c r="C92" s="106" t="s">
        <v>22</v>
      </c>
      <c r="D92" s="157" t="s">
        <v>22</v>
      </c>
    </row>
    <row r="93" spans="1:4" x14ac:dyDescent="0.3">
      <c r="A93" s="158" t="s">
        <v>23</v>
      </c>
      <c r="B93" s="107" t="s">
        <v>22</v>
      </c>
      <c r="C93" s="106" t="s">
        <v>22</v>
      </c>
      <c r="D93" s="159" t="s">
        <v>23</v>
      </c>
    </row>
    <row r="94" spans="1:4" x14ac:dyDescent="0.3">
      <c r="A94" s="156" t="s">
        <v>24</v>
      </c>
      <c r="B94" s="107" t="s">
        <v>23</v>
      </c>
      <c r="C94" s="106" t="s">
        <v>22</v>
      </c>
      <c r="D94" s="157" t="s">
        <v>24</v>
      </c>
    </row>
    <row r="95" spans="1:4" x14ac:dyDescent="0.3">
      <c r="A95" s="156" t="s">
        <v>24</v>
      </c>
      <c r="B95" s="106" t="s">
        <v>24</v>
      </c>
      <c r="C95" s="106" t="s">
        <v>22</v>
      </c>
      <c r="D95" s="157" t="s">
        <v>24</v>
      </c>
    </row>
    <row r="96" spans="1:4" x14ac:dyDescent="0.3">
      <c r="A96" s="156" t="s">
        <v>24</v>
      </c>
      <c r="B96" s="106" t="s">
        <v>24</v>
      </c>
      <c r="C96" s="106" t="s">
        <v>22</v>
      </c>
      <c r="D96" s="157" t="s">
        <v>24</v>
      </c>
    </row>
    <row r="97" spans="1:4" x14ac:dyDescent="0.3">
      <c r="A97" s="156" t="s">
        <v>24</v>
      </c>
      <c r="B97" s="106" t="s">
        <v>25</v>
      </c>
      <c r="C97" s="106" t="s">
        <v>22</v>
      </c>
      <c r="D97" s="157" t="s">
        <v>24</v>
      </c>
    </row>
    <row r="98" spans="1:4" x14ac:dyDescent="0.3">
      <c r="A98" s="156" t="s">
        <v>25</v>
      </c>
      <c r="B98" s="106" t="s">
        <v>26</v>
      </c>
      <c r="C98" s="107" t="s">
        <v>23</v>
      </c>
      <c r="D98" s="157" t="s">
        <v>25</v>
      </c>
    </row>
    <row r="99" spans="1:4" x14ac:dyDescent="0.3">
      <c r="A99" s="156" t="s">
        <v>25</v>
      </c>
      <c r="B99" s="107" t="s">
        <v>22</v>
      </c>
      <c r="C99" s="106" t="s">
        <v>24</v>
      </c>
      <c r="D99" s="157" t="s">
        <v>25</v>
      </c>
    </row>
    <row r="100" spans="1:4" x14ac:dyDescent="0.3">
      <c r="A100" s="156" t="s">
        <v>25</v>
      </c>
      <c r="B100" s="107" t="s">
        <v>22</v>
      </c>
      <c r="C100" s="106" t="s">
        <v>24</v>
      </c>
      <c r="D100" s="157" t="s">
        <v>25</v>
      </c>
    </row>
    <row r="101" spans="1:4" x14ac:dyDescent="0.3">
      <c r="A101" s="156" t="s">
        <v>26</v>
      </c>
      <c r="B101" s="107" t="s">
        <v>23</v>
      </c>
      <c r="C101" s="106" t="s">
        <v>24</v>
      </c>
      <c r="D101" s="157" t="s">
        <v>26</v>
      </c>
    </row>
    <row r="102" spans="1:4" x14ac:dyDescent="0.3">
      <c r="A102" s="156" t="s">
        <v>26</v>
      </c>
      <c r="B102" s="106" t="s">
        <v>24</v>
      </c>
      <c r="C102" s="106" t="s">
        <v>24</v>
      </c>
      <c r="D102" s="157" t="s">
        <v>26</v>
      </c>
    </row>
    <row r="103" spans="1:4" x14ac:dyDescent="0.3">
      <c r="A103" s="156" t="s">
        <v>26</v>
      </c>
      <c r="B103" s="106" t="s">
        <v>24</v>
      </c>
      <c r="C103" s="106" t="s">
        <v>24</v>
      </c>
      <c r="D103" s="157" t="s">
        <v>26</v>
      </c>
    </row>
    <row r="104" spans="1:4" x14ac:dyDescent="0.3">
      <c r="A104" s="156" t="s">
        <v>22</v>
      </c>
      <c r="B104" s="106" t="s">
        <v>25</v>
      </c>
      <c r="C104" s="106" t="s">
        <v>24</v>
      </c>
      <c r="D104" s="157" t="s">
        <v>22</v>
      </c>
    </row>
    <row r="105" spans="1:4" x14ac:dyDescent="0.3">
      <c r="A105" s="156" t="s">
        <v>22</v>
      </c>
      <c r="B105" s="106" t="s">
        <v>26</v>
      </c>
      <c r="C105" s="106" t="s">
        <v>24</v>
      </c>
      <c r="D105" s="157" t="s">
        <v>22</v>
      </c>
    </row>
    <row r="106" spans="1:4" x14ac:dyDescent="0.3">
      <c r="A106" s="156" t="s">
        <v>22</v>
      </c>
      <c r="B106" s="107" t="s">
        <v>22</v>
      </c>
      <c r="C106" s="106" t="s">
        <v>24</v>
      </c>
      <c r="D106" s="157" t="s">
        <v>22</v>
      </c>
    </row>
    <row r="107" spans="1:4" x14ac:dyDescent="0.3">
      <c r="A107" s="156" t="s">
        <v>22</v>
      </c>
      <c r="B107" s="107" t="s">
        <v>22</v>
      </c>
      <c r="C107" s="106" t="s">
        <v>25</v>
      </c>
      <c r="D107" s="157" t="s">
        <v>22</v>
      </c>
    </row>
    <row r="108" spans="1:4" x14ac:dyDescent="0.3">
      <c r="A108" s="158" t="s">
        <v>23</v>
      </c>
      <c r="B108" s="107" t="s">
        <v>23</v>
      </c>
      <c r="C108" s="106" t="s">
        <v>25</v>
      </c>
      <c r="D108" s="159" t="s">
        <v>23</v>
      </c>
    </row>
    <row r="109" spans="1:4" x14ac:dyDescent="0.3">
      <c r="A109" s="156" t="s">
        <v>24</v>
      </c>
      <c r="B109" s="106" t="s">
        <v>24</v>
      </c>
      <c r="C109" s="106" t="s">
        <v>25</v>
      </c>
      <c r="D109" s="157" t="s">
        <v>24</v>
      </c>
    </row>
    <row r="110" spans="1:4" x14ac:dyDescent="0.3">
      <c r="A110" s="156" t="s">
        <v>24</v>
      </c>
      <c r="B110" s="106" t="s">
        <v>24</v>
      </c>
      <c r="C110" s="106" t="s">
        <v>25</v>
      </c>
      <c r="D110" s="157" t="s">
        <v>24</v>
      </c>
    </row>
    <row r="111" spans="1:4" x14ac:dyDescent="0.3">
      <c r="A111" s="156" t="s">
        <v>24</v>
      </c>
      <c r="B111" s="106" t="s">
        <v>25</v>
      </c>
      <c r="C111" s="106" t="s">
        <v>25</v>
      </c>
      <c r="D111" s="157" t="s">
        <v>24</v>
      </c>
    </row>
    <row r="112" spans="1:4" ht="15" thickBot="1" x14ac:dyDescent="0.35">
      <c r="A112" s="160" t="s">
        <v>24</v>
      </c>
      <c r="B112" s="161" t="s">
        <v>26</v>
      </c>
      <c r="C112" s="161" t="s">
        <v>25</v>
      </c>
      <c r="D112" s="162" t="s">
        <v>24</v>
      </c>
    </row>
    <row r="114" spans="1:3" x14ac:dyDescent="0.3">
      <c r="A114" s="106" t="s">
        <v>139</v>
      </c>
    </row>
    <row r="115" spans="1:3" x14ac:dyDescent="0.3">
      <c r="A115" s="106" t="s">
        <v>140</v>
      </c>
      <c r="B115" s="1" t="s">
        <v>141</v>
      </c>
      <c r="C115" s="4" t="s">
        <v>142</v>
      </c>
    </row>
    <row r="116" spans="1:3" x14ac:dyDescent="0.3">
      <c r="A116" s="107" t="s">
        <v>143</v>
      </c>
      <c r="B116" s="1" t="s">
        <v>141</v>
      </c>
    </row>
    <row r="119" spans="1:3" x14ac:dyDescent="0.3">
      <c r="A119" s="163" t="s">
        <v>144</v>
      </c>
      <c r="B119" s="163" t="s">
        <v>145</v>
      </c>
    </row>
    <row r="120" spans="1:3" x14ac:dyDescent="0.3">
      <c r="A120" s="5" t="s">
        <v>45</v>
      </c>
      <c r="B120" s="164">
        <v>1</v>
      </c>
    </row>
    <row r="121" spans="1:3" x14ac:dyDescent="0.3">
      <c r="A121" s="3" t="s">
        <v>22</v>
      </c>
      <c r="B121" s="164">
        <v>2</v>
      </c>
    </row>
    <row r="122" spans="1:3" x14ac:dyDescent="0.3">
      <c r="A122" s="3" t="s">
        <v>26</v>
      </c>
      <c r="B122" s="164">
        <v>3</v>
      </c>
    </row>
    <row r="123" spans="1:3" x14ac:dyDescent="0.3">
      <c r="A123" s="3" t="s">
        <v>25</v>
      </c>
      <c r="B123" s="164">
        <v>4</v>
      </c>
    </row>
    <row r="124" spans="1:3" x14ac:dyDescent="0.3">
      <c r="A124" s="3" t="s">
        <v>24</v>
      </c>
      <c r="B124" s="164">
        <v>5</v>
      </c>
    </row>
  </sheetData>
  <mergeCells count="4">
    <mergeCell ref="A56:B56"/>
    <mergeCell ref="C56:D56"/>
    <mergeCell ref="B45:C45"/>
    <mergeCell ref="D45:E45"/>
  </mergeCells>
  <hyperlinks>
    <hyperlink ref="B35" r:id="rId1" xr:uid="{A8960ADD-09B6-4847-8F84-DF75D98556CE}"/>
    <hyperlink ref="B115" r:id="rId2" xr:uid="{96EC1BF6-CA5B-4F54-9818-7485236CA85D}"/>
    <hyperlink ref="B116" r:id="rId3" xr:uid="{571FEE64-FEF0-4B7C-8622-774BDF83C40F}"/>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47724-3258-430C-93FF-3358FD18119C}">
  <dimension ref="A1:CI18"/>
  <sheetViews>
    <sheetView workbookViewId="0">
      <selection activeCell="J30" sqref="J30"/>
    </sheetView>
  </sheetViews>
  <sheetFormatPr defaultRowHeight="14.4" x14ac:dyDescent="0.3"/>
  <cols>
    <col min="1" max="1" width="33" bestFit="1" customWidth="1"/>
    <col min="2" max="2" width="9.33203125" bestFit="1" customWidth="1"/>
    <col min="3" max="3" width="11.44140625" bestFit="1" customWidth="1"/>
    <col min="4" max="4" width="5.88671875" bestFit="1" customWidth="1"/>
    <col min="5" max="5" width="8.88671875" bestFit="1" customWidth="1"/>
    <col min="6" max="6" width="11.44140625" bestFit="1" customWidth="1"/>
    <col min="7" max="7" width="9.44140625" bestFit="1" customWidth="1"/>
    <col min="8" max="8" width="20.88671875" bestFit="1" customWidth="1"/>
    <col min="9" max="9" width="11.44140625" bestFit="1" customWidth="1"/>
    <col min="10" max="10" width="15" bestFit="1" customWidth="1"/>
    <col min="11" max="11" width="12.6640625" bestFit="1" customWidth="1"/>
    <col min="12" max="12" width="17.88671875" bestFit="1" customWidth="1"/>
    <col min="13" max="13" width="15" bestFit="1" customWidth="1"/>
    <col min="14" max="14" width="10.5546875" bestFit="1" customWidth="1"/>
    <col min="15" max="15" width="11.33203125" bestFit="1" customWidth="1"/>
    <col min="16" max="16" width="6" bestFit="1" customWidth="1"/>
    <col min="17" max="17" width="11.6640625" bestFit="1" customWidth="1"/>
    <col min="18" max="18" width="23.33203125" bestFit="1" customWidth="1"/>
    <col min="19" max="20" width="10.6640625" bestFit="1" customWidth="1"/>
    <col min="21" max="21" width="11.109375" bestFit="1" customWidth="1"/>
    <col min="22" max="23" width="10.6640625" bestFit="1" customWidth="1"/>
    <col min="24" max="24" width="10.109375" bestFit="1" customWidth="1"/>
    <col min="25" max="25" width="9.88671875" bestFit="1" customWidth="1"/>
    <col min="27" max="27" width="11" bestFit="1" customWidth="1"/>
    <col min="28" max="28" width="11.33203125" bestFit="1" customWidth="1"/>
    <col min="30" max="30" width="9.44140625" bestFit="1" customWidth="1"/>
    <col min="31" max="31" width="11.33203125" bestFit="1" customWidth="1"/>
    <col min="32" max="32" width="8.6640625" bestFit="1" customWidth="1"/>
    <col min="33" max="33" width="11.44140625" bestFit="1" customWidth="1"/>
    <col min="34" max="34" width="7" bestFit="1" customWidth="1"/>
    <col min="35" max="35" width="11.44140625" bestFit="1" customWidth="1"/>
    <col min="36" max="36" width="10.33203125" bestFit="1" customWidth="1"/>
    <col min="37" max="38" width="9" bestFit="1" customWidth="1"/>
    <col min="39" max="39" width="8" bestFit="1" customWidth="1"/>
    <col min="40" max="40" width="3.88671875" bestFit="1" customWidth="1"/>
    <col min="41" max="41" width="5.6640625" bestFit="1" customWidth="1"/>
    <col min="42" max="42" width="7.44140625" bestFit="1" customWidth="1"/>
    <col min="43" max="43" width="9.33203125" bestFit="1" customWidth="1"/>
    <col min="44" max="44" width="11" bestFit="1" customWidth="1"/>
    <col min="45" max="45" width="9.44140625" bestFit="1" customWidth="1"/>
    <col min="46" max="47" width="11.109375" bestFit="1" customWidth="1"/>
    <col min="48" max="49" width="7.6640625" bestFit="1" customWidth="1"/>
    <col min="50" max="50" width="4.6640625" bestFit="1" customWidth="1"/>
    <col min="51" max="51" width="8.44140625" bestFit="1" customWidth="1"/>
    <col min="52" max="52" width="10.5546875" bestFit="1" customWidth="1"/>
    <col min="53" max="53" width="10.6640625" bestFit="1" customWidth="1"/>
    <col min="54" max="54" width="7.88671875" bestFit="1" customWidth="1"/>
    <col min="55" max="55" width="9.33203125" bestFit="1" customWidth="1"/>
    <col min="56" max="56" width="11.33203125" bestFit="1" customWidth="1"/>
    <col min="57" max="62" width="14" bestFit="1" customWidth="1"/>
    <col min="63" max="63" width="8.33203125" bestFit="1" customWidth="1"/>
    <col min="64" max="65" width="6" bestFit="1" customWidth="1"/>
    <col min="66" max="66" width="9.33203125" bestFit="1" customWidth="1"/>
    <col min="67" max="67" width="11.44140625" bestFit="1" customWidth="1"/>
    <col min="68" max="68" width="9.88671875" bestFit="1" customWidth="1"/>
    <col min="69" max="69" width="10" bestFit="1" customWidth="1"/>
    <col min="70" max="70" width="6.109375" bestFit="1" customWidth="1"/>
    <col min="71" max="71" width="6.33203125" bestFit="1" customWidth="1"/>
    <col min="72" max="73" width="10.33203125" bestFit="1" customWidth="1"/>
    <col min="74" max="74" width="5.33203125" bestFit="1" customWidth="1"/>
    <col min="75" max="75" width="5.44140625" bestFit="1" customWidth="1"/>
    <col min="76" max="76" width="6.5546875" bestFit="1" customWidth="1"/>
    <col min="77" max="77" width="15.88671875" bestFit="1" customWidth="1"/>
    <col min="78" max="78" width="10.44140625" bestFit="1" customWidth="1"/>
    <col min="79" max="79" width="21.5546875" bestFit="1" customWidth="1"/>
    <col min="80" max="81" width="11" bestFit="1" customWidth="1"/>
    <col min="82" max="82" width="9.33203125" bestFit="1" customWidth="1"/>
    <col min="83" max="83" width="6.44140625" bestFit="1" customWidth="1"/>
    <col min="84" max="84" width="16.5546875" bestFit="1" customWidth="1"/>
  </cols>
  <sheetData>
    <row r="1" spans="1:87" ht="15.6" x14ac:dyDescent="0.3">
      <c r="A1" s="128" t="s">
        <v>273</v>
      </c>
      <c r="B1" s="107" t="s">
        <v>274</v>
      </c>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6"/>
      <c r="AF1" s="106"/>
      <c r="AG1" s="106"/>
      <c r="AH1" s="106"/>
      <c r="AI1" s="106"/>
      <c r="AJ1" s="106"/>
      <c r="AK1" s="106"/>
      <c r="AL1" s="106"/>
      <c r="AM1" s="106"/>
      <c r="AN1" s="106"/>
      <c r="AO1" s="106"/>
      <c r="AP1" s="106"/>
      <c r="AQ1" s="106"/>
      <c r="AR1" s="106"/>
      <c r="AS1" s="106"/>
      <c r="AT1" s="106"/>
      <c r="AU1" s="106"/>
      <c r="AV1" s="106"/>
      <c r="AW1" s="106"/>
      <c r="AX1" s="106"/>
      <c r="AY1" s="106"/>
      <c r="AZ1" s="106"/>
      <c r="BA1" s="106"/>
      <c r="BB1" s="106"/>
      <c r="BC1" s="106"/>
      <c r="BD1" s="106"/>
      <c r="BE1" s="106"/>
      <c r="BF1" s="106"/>
      <c r="BG1" s="106"/>
      <c r="BH1" s="106"/>
      <c r="BI1" s="106"/>
      <c r="BJ1" s="106"/>
      <c r="BK1" s="106"/>
      <c r="BL1" s="106"/>
      <c r="BM1" s="106"/>
      <c r="BN1" s="106"/>
      <c r="BO1" s="106"/>
      <c r="BP1" s="106"/>
      <c r="BQ1" s="106"/>
      <c r="BR1" s="106"/>
      <c r="BS1" s="106"/>
      <c r="BT1" s="106"/>
      <c r="BU1" s="106"/>
      <c r="BV1" s="106"/>
      <c r="BW1" s="106"/>
      <c r="BX1" s="106"/>
      <c r="BY1" s="106"/>
      <c r="BZ1" s="106"/>
      <c r="CA1" s="106"/>
      <c r="CB1" s="106"/>
      <c r="CC1" s="106"/>
      <c r="CD1" s="106"/>
      <c r="CE1" s="106"/>
      <c r="CF1" s="106"/>
      <c r="CG1" s="106"/>
      <c r="CH1" s="106"/>
      <c r="CI1" s="106"/>
    </row>
    <row r="2" spans="1:87" ht="15" thickBot="1" x14ac:dyDescent="0.35">
      <c r="A2" s="106"/>
      <c r="B2" s="106"/>
      <c r="C2" s="106"/>
      <c r="D2" s="106"/>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c r="AU2" s="106"/>
      <c r="AV2" s="106"/>
      <c r="AW2" s="106"/>
      <c r="AX2" s="106"/>
      <c r="AY2" s="106"/>
      <c r="AZ2" s="106"/>
      <c r="BA2" s="106"/>
      <c r="BB2" s="106"/>
      <c r="BC2" s="106"/>
      <c r="BD2" s="106"/>
      <c r="BE2" s="106"/>
      <c r="BF2" s="106"/>
      <c r="BG2" s="106"/>
      <c r="BH2" s="106"/>
      <c r="BI2" s="106"/>
      <c r="BJ2" s="106"/>
      <c r="BK2" s="106"/>
      <c r="BL2" s="106"/>
      <c r="BM2" s="106"/>
      <c r="BN2" s="106"/>
      <c r="BO2" s="106"/>
      <c r="BP2" s="106"/>
      <c r="BQ2" s="106"/>
      <c r="BR2" s="106"/>
      <c r="BS2" s="106"/>
      <c r="BT2" s="106"/>
      <c r="BU2" s="106"/>
      <c r="BV2" s="106"/>
      <c r="BW2" s="106"/>
      <c r="BX2" s="106"/>
      <c r="BY2" s="106"/>
      <c r="BZ2" s="106"/>
      <c r="CA2" s="106"/>
      <c r="CB2" s="106"/>
      <c r="CC2" s="106"/>
      <c r="CD2" s="106"/>
      <c r="CE2" s="106"/>
      <c r="CF2" s="106"/>
      <c r="CG2" s="106"/>
      <c r="CH2" s="106"/>
      <c r="CI2" s="106"/>
    </row>
    <row r="3" spans="1:87" x14ac:dyDescent="0.3">
      <c r="A3" s="129" t="s">
        <v>144</v>
      </c>
      <c r="B3" s="106" t="s">
        <v>275</v>
      </c>
      <c r="C3" s="106" t="s">
        <v>276</v>
      </c>
      <c r="D3" s="106" t="s">
        <v>146</v>
      </c>
      <c r="E3" s="106" t="s">
        <v>147</v>
      </c>
      <c r="F3" s="106" t="s">
        <v>148</v>
      </c>
      <c r="G3" s="106" t="s">
        <v>149</v>
      </c>
      <c r="H3" s="106" t="s">
        <v>150</v>
      </c>
      <c r="I3" s="106" t="s">
        <v>151</v>
      </c>
      <c r="J3" s="106" t="s">
        <v>152</v>
      </c>
      <c r="K3" s="106" t="s">
        <v>153</v>
      </c>
      <c r="L3" s="106" t="s">
        <v>154</v>
      </c>
      <c r="M3" s="106" t="s">
        <v>155</v>
      </c>
      <c r="N3" s="106" t="s">
        <v>156</v>
      </c>
      <c r="O3" s="130" t="s">
        <v>157</v>
      </c>
      <c r="P3" s="131" t="s">
        <v>158</v>
      </c>
      <c r="Q3" s="106" t="s">
        <v>159</v>
      </c>
      <c r="R3" s="106" t="s">
        <v>160</v>
      </c>
      <c r="S3" s="106" t="s">
        <v>161</v>
      </c>
      <c r="T3" s="106" t="s">
        <v>162</v>
      </c>
      <c r="U3" s="106" t="s">
        <v>163</v>
      </c>
      <c r="V3" s="106" t="s">
        <v>164</v>
      </c>
      <c r="W3" s="106" t="s">
        <v>165</v>
      </c>
      <c r="X3" s="106" t="s">
        <v>166</v>
      </c>
      <c r="Y3" s="106" t="s">
        <v>167</v>
      </c>
      <c r="Z3" s="106" t="s">
        <v>168</v>
      </c>
      <c r="AA3" s="106" t="s">
        <v>169</v>
      </c>
      <c r="AB3" s="106" t="s">
        <v>170</v>
      </c>
      <c r="AC3" s="106" t="s">
        <v>171</v>
      </c>
      <c r="AD3" s="106" t="s">
        <v>172</v>
      </c>
      <c r="AE3" s="106" t="s">
        <v>173</v>
      </c>
      <c r="AF3" s="106" t="s">
        <v>174</v>
      </c>
      <c r="AG3" s="106" t="s">
        <v>175</v>
      </c>
      <c r="AH3" s="106" t="s">
        <v>176</v>
      </c>
      <c r="AI3" s="106" t="s">
        <v>177</v>
      </c>
      <c r="AJ3" s="106" t="s">
        <v>178</v>
      </c>
      <c r="AK3" s="106" t="s">
        <v>179</v>
      </c>
      <c r="AL3" s="106" t="s">
        <v>180</v>
      </c>
      <c r="AM3" s="106" t="s">
        <v>181</v>
      </c>
      <c r="AN3" s="106" t="s">
        <v>182</v>
      </c>
      <c r="AO3" s="106" t="s">
        <v>183</v>
      </c>
      <c r="AP3" s="106" t="s">
        <v>184</v>
      </c>
      <c r="AQ3" s="106" t="s">
        <v>185</v>
      </c>
      <c r="AR3" s="106" t="s">
        <v>186</v>
      </c>
      <c r="AS3" s="106" t="s">
        <v>187</v>
      </c>
      <c r="AT3" s="106" t="s">
        <v>188</v>
      </c>
      <c r="AU3" s="106" t="s">
        <v>189</v>
      </c>
      <c r="AV3" s="106" t="s">
        <v>190</v>
      </c>
      <c r="AW3" s="106" t="s">
        <v>191</v>
      </c>
      <c r="AX3" s="106" t="s">
        <v>192</v>
      </c>
      <c r="AY3" s="106" t="s">
        <v>193</v>
      </c>
      <c r="AZ3" s="106" t="s">
        <v>194</v>
      </c>
      <c r="BA3" s="106" t="s">
        <v>195</v>
      </c>
      <c r="BB3" s="106" t="s">
        <v>196</v>
      </c>
      <c r="BC3" s="106" t="s">
        <v>197</v>
      </c>
      <c r="BD3" s="106" t="s">
        <v>198</v>
      </c>
      <c r="BE3" s="106" t="s">
        <v>199</v>
      </c>
      <c r="BF3" s="106" t="s">
        <v>200</v>
      </c>
      <c r="BG3" s="106" t="s">
        <v>201</v>
      </c>
      <c r="BH3" s="106" t="s">
        <v>202</v>
      </c>
      <c r="BI3" s="106" t="s">
        <v>203</v>
      </c>
      <c r="BJ3" s="106" t="s">
        <v>204</v>
      </c>
      <c r="BK3" s="106" t="s">
        <v>277</v>
      </c>
      <c r="BL3" s="106" t="s">
        <v>278</v>
      </c>
      <c r="BM3" s="106" t="s">
        <v>205</v>
      </c>
      <c r="BN3" s="106" t="s">
        <v>206</v>
      </c>
      <c r="BO3" s="106" t="s">
        <v>207</v>
      </c>
      <c r="BP3" s="106" t="s">
        <v>208</v>
      </c>
      <c r="BQ3" s="106" t="s">
        <v>209</v>
      </c>
      <c r="BR3" s="106" t="s">
        <v>210</v>
      </c>
      <c r="BS3" s="106" t="s">
        <v>211</v>
      </c>
      <c r="BT3" s="106" t="s">
        <v>212</v>
      </c>
      <c r="BU3" s="106" t="s">
        <v>213</v>
      </c>
      <c r="BV3" s="106" t="s">
        <v>214</v>
      </c>
      <c r="BW3" s="106" t="s">
        <v>215</v>
      </c>
      <c r="BX3" s="106" t="s">
        <v>216</v>
      </c>
      <c r="BY3" s="106" t="s">
        <v>217</v>
      </c>
      <c r="BZ3" s="106" t="s">
        <v>218</v>
      </c>
      <c r="CA3" s="106" t="s">
        <v>219</v>
      </c>
      <c r="CB3" s="106" t="s">
        <v>220</v>
      </c>
      <c r="CC3" s="106" t="s">
        <v>221</v>
      </c>
      <c r="CD3" s="106" t="s">
        <v>222</v>
      </c>
      <c r="CE3" s="106" t="s">
        <v>279</v>
      </c>
      <c r="CF3" s="106" t="s">
        <v>223</v>
      </c>
      <c r="CG3" s="106" t="s">
        <v>280</v>
      </c>
      <c r="CH3" s="106" t="s">
        <v>281</v>
      </c>
      <c r="CI3" s="106"/>
    </row>
    <row r="4" spans="1:87" x14ac:dyDescent="0.3">
      <c r="A4" s="131" t="str">
        <f>IF(P4&gt;85,"Good",IF(P4&gt;70,"Satisfactory",IF(P4&gt;55,"Fair",IF(P4&gt;40,"Poor",IF(P4&gt;25,"Very Poor",IF(P4&gt;10,"Serious","Failed"))))))</f>
        <v>Poor</v>
      </c>
      <c r="B4" s="165">
        <v>1097</v>
      </c>
      <c r="C4" s="166" t="s">
        <v>288</v>
      </c>
      <c r="D4" s="133" t="s">
        <v>289</v>
      </c>
      <c r="E4" s="133">
        <v>1</v>
      </c>
      <c r="F4" s="133">
        <v>-857419</v>
      </c>
      <c r="G4" s="133" t="s">
        <v>290</v>
      </c>
      <c r="H4" s="133" t="s">
        <v>291</v>
      </c>
      <c r="I4" s="133" t="s">
        <v>292</v>
      </c>
      <c r="J4" s="133" t="s">
        <v>289</v>
      </c>
      <c r="K4" s="133" t="s">
        <v>293</v>
      </c>
      <c r="L4" s="133" t="s">
        <v>294</v>
      </c>
      <c r="M4" s="133" t="s">
        <v>293</v>
      </c>
      <c r="N4" s="133" t="s">
        <v>293</v>
      </c>
      <c r="O4" s="133">
        <v>78</v>
      </c>
      <c r="P4" s="133">
        <v>41.051679999999998</v>
      </c>
      <c r="Q4" s="133">
        <v>4</v>
      </c>
      <c r="R4" s="133">
        <v>0</v>
      </c>
      <c r="S4" s="133" t="s">
        <v>224</v>
      </c>
      <c r="T4" s="133" t="s">
        <v>295</v>
      </c>
      <c r="U4" s="133">
        <v>888.06</v>
      </c>
      <c r="V4" s="133">
        <v>24</v>
      </c>
      <c r="W4" s="133">
        <v>46179.14</v>
      </c>
      <c r="X4" s="133">
        <v>20</v>
      </c>
      <c r="Y4" s="133">
        <v>13</v>
      </c>
      <c r="Z4" s="133">
        <v>178</v>
      </c>
      <c r="AA4" s="133" t="s">
        <v>225</v>
      </c>
      <c r="AB4" s="133">
        <v>31048</v>
      </c>
      <c r="AC4" s="133">
        <v>31048</v>
      </c>
      <c r="AD4" s="133" t="s">
        <v>108</v>
      </c>
      <c r="AE4" s="133">
        <v>0</v>
      </c>
      <c r="AF4" s="133">
        <v>0</v>
      </c>
      <c r="AG4" s="133" t="s">
        <v>226</v>
      </c>
      <c r="AH4" s="133">
        <v>0</v>
      </c>
      <c r="AI4" s="133" t="s">
        <v>108</v>
      </c>
      <c r="AJ4" s="133" t="s">
        <v>108</v>
      </c>
      <c r="AK4" s="133" t="s">
        <v>108</v>
      </c>
      <c r="AL4" s="133">
        <v>0</v>
      </c>
      <c r="AM4" s="133">
        <v>0</v>
      </c>
      <c r="AN4" s="133">
        <v>43840</v>
      </c>
      <c r="AO4" s="133">
        <v>79</v>
      </c>
      <c r="AP4" s="133">
        <v>81</v>
      </c>
      <c r="AQ4" s="133">
        <v>78</v>
      </c>
      <c r="AR4" s="133">
        <v>47.536810000000003</v>
      </c>
      <c r="AS4" s="133">
        <v>32.389580000000002</v>
      </c>
      <c r="AT4" s="133">
        <v>20.073609999999999</v>
      </c>
      <c r="AU4" s="133" t="s">
        <v>227</v>
      </c>
      <c r="AV4" s="133" t="s">
        <v>225</v>
      </c>
      <c r="AW4" s="133">
        <v>2</v>
      </c>
      <c r="AX4" s="133">
        <v>0</v>
      </c>
      <c r="AY4" s="133">
        <v>0</v>
      </c>
      <c r="AZ4" s="133">
        <v>0</v>
      </c>
      <c r="BA4" s="133" t="s">
        <v>108</v>
      </c>
      <c r="BB4" s="133" t="s">
        <v>108</v>
      </c>
      <c r="BC4" s="133">
        <v>0</v>
      </c>
      <c r="BD4" s="133">
        <v>0.87714099999999995</v>
      </c>
      <c r="BE4" s="133" t="s">
        <v>225</v>
      </c>
      <c r="BF4" s="133" t="s">
        <v>296</v>
      </c>
      <c r="BG4" s="133" t="s">
        <v>297</v>
      </c>
      <c r="BH4" s="133" t="s">
        <v>298</v>
      </c>
      <c r="BI4" s="133" t="s">
        <v>299</v>
      </c>
      <c r="BJ4" s="133" t="s">
        <v>300</v>
      </c>
      <c r="BK4" s="133" t="s">
        <v>301</v>
      </c>
      <c r="BL4" s="133" t="s">
        <v>302</v>
      </c>
      <c r="BM4" s="133" t="s">
        <v>108</v>
      </c>
      <c r="BN4" s="133" t="s">
        <v>108</v>
      </c>
      <c r="BO4" s="133" t="s">
        <v>291</v>
      </c>
      <c r="BP4" s="133" t="s">
        <v>303</v>
      </c>
      <c r="BQ4" s="133">
        <v>0</v>
      </c>
      <c r="BR4" s="133">
        <v>0</v>
      </c>
      <c r="BS4" s="133">
        <v>0</v>
      </c>
      <c r="BT4" s="133">
        <v>0</v>
      </c>
      <c r="BU4" s="133">
        <v>0</v>
      </c>
      <c r="BV4" s="133">
        <v>0</v>
      </c>
      <c r="BW4" s="133">
        <v>0</v>
      </c>
      <c r="BX4" s="133">
        <v>0</v>
      </c>
      <c r="BY4" s="133">
        <v>0</v>
      </c>
      <c r="BZ4" s="133" t="s">
        <v>293</v>
      </c>
      <c r="CA4" s="133">
        <v>0</v>
      </c>
      <c r="CB4" s="133" t="s">
        <v>304</v>
      </c>
      <c r="CC4" s="133" t="s">
        <v>305</v>
      </c>
      <c r="CD4" s="133" t="s">
        <v>228</v>
      </c>
      <c r="CE4" s="133">
        <v>10110738</v>
      </c>
      <c r="CF4" s="133" t="s">
        <v>226</v>
      </c>
      <c r="CG4" s="133">
        <v>888.06045103707197</v>
      </c>
      <c r="CH4" s="134"/>
      <c r="CI4" s="106"/>
    </row>
    <row r="5" spans="1:87" x14ac:dyDescent="0.3">
      <c r="A5" s="106"/>
      <c r="B5" s="167">
        <v>1062</v>
      </c>
      <c r="C5" s="168" t="s">
        <v>288</v>
      </c>
      <c r="D5" s="135" t="s">
        <v>306</v>
      </c>
      <c r="E5" s="135">
        <v>1</v>
      </c>
      <c r="F5" s="135">
        <v>-857419</v>
      </c>
      <c r="G5" s="135" t="s">
        <v>290</v>
      </c>
      <c r="H5" s="135" t="s">
        <v>307</v>
      </c>
      <c r="I5" s="135" t="s">
        <v>292</v>
      </c>
      <c r="J5" s="135" t="s">
        <v>306</v>
      </c>
      <c r="K5" s="135" t="s">
        <v>293</v>
      </c>
      <c r="L5" s="135" t="s">
        <v>294</v>
      </c>
      <c r="M5" s="135" t="s">
        <v>293</v>
      </c>
      <c r="N5" s="135" t="s">
        <v>293</v>
      </c>
      <c r="O5" s="135">
        <v>80</v>
      </c>
      <c r="P5" s="135">
        <v>44.613590000000002</v>
      </c>
      <c r="Q5" s="135">
        <v>4</v>
      </c>
      <c r="R5" s="135">
        <v>0</v>
      </c>
      <c r="S5" s="135" t="s">
        <v>224</v>
      </c>
      <c r="T5" s="135" t="s">
        <v>295</v>
      </c>
      <c r="U5" s="135">
        <v>1396.75</v>
      </c>
      <c r="V5" s="135">
        <v>24</v>
      </c>
      <c r="W5" s="135">
        <v>72630.820000000007</v>
      </c>
      <c r="X5" s="135">
        <v>20</v>
      </c>
      <c r="Y5" s="135">
        <v>13</v>
      </c>
      <c r="Z5" s="135">
        <v>279</v>
      </c>
      <c r="AA5" s="135" t="s">
        <v>225</v>
      </c>
      <c r="AB5" s="135">
        <v>31048</v>
      </c>
      <c r="AC5" s="135">
        <v>31048</v>
      </c>
      <c r="AD5" s="135" t="s">
        <v>108</v>
      </c>
      <c r="AE5" s="135">
        <v>0</v>
      </c>
      <c r="AF5" s="135">
        <v>0</v>
      </c>
      <c r="AG5" s="135" t="s">
        <v>226</v>
      </c>
      <c r="AH5" s="135">
        <v>0</v>
      </c>
      <c r="AI5" s="135" t="s">
        <v>108</v>
      </c>
      <c r="AJ5" s="135" t="s">
        <v>108</v>
      </c>
      <c r="AK5" s="135" t="s">
        <v>108</v>
      </c>
      <c r="AL5" s="135">
        <v>0</v>
      </c>
      <c r="AM5" s="135">
        <v>0</v>
      </c>
      <c r="AN5" s="135">
        <v>43840</v>
      </c>
      <c r="AO5" s="135">
        <v>81</v>
      </c>
      <c r="AP5" s="135">
        <v>86</v>
      </c>
      <c r="AQ5" s="135">
        <v>75</v>
      </c>
      <c r="AR5" s="135">
        <v>55.390700000000002</v>
      </c>
      <c r="AS5" s="135">
        <v>23.079460000000001</v>
      </c>
      <c r="AT5" s="135">
        <v>21.52984</v>
      </c>
      <c r="AU5" s="135" t="s">
        <v>227</v>
      </c>
      <c r="AV5" s="135" t="s">
        <v>225</v>
      </c>
      <c r="AW5" s="135">
        <v>3</v>
      </c>
      <c r="AX5" s="135">
        <v>0</v>
      </c>
      <c r="AY5" s="135">
        <v>0</v>
      </c>
      <c r="AZ5" s="135">
        <v>0</v>
      </c>
      <c r="BA5" s="135" t="s">
        <v>108</v>
      </c>
      <c r="BB5" s="135" t="s">
        <v>108</v>
      </c>
      <c r="BC5" s="135">
        <v>0</v>
      </c>
      <c r="BD5" s="135">
        <v>0.79360399999999998</v>
      </c>
      <c r="BE5" s="135" t="s">
        <v>225</v>
      </c>
      <c r="BF5" s="135" t="s">
        <v>308</v>
      </c>
      <c r="BG5" s="135" t="s">
        <v>309</v>
      </c>
      <c r="BH5" s="135" t="s">
        <v>310</v>
      </c>
      <c r="BI5" s="135" t="s">
        <v>311</v>
      </c>
      <c r="BJ5" s="135" t="s">
        <v>312</v>
      </c>
      <c r="BK5" s="135" t="s">
        <v>313</v>
      </c>
      <c r="BL5" s="135" t="s">
        <v>314</v>
      </c>
      <c r="BM5" s="135" t="s">
        <v>108</v>
      </c>
      <c r="BN5" s="135" t="s">
        <v>108</v>
      </c>
      <c r="BO5" s="135" t="s">
        <v>307</v>
      </c>
      <c r="BP5" s="135" t="s">
        <v>315</v>
      </c>
      <c r="BQ5" s="135">
        <v>0</v>
      </c>
      <c r="BR5" s="135">
        <v>0</v>
      </c>
      <c r="BS5" s="135">
        <v>0</v>
      </c>
      <c r="BT5" s="135">
        <v>0</v>
      </c>
      <c r="BU5" s="135">
        <v>0</v>
      </c>
      <c r="BV5" s="135">
        <v>0</v>
      </c>
      <c r="BW5" s="135">
        <v>0</v>
      </c>
      <c r="BX5" s="135">
        <v>0</v>
      </c>
      <c r="BY5" s="135">
        <v>0</v>
      </c>
      <c r="BZ5" s="135" t="s">
        <v>293</v>
      </c>
      <c r="CA5" s="135">
        <v>0</v>
      </c>
      <c r="CB5" s="135" t="s">
        <v>316</v>
      </c>
      <c r="CC5" s="135" t="s">
        <v>305</v>
      </c>
      <c r="CD5" s="135" t="s">
        <v>228</v>
      </c>
      <c r="CE5" s="135">
        <v>10110829</v>
      </c>
      <c r="CF5" s="135" t="s">
        <v>226</v>
      </c>
      <c r="CG5" s="135">
        <v>1396.7465399637399</v>
      </c>
      <c r="CH5" s="136"/>
      <c r="CI5" s="106"/>
    </row>
    <row r="6" spans="1:87" x14ac:dyDescent="0.3">
      <c r="A6" s="106"/>
      <c r="B6" s="165">
        <v>1053</v>
      </c>
      <c r="C6" s="166" t="s">
        <v>288</v>
      </c>
      <c r="D6" s="133" t="s">
        <v>317</v>
      </c>
      <c r="E6" s="133">
        <v>1</v>
      </c>
      <c r="F6" s="133">
        <v>-857419</v>
      </c>
      <c r="G6" s="133" t="s">
        <v>290</v>
      </c>
      <c r="H6" s="133" t="s">
        <v>318</v>
      </c>
      <c r="I6" s="133" t="s">
        <v>292</v>
      </c>
      <c r="J6" s="133" t="s">
        <v>317</v>
      </c>
      <c r="K6" s="133" t="s">
        <v>293</v>
      </c>
      <c r="L6" s="133" t="s">
        <v>294</v>
      </c>
      <c r="M6" s="133" t="s">
        <v>319</v>
      </c>
      <c r="N6" s="133" t="s">
        <v>293</v>
      </c>
      <c r="O6" s="133">
        <v>79</v>
      </c>
      <c r="P6" s="133">
        <v>42.788080000000001</v>
      </c>
      <c r="Q6" s="133">
        <v>4</v>
      </c>
      <c r="R6" s="133">
        <v>0</v>
      </c>
      <c r="S6" s="133" t="s">
        <v>224</v>
      </c>
      <c r="T6" s="133" t="s">
        <v>295</v>
      </c>
      <c r="U6" s="133">
        <v>1377.57</v>
      </c>
      <c r="V6" s="133">
        <v>24</v>
      </c>
      <c r="W6" s="133">
        <v>71633.440000000002</v>
      </c>
      <c r="X6" s="133">
        <v>20</v>
      </c>
      <c r="Y6" s="133">
        <v>13</v>
      </c>
      <c r="Z6" s="133">
        <v>276</v>
      </c>
      <c r="AA6" s="133" t="s">
        <v>225</v>
      </c>
      <c r="AB6" s="133">
        <v>31048</v>
      </c>
      <c r="AC6" s="133">
        <v>31048</v>
      </c>
      <c r="AD6" s="133" t="s">
        <v>108</v>
      </c>
      <c r="AE6" s="133">
        <v>0</v>
      </c>
      <c r="AF6" s="133">
        <v>0</v>
      </c>
      <c r="AG6" s="133" t="s">
        <v>226</v>
      </c>
      <c r="AH6" s="133">
        <v>0</v>
      </c>
      <c r="AI6" s="133" t="s">
        <v>108</v>
      </c>
      <c r="AJ6" s="133" t="s">
        <v>108</v>
      </c>
      <c r="AK6" s="133" t="s">
        <v>108</v>
      </c>
      <c r="AL6" s="133">
        <v>0</v>
      </c>
      <c r="AM6" s="133">
        <v>0</v>
      </c>
      <c r="AN6" s="133">
        <v>43840</v>
      </c>
      <c r="AO6" s="133">
        <v>80</v>
      </c>
      <c r="AP6" s="133">
        <v>83</v>
      </c>
      <c r="AQ6" s="133">
        <v>78</v>
      </c>
      <c r="AR6" s="133">
        <v>43.889020000000002</v>
      </c>
      <c r="AS6" s="133">
        <v>37.101579999999998</v>
      </c>
      <c r="AT6" s="133">
        <v>19.009399999999999</v>
      </c>
      <c r="AU6" s="133" t="s">
        <v>227</v>
      </c>
      <c r="AV6" s="133" t="s">
        <v>225</v>
      </c>
      <c r="AW6" s="133">
        <v>3</v>
      </c>
      <c r="AX6" s="133">
        <v>0</v>
      </c>
      <c r="AY6" s="133">
        <v>0</v>
      </c>
      <c r="AZ6" s="133">
        <v>0</v>
      </c>
      <c r="BA6" s="133" t="s">
        <v>108</v>
      </c>
      <c r="BB6" s="133" t="s">
        <v>108</v>
      </c>
      <c r="BC6" s="133">
        <v>0</v>
      </c>
      <c r="BD6" s="133">
        <v>0.835372</v>
      </c>
      <c r="BE6" s="133" t="s">
        <v>225</v>
      </c>
      <c r="BF6" s="133" t="s">
        <v>320</v>
      </c>
      <c r="BG6" s="133" t="s">
        <v>321</v>
      </c>
      <c r="BH6" s="133" t="s">
        <v>322</v>
      </c>
      <c r="BI6" s="133" t="s">
        <v>323</v>
      </c>
      <c r="BJ6" s="133" t="s">
        <v>324</v>
      </c>
      <c r="BK6" s="133" t="s">
        <v>325</v>
      </c>
      <c r="BL6" s="133" t="s">
        <v>326</v>
      </c>
      <c r="BM6" s="133" t="s">
        <v>108</v>
      </c>
      <c r="BN6" s="133" t="s">
        <v>108</v>
      </c>
      <c r="BO6" s="133" t="s">
        <v>318</v>
      </c>
      <c r="BP6" s="133" t="s">
        <v>327</v>
      </c>
      <c r="BQ6" s="133">
        <v>0</v>
      </c>
      <c r="BR6" s="133">
        <v>0</v>
      </c>
      <c r="BS6" s="133">
        <v>0</v>
      </c>
      <c r="BT6" s="133">
        <v>0</v>
      </c>
      <c r="BU6" s="133">
        <v>0</v>
      </c>
      <c r="BV6" s="133">
        <v>0</v>
      </c>
      <c r="BW6" s="133">
        <v>0</v>
      </c>
      <c r="BX6" s="133">
        <v>0</v>
      </c>
      <c r="BY6" s="133">
        <v>0</v>
      </c>
      <c r="BZ6" s="133" t="s">
        <v>293</v>
      </c>
      <c r="CA6" s="133">
        <v>0</v>
      </c>
      <c r="CB6" s="133" t="s">
        <v>328</v>
      </c>
      <c r="CC6" s="133" t="s">
        <v>305</v>
      </c>
      <c r="CD6" s="133" t="s">
        <v>228</v>
      </c>
      <c r="CE6" s="133">
        <v>10110795</v>
      </c>
      <c r="CF6" s="133" t="s">
        <v>226</v>
      </c>
      <c r="CG6" s="133">
        <v>1377.5662246391901</v>
      </c>
      <c r="CH6" s="134"/>
      <c r="CI6" s="106"/>
    </row>
    <row r="7" spans="1:87" x14ac:dyDescent="0.3">
      <c r="A7" s="106"/>
      <c r="B7" s="106"/>
      <c r="C7" s="106"/>
      <c r="D7" s="135"/>
      <c r="E7" s="135"/>
      <c r="F7" s="135"/>
      <c r="G7" s="135"/>
      <c r="H7" s="135"/>
      <c r="I7" s="135"/>
      <c r="J7" s="135"/>
      <c r="K7" s="135"/>
      <c r="L7" s="135"/>
      <c r="M7" s="135"/>
      <c r="N7" s="135"/>
      <c r="O7" s="135"/>
      <c r="P7" s="135"/>
      <c r="Q7" s="135"/>
      <c r="R7" s="135"/>
      <c r="S7" s="135"/>
      <c r="T7" s="135"/>
      <c r="U7" s="135"/>
      <c r="V7" s="135"/>
      <c r="W7" s="135"/>
      <c r="X7" s="135"/>
      <c r="Y7" s="135"/>
      <c r="Z7" s="135"/>
      <c r="AA7" s="135"/>
      <c r="AB7" s="135"/>
      <c r="AC7" s="135"/>
      <c r="AD7" s="135"/>
      <c r="AE7" s="135"/>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6"/>
      <c r="CI7" s="106"/>
    </row>
    <row r="8" spans="1:87" x14ac:dyDescent="0.3">
      <c r="A8" s="106"/>
      <c r="B8" s="106"/>
      <c r="C8" s="106"/>
      <c r="D8" s="133"/>
      <c r="E8" s="133"/>
      <c r="F8" s="133"/>
      <c r="G8" s="133"/>
      <c r="H8" s="133"/>
      <c r="I8" s="133"/>
      <c r="J8" s="133"/>
      <c r="K8" s="133"/>
      <c r="L8" s="133"/>
      <c r="M8" s="133"/>
      <c r="N8" s="133"/>
      <c r="O8" s="133"/>
      <c r="P8" s="133"/>
      <c r="Q8" s="133"/>
      <c r="R8" s="133"/>
      <c r="S8" s="133"/>
      <c r="T8" s="133"/>
      <c r="U8" s="133"/>
      <c r="V8" s="133"/>
      <c r="W8" s="133"/>
      <c r="X8" s="133"/>
      <c r="Y8" s="133"/>
      <c r="Z8" s="133"/>
      <c r="AA8" s="133"/>
      <c r="AB8" s="133"/>
      <c r="AC8" s="133"/>
      <c r="AD8" s="133"/>
      <c r="AE8" s="133"/>
      <c r="AF8" s="133"/>
      <c r="AG8" s="133"/>
      <c r="AH8" s="133"/>
      <c r="AI8" s="133"/>
      <c r="AJ8" s="133"/>
      <c r="AK8" s="133"/>
      <c r="AL8" s="133"/>
      <c r="AM8" s="133"/>
      <c r="AN8" s="133"/>
      <c r="AO8" s="133"/>
      <c r="AP8" s="133"/>
      <c r="AQ8" s="133"/>
      <c r="AR8" s="133"/>
      <c r="AS8" s="133"/>
      <c r="AT8" s="133"/>
      <c r="AU8" s="133"/>
      <c r="AV8" s="133"/>
      <c r="AW8" s="133"/>
      <c r="AX8" s="133"/>
      <c r="AY8" s="133"/>
      <c r="AZ8" s="133"/>
      <c r="BA8" s="133"/>
      <c r="BB8" s="133"/>
      <c r="BC8" s="133"/>
      <c r="BD8" s="133"/>
      <c r="BE8" s="133"/>
      <c r="BF8" s="133"/>
      <c r="BG8" s="133"/>
      <c r="BH8" s="133"/>
      <c r="BI8" s="133"/>
      <c r="BJ8" s="133"/>
      <c r="BK8" s="133"/>
      <c r="BL8" s="133"/>
      <c r="BM8" s="133"/>
      <c r="BN8" s="133"/>
      <c r="BO8" s="133"/>
      <c r="BP8" s="133"/>
      <c r="BQ8" s="133"/>
      <c r="BR8" s="133"/>
      <c r="BS8" s="133"/>
      <c r="BT8" s="133"/>
      <c r="BU8" s="133"/>
      <c r="BV8" s="133"/>
      <c r="BW8" s="133"/>
      <c r="BX8" s="133"/>
      <c r="BY8" s="133"/>
      <c r="BZ8" s="133"/>
      <c r="CA8" s="133"/>
      <c r="CB8" s="133"/>
      <c r="CC8" s="133"/>
      <c r="CD8" s="133"/>
      <c r="CE8" s="133"/>
      <c r="CF8" s="133"/>
      <c r="CG8" s="133"/>
      <c r="CH8" s="134"/>
      <c r="CI8" s="106"/>
    </row>
    <row r="9" spans="1:87" x14ac:dyDescent="0.3">
      <c r="A9" s="106"/>
      <c r="B9" s="106"/>
      <c r="C9" s="106"/>
      <c r="D9" s="135"/>
      <c r="E9" s="135"/>
      <c r="F9" s="135"/>
      <c r="G9" s="135"/>
      <c r="H9" s="135"/>
      <c r="I9" s="135"/>
      <c r="J9" s="135"/>
      <c r="K9" s="135"/>
      <c r="L9" s="135"/>
      <c r="M9" s="135"/>
      <c r="N9" s="135"/>
      <c r="O9" s="135"/>
      <c r="P9" s="135"/>
      <c r="Q9" s="135"/>
      <c r="R9" s="135"/>
      <c r="S9" s="135"/>
      <c r="T9" s="135"/>
      <c r="U9" s="135"/>
      <c r="V9" s="135"/>
      <c r="W9" s="135"/>
      <c r="X9" s="135"/>
      <c r="Y9" s="135"/>
      <c r="Z9" s="135"/>
      <c r="AA9" s="135"/>
      <c r="AB9" s="135"/>
      <c r="AC9" s="135"/>
      <c r="AD9" s="135"/>
      <c r="AE9" s="135"/>
      <c r="AF9" s="135"/>
      <c r="AG9" s="135"/>
      <c r="AH9" s="135"/>
      <c r="AI9" s="135"/>
      <c r="AJ9" s="135"/>
      <c r="AK9" s="135"/>
      <c r="AL9" s="135"/>
      <c r="AM9" s="135"/>
      <c r="AN9" s="135"/>
      <c r="AO9" s="135"/>
      <c r="AP9" s="135"/>
      <c r="AQ9" s="135"/>
      <c r="AR9" s="135"/>
      <c r="AS9" s="135"/>
      <c r="AT9" s="135"/>
      <c r="AU9" s="135"/>
      <c r="AV9" s="135"/>
      <c r="AW9" s="135"/>
      <c r="AX9" s="135"/>
      <c r="AY9" s="135"/>
      <c r="AZ9" s="135"/>
      <c r="BA9" s="135"/>
      <c r="BB9" s="135"/>
      <c r="BC9" s="135"/>
      <c r="BD9" s="135"/>
      <c r="BE9" s="135"/>
      <c r="BF9" s="135"/>
      <c r="BG9" s="135"/>
      <c r="BH9" s="135"/>
      <c r="BI9" s="135"/>
      <c r="BJ9" s="135"/>
      <c r="BK9" s="135"/>
      <c r="BL9" s="135"/>
      <c r="BM9" s="135"/>
      <c r="BN9" s="135"/>
      <c r="BO9" s="135"/>
      <c r="BP9" s="135"/>
      <c r="BQ9" s="135"/>
      <c r="BR9" s="135"/>
      <c r="BS9" s="135"/>
      <c r="BT9" s="135"/>
      <c r="BU9" s="135"/>
      <c r="BV9" s="135"/>
      <c r="BW9" s="135"/>
      <c r="BX9" s="135"/>
      <c r="BY9" s="135"/>
      <c r="BZ9" s="135"/>
      <c r="CA9" s="135"/>
      <c r="CB9" s="135"/>
      <c r="CC9" s="135"/>
      <c r="CD9" s="135"/>
      <c r="CE9" s="135"/>
      <c r="CF9" s="135"/>
      <c r="CG9" s="135"/>
      <c r="CH9" s="136"/>
      <c r="CI9" s="106"/>
    </row>
    <row r="10" spans="1:87" x14ac:dyDescent="0.3">
      <c r="A10" s="106"/>
      <c r="B10" s="106"/>
      <c r="C10" s="106"/>
      <c r="D10" s="133"/>
      <c r="E10" s="133"/>
      <c r="F10" s="133"/>
      <c r="G10" s="133"/>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3"/>
      <c r="AY10" s="133"/>
      <c r="AZ10" s="133"/>
      <c r="BA10" s="133"/>
      <c r="BB10" s="133"/>
      <c r="BC10" s="133"/>
      <c r="BD10" s="133"/>
      <c r="BE10" s="133"/>
      <c r="BF10" s="133"/>
      <c r="BG10" s="133"/>
      <c r="BH10" s="133"/>
      <c r="BI10" s="133"/>
      <c r="BJ10" s="133"/>
      <c r="BK10" s="133"/>
      <c r="BL10" s="133"/>
      <c r="BM10" s="133"/>
      <c r="BN10" s="133"/>
      <c r="BO10" s="133"/>
      <c r="BP10" s="133"/>
      <c r="BQ10" s="133"/>
      <c r="BR10" s="133"/>
      <c r="BS10" s="133"/>
      <c r="BT10" s="133"/>
      <c r="BU10" s="133"/>
      <c r="BV10" s="133"/>
      <c r="BW10" s="133"/>
      <c r="BX10" s="133"/>
      <c r="BY10" s="133"/>
      <c r="BZ10" s="133"/>
      <c r="CA10" s="133"/>
      <c r="CB10" s="133"/>
      <c r="CC10" s="133"/>
      <c r="CD10" s="133"/>
      <c r="CE10" s="133"/>
      <c r="CF10" s="133"/>
      <c r="CG10" s="133"/>
      <c r="CH10" s="134"/>
      <c r="CI10" s="106"/>
    </row>
    <row r="11" spans="1:87" x14ac:dyDescent="0.3">
      <c r="A11" s="106"/>
      <c r="B11" s="106"/>
      <c r="C11" s="106"/>
      <c r="D11" s="135"/>
      <c r="E11" s="135"/>
      <c r="F11" s="135"/>
      <c r="G11" s="135"/>
      <c r="H11" s="135"/>
      <c r="I11" s="135"/>
      <c r="J11" s="135"/>
      <c r="K11" s="135"/>
      <c r="L11" s="135"/>
      <c r="M11" s="135"/>
      <c r="N11" s="135"/>
      <c r="O11" s="135"/>
      <c r="P11" s="135"/>
      <c r="Q11" s="135"/>
      <c r="R11" s="135"/>
      <c r="S11" s="135"/>
      <c r="T11" s="135"/>
      <c r="U11" s="135"/>
      <c r="V11" s="135"/>
      <c r="W11" s="135"/>
      <c r="X11" s="135"/>
      <c r="Y11" s="135"/>
      <c r="Z11" s="135"/>
      <c r="AA11" s="135"/>
      <c r="AB11" s="135"/>
      <c r="AC11" s="135"/>
      <c r="AD11" s="135"/>
      <c r="AE11" s="135"/>
      <c r="AF11" s="135"/>
      <c r="AG11" s="135"/>
      <c r="AH11" s="135"/>
      <c r="AI11" s="135"/>
      <c r="AJ11" s="135"/>
      <c r="AK11" s="135"/>
      <c r="AL11" s="135"/>
      <c r="AM11" s="135"/>
      <c r="AN11" s="135"/>
      <c r="AO11" s="135"/>
      <c r="AP11" s="135"/>
      <c r="AQ11" s="135"/>
      <c r="AR11" s="135"/>
      <c r="AS11" s="135"/>
      <c r="AT11" s="135"/>
      <c r="AU11" s="135"/>
      <c r="AV11" s="135"/>
      <c r="AW11" s="135"/>
      <c r="AX11" s="135"/>
      <c r="AY11" s="135"/>
      <c r="AZ11" s="135"/>
      <c r="BA11" s="135"/>
      <c r="BB11" s="135"/>
      <c r="BC11" s="135"/>
      <c r="BD11" s="135"/>
      <c r="BE11" s="135"/>
      <c r="BF11" s="135"/>
      <c r="BG11" s="135"/>
      <c r="BH11" s="135"/>
      <c r="BI11" s="135"/>
      <c r="BJ11" s="135"/>
      <c r="BK11" s="135"/>
      <c r="BL11" s="135"/>
      <c r="BM11" s="135"/>
      <c r="BN11" s="135"/>
      <c r="BO11" s="135"/>
      <c r="BP11" s="135"/>
      <c r="BQ11" s="135"/>
      <c r="BR11" s="135"/>
      <c r="BS11" s="135"/>
      <c r="BT11" s="135"/>
      <c r="BU11" s="135"/>
      <c r="BV11" s="135"/>
      <c r="BW11" s="135"/>
      <c r="BX11" s="135"/>
      <c r="BY11" s="135"/>
      <c r="BZ11" s="135"/>
      <c r="CA11" s="135"/>
      <c r="CB11" s="135"/>
      <c r="CC11" s="135"/>
      <c r="CD11" s="135"/>
      <c r="CE11" s="135"/>
      <c r="CF11" s="135"/>
      <c r="CG11" s="135"/>
      <c r="CH11" s="136"/>
      <c r="CI11" s="106"/>
    </row>
    <row r="12" spans="1:87" x14ac:dyDescent="0.3">
      <c r="A12" s="106"/>
      <c r="B12" s="106"/>
      <c r="C12" s="106"/>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33"/>
      <c r="AQ12" s="133"/>
      <c r="AR12" s="133"/>
      <c r="AS12" s="133"/>
      <c r="AT12" s="133"/>
      <c r="AU12" s="133"/>
      <c r="AV12" s="133"/>
      <c r="AW12" s="133"/>
      <c r="AX12" s="133"/>
      <c r="AY12" s="133"/>
      <c r="AZ12" s="133"/>
      <c r="BA12" s="133"/>
      <c r="BB12" s="133"/>
      <c r="BC12" s="133"/>
      <c r="BD12" s="133"/>
      <c r="BE12" s="133"/>
      <c r="BF12" s="133"/>
      <c r="BG12" s="133"/>
      <c r="BH12" s="133"/>
      <c r="BI12" s="133"/>
      <c r="BJ12" s="133"/>
      <c r="BK12" s="133"/>
      <c r="BL12" s="133"/>
      <c r="BM12" s="133"/>
      <c r="BN12" s="133"/>
      <c r="BO12" s="133"/>
      <c r="BP12" s="133"/>
      <c r="BQ12" s="133"/>
      <c r="BR12" s="133"/>
      <c r="BS12" s="133"/>
      <c r="BT12" s="133"/>
      <c r="BU12" s="133"/>
      <c r="BV12" s="133"/>
      <c r="BW12" s="133"/>
      <c r="BX12" s="133"/>
      <c r="BY12" s="133"/>
      <c r="BZ12" s="133"/>
      <c r="CA12" s="133"/>
      <c r="CB12" s="133"/>
      <c r="CC12" s="133"/>
      <c r="CD12" s="133"/>
      <c r="CE12" s="133"/>
      <c r="CF12" s="133"/>
      <c r="CG12" s="133"/>
      <c r="CH12" s="134"/>
      <c r="CI12" s="106"/>
    </row>
    <row r="13" spans="1:87" x14ac:dyDescent="0.3">
      <c r="A13" s="106"/>
      <c r="B13" s="106"/>
      <c r="C13" s="106"/>
      <c r="D13" s="135"/>
      <c r="E13" s="135"/>
      <c r="F13" s="135"/>
      <c r="G13" s="135"/>
      <c r="H13" s="135"/>
      <c r="I13" s="135"/>
      <c r="J13" s="135"/>
      <c r="K13" s="135"/>
      <c r="L13" s="135"/>
      <c r="M13" s="135"/>
      <c r="N13" s="135"/>
      <c r="O13" s="135"/>
      <c r="P13" s="135"/>
      <c r="Q13" s="135"/>
      <c r="R13" s="135"/>
      <c r="S13" s="135"/>
      <c r="T13" s="135"/>
      <c r="U13" s="135"/>
      <c r="V13" s="135"/>
      <c r="W13" s="135"/>
      <c r="X13" s="135"/>
      <c r="Y13" s="135"/>
      <c r="Z13" s="135"/>
      <c r="AA13" s="135"/>
      <c r="AB13" s="135"/>
      <c r="AC13" s="135"/>
      <c r="AD13" s="135"/>
      <c r="AE13" s="135"/>
      <c r="AF13" s="135"/>
      <c r="AG13" s="135"/>
      <c r="AH13" s="135"/>
      <c r="AI13" s="135"/>
      <c r="AJ13" s="135"/>
      <c r="AK13" s="135"/>
      <c r="AL13" s="135"/>
      <c r="AM13" s="135"/>
      <c r="AN13" s="135"/>
      <c r="AO13" s="135"/>
      <c r="AP13" s="135"/>
      <c r="AQ13" s="135"/>
      <c r="AR13" s="135"/>
      <c r="AS13" s="135"/>
      <c r="AT13" s="135"/>
      <c r="AU13" s="135"/>
      <c r="AV13" s="135"/>
      <c r="AW13" s="135"/>
      <c r="AX13" s="135"/>
      <c r="AY13" s="135"/>
      <c r="AZ13" s="135"/>
      <c r="BA13" s="135"/>
      <c r="BB13" s="135"/>
      <c r="BC13" s="135"/>
      <c r="BD13" s="135"/>
      <c r="BE13" s="135"/>
      <c r="BF13" s="135"/>
      <c r="BG13" s="135"/>
      <c r="BH13" s="135"/>
      <c r="BI13" s="135"/>
      <c r="BJ13" s="135"/>
      <c r="BK13" s="135"/>
      <c r="BL13" s="135"/>
      <c r="BM13" s="135"/>
      <c r="BN13" s="135"/>
      <c r="BO13" s="135"/>
      <c r="BP13" s="135"/>
      <c r="BQ13" s="135"/>
      <c r="BR13" s="135"/>
      <c r="BS13" s="135"/>
      <c r="BT13" s="135"/>
      <c r="BU13" s="135"/>
      <c r="BV13" s="135"/>
      <c r="BW13" s="135"/>
      <c r="BX13" s="135"/>
      <c r="BY13" s="135"/>
      <c r="BZ13" s="135"/>
      <c r="CA13" s="135"/>
      <c r="CB13" s="135"/>
      <c r="CC13" s="135"/>
      <c r="CD13" s="135"/>
      <c r="CE13" s="135"/>
      <c r="CF13" s="135"/>
      <c r="CG13" s="135"/>
      <c r="CH13" s="136"/>
      <c r="CI13" s="106"/>
    </row>
    <row r="14" spans="1:87" x14ac:dyDescent="0.3">
      <c r="A14" s="106"/>
      <c r="B14" s="106"/>
      <c r="C14" s="106"/>
      <c r="CH14" s="106"/>
      <c r="CI14" s="106"/>
    </row>
    <row r="15" spans="1:87" x14ac:dyDescent="0.3">
      <c r="A15" s="106"/>
      <c r="B15" s="106"/>
      <c r="C15" s="106"/>
      <c r="CH15" s="106"/>
      <c r="CI15" s="106"/>
    </row>
    <row r="16" spans="1:87" x14ac:dyDescent="0.3">
      <c r="A16" s="106"/>
      <c r="B16" s="106"/>
      <c r="C16" s="106"/>
      <c r="D16" s="106"/>
      <c r="E16" s="106"/>
      <c r="F16" s="106"/>
      <c r="G16" s="106"/>
      <c r="H16" s="106"/>
      <c r="I16" s="106"/>
      <c r="J16" s="106"/>
      <c r="K16" s="106"/>
      <c r="L16" s="106"/>
      <c r="R16" s="106"/>
      <c r="S16" s="106"/>
      <c r="T16" s="106"/>
      <c r="U16" s="106"/>
      <c r="V16" s="106"/>
      <c r="W16" s="106"/>
      <c r="X16" s="106"/>
      <c r="Y16" s="106"/>
      <c r="Z16" s="106"/>
      <c r="AA16" s="106"/>
      <c r="AB16" s="132"/>
      <c r="AC16" s="132"/>
      <c r="AD16" s="106"/>
      <c r="AE16" s="106"/>
      <c r="AF16" s="106"/>
      <c r="AG16" s="106"/>
      <c r="AH16" s="106"/>
      <c r="AI16" s="106"/>
      <c r="AJ16" s="106"/>
      <c r="AK16" s="106"/>
      <c r="AL16" s="106"/>
      <c r="AM16" s="106"/>
      <c r="AN16" s="132"/>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row>
    <row r="17" spans="1:87" x14ac:dyDescent="0.3">
      <c r="A17" s="106"/>
      <c r="B17" s="106"/>
      <c r="C17" s="106"/>
      <c r="D17" s="106"/>
      <c r="E17" s="106"/>
      <c r="F17" s="106"/>
      <c r="G17" s="106"/>
      <c r="H17" s="106"/>
      <c r="I17" s="106"/>
      <c r="J17" s="106"/>
      <c r="K17" s="106"/>
      <c r="L17" s="106"/>
      <c r="R17" s="106"/>
      <c r="S17" s="106"/>
      <c r="T17" s="106"/>
      <c r="U17" s="106"/>
      <c r="V17" s="106"/>
      <c r="W17" s="106"/>
      <c r="X17" s="106"/>
      <c r="Y17" s="106"/>
      <c r="Z17" s="106"/>
      <c r="AA17" s="106"/>
      <c r="AB17" s="132"/>
      <c r="AC17" s="132"/>
      <c r="AD17" s="106"/>
      <c r="AE17" s="106"/>
      <c r="AF17" s="106"/>
      <c r="AG17" s="106"/>
      <c r="AH17" s="106"/>
      <c r="AI17" s="106"/>
      <c r="AJ17" s="106"/>
      <c r="AK17" s="106"/>
      <c r="AL17" s="106"/>
      <c r="AM17" s="106"/>
      <c r="AN17" s="132"/>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row>
    <row r="18" spans="1:87" x14ac:dyDescent="0.3">
      <c r="A18" s="106"/>
      <c r="B18" s="106"/>
      <c r="C18" s="106"/>
      <c r="D18" s="106"/>
      <c r="E18" s="106"/>
      <c r="F18" s="106"/>
      <c r="G18" s="106"/>
      <c r="H18" s="106"/>
      <c r="I18" s="106"/>
      <c r="J18" s="106"/>
      <c r="K18" s="106"/>
      <c r="L18" s="106"/>
      <c r="R18" s="106"/>
      <c r="S18" s="106"/>
      <c r="T18" s="106"/>
      <c r="U18" s="106"/>
      <c r="V18" s="106"/>
      <c r="W18" s="106"/>
      <c r="X18" s="106"/>
      <c r="Y18" s="106"/>
      <c r="Z18" s="106"/>
      <c r="AA18" s="106"/>
      <c r="AB18" s="132"/>
      <c r="AC18" s="132"/>
      <c r="AD18" s="106"/>
      <c r="AE18" s="106"/>
      <c r="AF18" s="106"/>
      <c r="AG18" s="106"/>
      <c r="AH18" s="106"/>
      <c r="AI18" s="106"/>
      <c r="AJ18" s="106"/>
      <c r="AK18" s="106"/>
      <c r="AL18" s="106"/>
      <c r="AM18" s="106"/>
      <c r="AN18" s="132"/>
      <c r="AO18" s="106"/>
      <c r="AP18" s="106"/>
      <c r="AQ18" s="106"/>
      <c r="AR18" s="106"/>
      <c r="AS18" s="106"/>
      <c r="AT18" s="106"/>
      <c r="AU18" s="106"/>
      <c r="AV18" s="106"/>
      <c r="AW18" s="106"/>
      <c r="AX18" s="106"/>
      <c r="AY18" s="106"/>
      <c r="AZ18" s="106"/>
      <c r="BA18" s="106"/>
      <c r="BB18" s="106"/>
      <c r="BC18" s="106"/>
      <c r="BD18" s="106"/>
      <c r="BE18" s="106"/>
      <c r="BF18" s="106"/>
      <c r="BG18" s="106"/>
      <c r="BH18" s="106"/>
      <c r="BI18" s="106"/>
      <c r="BJ18" s="106"/>
      <c r="BK18" s="106"/>
      <c r="BL18" s="106"/>
      <c r="BM18" s="106"/>
      <c r="BN18" s="106"/>
      <c r="BO18" s="106"/>
      <c r="BP18" s="106"/>
      <c r="BQ18" s="106"/>
      <c r="BR18" s="106"/>
      <c r="BS18" s="106"/>
      <c r="BT18" s="106"/>
      <c r="BU18" s="106"/>
      <c r="BV18" s="106"/>
      <c r="BW18" s="106"/>
      <c r="BX18" s="106"/>
      <c r="BY18" s="106"/>
      <c r="BZ18" s="106"/>
      <c r="CA18" s="106"/>
      <c r="CB18" s="106"/>
      <c r="CC18" s="106"/>
      <c r="CD18" s="106"/>
      <c r="CE18" s="106"/>
      <c r="CF18" s="106"/>
      <c r="CG18" s="106"/>
      <c r="CH18" s="106"/>
      <c r="CI18" s="106"/>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99a9976c-2a24-4fb3-8da9-f53066981d84" xsi:nil="true"/>
    <SharedWithUsers xmlns="fd458293-9cc6-4f98-9260-4b466483680c">
      <UserInfo>
        <DisplayName/>
        <AccountId xsi:nil="true"/>
        <AccountType/>
      </UserInfo>
    </SharedWithUsers>
    <lcf76f155ced4ddcb4097134ff3c332f xmlns="99a9976c-2a24-4fb3-8da9-f53066981d84">
      <Terms xmlns="http://schemas.microsoft.com/office/infopath/2007/PartnerControls"/>
    </lcf76f155ced4ddcb4097134ff3c332f>
    <TaxCatchAll xmlns="fd458293-9cc6-4f98-9260-4b466483680c"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07FEE5D3F7229478907E693F4AC7DED" ma:contentTypeVersion="16" ma:contentTypeDescription="Create a new document." ma:contentTypeScope="" ma:versionID="ceb4bc234ec8147aaa3211624086e0d6">
  <xsd:schema xmlns:xsd="http://www.w3.org/2001/XMLSchema" xmlns:xs="http://www.w3.org/2001/XMLSchema" xmlns:p="http://schemas.microsoft.com/office/2006/metadata/properties" xmlns:ns2="99a9976c-2a24-4fb3-8da9-f53066981d84" xmlns:ns3="fd458293-9cc6-4f98-9260-4b466483680c" targetNamespace="http://schemas.microsoft.com/office/2006/metadata/properties" ma:root="true" ma:fieldsID="e2f7aab8cadf5b3c8cc3559fb3a1ceaf" ns2:_="" ns3:_="">
    <xsd:import namespace="99a9976c-2a24-4fb3-8da9-f53066981d84"/>
    <xsd:import namespace="fd458293-9cc6-4f98-9260-4b466483680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GenerationTime" minOccurs="0"/>
                <xsd:element ref="ns2:MediaServiceEventHashCode" minOccurs="0"/>
                <xsd:element ref="ns2:MediaLengthInSeconds" minOccurs="0"/>
                <xsd:element ref="ns3:SharedWithUsers" minOccurs="0"/>
                <xsd:element ref="ns3:SharedWithDetails" minOccurs="0"/>
                <xsd:element ref="ns2:MediaServiceOCR"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9a9976c-2a24-4fb3-8da9-f53066981d8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5ad4032c-a330-4847-9ce1-ec5da46de397"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d458293-9cc6-4f98-9260-4b466483680c"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5c6c342b-c6ee-489a-81d5-035aa533647c}" ma:internalName="TaxCatchAll" ma:showField="CatchAllData" ma:web="fd458293-9cc6-4f98-9260-4b466483680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FA5C1B-C75F-414E-A8AE-6B47FB2D1EB6}">
  <ds:schemaRefs>
    <ds:schemaRef ds:uri="http://www.w3.org/XML/1998/namespace"/>
    <ds:schemaRef ds:uri="http://purl.org/dc/terms/"/>
    <ds:schemaRef ds:uri="http://schemas.microsoft.com/office/2006/metadata/properties"/>
    <ds:schemaRef ds:uri="http://purl.org/dc/dcmitype/"/>
    <ds:schemaRef ds:uri="465bea7d-86ad-477c-b808-18989319c381"/>
    <ds:schemaRef ds:uri="http://schemas.openxmlformats.org/package/2006/metadata/core-properties"/>
    <ds:schemaRef ds:uri="http://schemas.microsoft.com/office/2006/documentManagement/types"/>
    <ds:schemaRef ds:uri="http://purl.org/dc/elements/1.1/"/>
    <ds:schemaRef ds:uri="http://schemas.microsoft.com/office/infopath/2007/PartnerControls"/>
    <ds:schemaRef ds:uri="b1ea3359-8be3-4799-bc0c-1bb6e52db833"/>
  </ds:schemaRefs>
</ds:datastoreItem>
</file>

<file path=customXml/itemProps2.xml><?xml version="1.0" encoding="utf-8"?>
<ds:datastoreItem xmlns:ds="http://schemas.openxmlformats.org/officeDocument/2006/customXml" ds:itemID="{9AE5F158-E540-4D75-9C9A-BA528D002E98}"/>
</file>

<file path=customXml/itemProps3.xml><?xml version="1.0" encoding="utf-8"?>
<ds:datastoreItem xmlns:ds="http://schemas.openxmlformats.org/officeDocument/2006/customXml" ds:itemID="{8E662D82-A068-4313-89C1-BA40070CDA9F}">
  <ds:schemaRefs>
    <ds:schemaRef ds:uri="http://schemas.microsoft.com/sharepoint/v3/contenttype/forms"/>
  </ds:schemaRefs>
</ds:datastoreItem>
</file>

<file path=docMetadata/LabelInfo.xml><?xml version="1.0" encoding="utf-8"?>
<clbl:labelList xmlns:clbl="http://schemas.microsoft.com/office/2020/mipLabelMetadata">
  <clbl:label id="{57a85a10-258b-45b4-a519-c96c7721094c}" enabled="0" method="" siteId="{57a85a10-258b-45b4-a519-c96c7721094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SOGR</vt:lpstr>
      <vt:lpstr>Pavement Lifecycle</vt:lpstr>
      <vt:lpstr>PCI</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Pappas, Eleni - HPW</dc:creator>
  <cp:keywords/>
  <dc:description/>
  <cp:lastModifiedBy>Cross, Taylor - HPW</cp:lastModifiedBy>
  <cp:revision/>
  <dcterms:created xsi:type="dcterms:W3CDTF">2015-06-05T18:17:20Z</dcterms:created>
  <dcterms:modified xsi:type="dcterms:W3CDTF">2024-08-29T16:19:56Z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0x010100507FEE5D3F7229478907E693F4AC7DED</vt:lpwstr>
  </property>
  <property fmtid="{D5CDD505-2E9C-101B-9397-08002B2CF9AE}" pid="4" name="Order">
    <vt:r8>10989000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