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houtx.sharepoint.com/sites/TDO-TrafficManagement/Shared Documents/1-Grants/2023 TIP/2023 2024 Submissions/Gellhorn Dr/BCA/Portal Submittal/"/>
    </mc:Choice>
  </mc:AlternateContent>
  <xr:revisionPtr revIDLastSave="91" documentId="8_{5EA293A7-0645-4F90-BB6B-2FF616121E9B}" xr6:coauthVersionLast="47" xr6:coauthVersionMax="47" xr10:uidLastSave="{F6780125-0CF0-4C42-8E02-9A3C433D16B8}"/>
  <bookViews>
    <workbookView xWindow="-110" yWindow="-110" windowWidth="19420" windowHeight="10420" xr2:uid="{E072B10D-8E25-40CA-A4C7-8CD46A80C83F}"/>
  </bookViews>
  <sheets>
    <sheet name="Summary" sheetId="1" r:id="rId1"/>
    <sheet name="Cost Summary and Discounting" sheetId="10" r:id="rId2"/>
    <sheet name="Residual Value" sheetId="15" r:id="rId3"/>
  </sheets>
  <externalReferences>
    <externalReference r:id="rId4"/>
    <externalReference r:id="rId5"/>
  </externalReferences>
  <definedNames>
    <definedName name="Project_ID">'[1]Project Information'!$B$12</definedName>
    <definedName name="Year_Open_to_Traffic?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A18" i="15" l="1"/>
  <c r="A19" i="15" s="1"/>
  <c r="D11" i="15"/>
  <c r="D12" i="15" s="1"/>
  <c r="C11" i="15"/>
  <c r="B11" i="15"/>
  <c r="E6" i="10"/>
  <c r="A20" i="15" l="1"/>
  <c r="B19" i="15"/>
  <c r="B18" i="15"/>
  <c r="F7" i="10"/>
  <c r="F8" i="10"/>
  <c r="F9" i="10"/>
  <c r="F10" i="10"/>
  <c r="F11" i="10"/>
  <c r="F6" i="10"/>
  <c r="E13" i="10"/>
  <c r="E7" i="10"/>
  <c r="E8" i="10"/>
  <c r="E9" i="10"/>
  <c r="E10" i="10"/>
  <c r="E11" i="10"/>
  <c r="A21" i="15" l="1"/>
  <c r="B20" i="15"/>
  <c r="F13" i="10"/>
  <c r="B15" i="1"/>
  <c r="A22" i="15" l="1"/>
  <c r="B21" i="15"/>
  <c r="A23" i="15" l="1"/>
  <c r="B22" i="15"/>
  <c r="D13" i="10"/>
  <c r="D14" i="10" s="1"/>
  <c r="B5" i="1"/>
  <c r="B23" i="15" l="1"/>
  <c r="A24" i="15"/>
  <c r="B7" i="1"/>
  <c r="A25" i="15" l="1"/>
  <c r="B24" i="15"/>
  <c r="A26" i="15" l="1"/>
  <c r="B25" i="15"/>
  <c r="A27" i="15" l="1"/>
  <c r="B26" i="15"/>
  <c r="A28" i="15" l="1"/>
  <c r="B27" i="15"/>
  <c r="A29" i="15" l="1"/>
  <c r="B28" i="15"/>
  <c r="B29" i="15" l="1"/>
  <c r="A30" i="15"/>
  <c r="A31" i="15" l="1"/>
  <c r="B30" i="15"/>
  <c r="B31" i="15" l="1"/>
  <c r="A32" i="15"/>
  <c r="A33" i="15" l="1"/>
  <c r="B32" i="15"/>
  <c r="A34" i="15" l="1"/>
  <c r="B33" i="15"/>
  <c r="A35" i="15" l="1"/>
  <c r="B34" i="15"/>
  <c r="A36" i="15" l="1"/>
  <c r="B35" i="15"/>
  <c r="A37" i="15" l="1"/>
  <c r="B36" i="15"/>
  <c r="B37" i="15" l="1"/>
  <c r="A38" i="15"/>
  <c r="A39" i="15" l="1"/>
  <c r="B38" i="15"/>
  <c r="B39" i="15" l="1"/>
  <c r="A40" i="15"/>
  <c r="A41" i="15" l="1"/>
  <c r="B40" i="15"/>
  <c r="A42" i="15" l="1"/>
  <c r="B41" i="15"/>
  <c r="A43" i="15" l="1"/>
  <c r="B42" i="15"/>
  <c r="E11" i="15"/>
  <c r="E12" i="15" s="1"/>
  <c r="A44" i="15" l="1"/>
  <c r="B43" i="15"/>
  <c r="A45" i="15" l="1"/>
  <c r="B44" i="15"/>
  <c r="A46" i="15" l="1"/>
  <c r="B45" i="15"/>
  <c r="A47" i="15" l="1"/>
  <c r="B47" i="15" s="1"/>
  <c r="B46" i="15"/>
</calcChain>
</file>

<file path=xl/sharedStrings.xml><?xml version="1.0" encoding="utf-8"?>
<sst xmlns="http://schemas.openxmlformats.org/spreadsheetml/2006/main" count="71" uniqueCount="59">
  <si>
    <t>Gellhorn</t>
  </si>
  <si>
    <t>Project Cost: $23,524,893</t>
  </si>
  <si>
    <t>Summary Benefits Table</t>
  </si>
  <si>
    <t xml:space="preserve">Total Project Cost, Discounted </t>
  </si>
  <si>
    <t xml:space="preserve">Total Benefits, Discounted: </t>
  </si>
  <si>
    <t>Discounted BCA</t>
  </si>
  <si>
    <t xml:space="preserve">Summary of Benefits </t>
  </si>
  <si>
    <t xml:space="preserve">Benefit Category </t>
  </si>
  <si>
    <t>Discounted Benefit @ 3.1% (2022)</t>
  </si>
  <si>
    <t>Source</t>
  </si>
  <si>
    <t>Location</t>
  </si>
  <si>
    <r>
      <rPr>
        <b/>
        <sz val="11"/>
        <color theme="1"/>
        <rFont val="Calibri"/>
        <family val="2"/>
        <scheme val="minor"/>
      </rPr>
      <t xml:space="preserve">Roadway Crash Benefits Template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(Source: HGAC Templates)</t>
    </r>
  </si>
  <si>
    <t>H-GAC Template 1</t>
  </si>
  <si>
    <t>HGAC BCA Teamplate</t>
  </si>
  <si>
    <t>Excel File: Roadway Crash Benefits - Gellhorn 1</t>
  </si>
  <si>
    <t>H-GAC Template 2</t>
  </si>
  <si>
    <t>Excel FIle: Roadway Crash Benefits  -  Gellhorn 2</t>
  </si>
  <si>
    <t xml:space="preserve">Total Safety Benefit </t>
  </si>
  <si>
    <t>State of Good Repair -</t>
  </si>
  <si>
    <t>Based on Goodman Assumptions, see Excel for more info</t>
  </si>
  <si>
    <t>Excel File: State of Good Repair Benefits - Gellhorn</t>
  </si>
  <si>
    <t xml:space="preserve">Total Discounted State of Good Repair Benefit </t>
  </si>
  <si>
    <t>Residual Value</t>
  </si>
  <si>
    <t>Based onTxDOT Assumptions, see Residual Value Tab</t>
  </si>
  <si>
    <t>Tab: Residual Value</t>
  </si>
  <si>
    <t>Total Discounted Residual Value</t>
  </si>
  <si>
    <t xml:space="preserve">Benefits Discussed (internally) but not Quantified </t>
  </si>
  <si>
    <t xml:space="preserve">Drainge Benefit </t>
  </si>
  <si>
    <t>Templates not used &amp; Justification</t>
  </si>
  <si>
    <t xml:space="preserve">Roadway Emissions Benefits - Insufficent data for "Average Roadway Speed After Improvement" Also, increased speed along the roadway is not the intent of this project or the proposed improvments. </t>
  </si>
  <si>
    <t>Intersection Improvmements Emissions Benefits- Intersections are a not part of this project</t>
  </si>
  <si>
    <t>Active Transportation - H-GAC Tool does not alculate data for the area</t>
  </si>
  <si>
    <t>Transit Delay Emissions Benefit Template - Produced negative benefit</t>
  </si>
  <si>
    <t>Year</t>
  </si>
  <si>
    <t>Task</t>
  </si>
  <si>
    <t>Cost in 2021 Dollars</t>
  </si>
  <si>
    <t>Cost in 2022</t>
  </si>
  <si>
    <t>Discounted</t>
  </si>
  <si>
    <t>Design</t>
  </si>
  <si>
    <t>*ROW acquisition is included in design cost</t>
  </si>
  <si>
    <t>Construction</t>
  </si>
  <si>
    <t xml:space="preserve">Year Open to Public </t>
  </si>
  <si>
    <t>Total</t>
  </si>
  <si>
    <t xml:space="preserve">Check </t>
  </si>
  <si>
    <t>-</t>
  </si>
  <si>
    <t xml:space="preserve">All values entered into input cells in this sheet should be entered as undiscounted 2022 dollar values. The template will automatically apply discounting to all costs and benefits for you. </t>
  </si>
  <si>
    <t xml:space="preserve">To calculate overall residual value for the entire project automatically, simply enter a useful life in the first row of Table 1 below. </t>
  </si>
  <si>
    <t>If there are multiple distinct components with unique useful lives, use multiple rows as needed and override the formula and names in the input cells of Table 1 below.</t>
  </si>
  <si>
    <t>For projects that involve capacity expansion or represent purely operational improvements, no residual value should be assumed.</t>
  </si>
  <si>
    <t>Table 1. Useful Life</t>
  </si>
  <si>
    <t>Project Component</t>
  </si>
  <si>
    <t>Capital Cost (2022 $)</t>
  </si>
  <si>
    <t>Useful Life (Years)</t>
  </si>
  <si>
    <t>Discounted Residual Value</t>
  </si>
  <si>
    <t>Overall Project if One Component</t>
  </si>
  <si>
    <t>Total Residual Value</t>
  </si>
  <si>
    <t>To manually calculate the residual value, please enter your estimated value in the blue italicized cell below in lieu of the automatic calculation</t>
  </si>
  <si>
    <t>To remove the residual value, please enter "0" in the blue cell below in lieu of the automatic calculation</t>
  </si>
  <si>
    <t>Table 2. Residual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</si>
</sst>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"/>
    <numFmt numFmtId="167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Microsoft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u/>
      <sz val="10"/>
      <color indexed="12"/>
      <name val="Courier"/>
      <family val="3"/>
    </font>
    <font>
      <sz val="10"/>
      <color rgb="FF9C0006"/>
      <name val="Calibri"/>
      <family val="2"/>
      <scheme val="minor"/>
    </font>
    <font>
      <sz val="10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7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0" borderId="0" applyNumberFormat="0" applyFont="0" applyFill="0" applyAlignment="0" applyProtection="0"/>
    <xf numFmtId="0" fontId="11" fillId="0" borderId="0" applyNumberFormat="0" applyFont="0" applyFill="0" applyAlignment="0" applyProtection="0"/>
    <xf numFmtId="0" fontId="4" fillId="0" borderId="3" applyNumberFormat="0" applyFont="0" applyBorder="0" applyAlignment="0" applyProtection="0"/>
    <xf numFmtId="0" fontId="8" fillId="0" borderId="0"/>
    <xf numFmtId="0" fontId="13" fillId="0" borderId="0"/>
    <xf numFmtId="0" fontId="4" fillId="0" borderId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2" borderId="0" applyNumberFormat="0" applyBorder="0" applyAlignment="0" applyProtection="0"/>
    <xf numFmtId="0" fontId="16" fillId="3" borderId="1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9" fillId="0" borderId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" fillId="7" borderId="8" applyNumberFormat="0" applyFont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0" fontId="0" fillId="4" borderId="0" xfId="0" applyFill="1"/>
    <xf numFmtId="164" fontId="1" fillId="4" borderId="0" xfId="0" applyNumberFormat="1" applyFont="1" applyFill="1"/>
    <xf numFmtId="0" fontId="1" fillId="0" borderId="0" xfId="0" applyFont="1" applyAlignment="1">
      <alignment wrapText="1"/>
    </xf>
    <xf numFmtId="0" fontId="1" fillId="5" borderId="0" xfId="0" applyFont="1" applyFill="1"/>
    <xf numFmtId="0" fontId="0" fillId="5" borderId="0" xfId="0" applyFill="1"/>
    <xf numFmtId="164" fontId="1" fillId="5" borderId="0" xfId="0" applyNumberFormat="1" applyFont="1" applyFill="1"/>
    <xf numFmtId="0" fontId="23" fillId="0" borderId="0" xfId="0" applyFont="1"/>
    <xf numFmtId="0" fontId="22" fillId="5" borderId="0" xfId="0" applyFont="1" applyFill="1"/>
    <xf numFmtId="164" fontId="0" fillId="6" borderId="4" xfId="0" applyNumberFormat="1" applyFill="1" applyBorder="1"/>
    <xf numFmtId="2" fontId="24" fillId="0" borderId="0" xfId="0" applyNumberFormat="1" applyFont="1"/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165" fontId="0" fillId="0" borderId="0" xfId="0" applyNumberFormat="1" applyAlignment="1">
      <alignment wrapText="1"/>
    </xf>
    <xf numFmtId="3" fontId="25" fillId="0" borderId="0" xfId="0" applyNumberFormat="1" applyFont="1"/>
    <xf numFmtId="166" fontId="0" fillId="0" borderId="0" xfId="0" applyNumberFormat="1"/>
    <xf numFmtId="44" fontId="0" fillId="0" borderId="0" xfId="212" applyFont="1"/>
    <xf numFmtId="8" fontId="1" fillId="0" borderId="0" xfId="0" applyNumberFormat="1" applyFont="1"/>
    <xf numFmtId="0" fontId="26" fillId="0" borderId="9" xfId="214" applyFill="1" applyBorder="1" applyAlignment="1" applyProtection="1"/>
    <xf numFmtId="0" fontId="0" fillId="8" borderId="0" xfId="0" applyFill="1"/>
    <xf numFmtId="0" fontId="0" fillId="7" borderId="8" xfId="216" applyFont="1"/>
    <xf numFmtId="0" fontId="0" fillId="7" borderId="8" xfId="216" applyFont="1" applyAlignment="1">
      <alignment vertical="top"/>
    </xf>
    <xf numFmtId="0" fontId="27" fillId="0" borderId="10" xfId="215" applyBorder="1" applyProtection="1"/>
    <xf numFmtId="0" fontId="28" fillId="9" borderId="2" xfId="0" applyFont="1" applyFill="1" applyBorder="1"/>
    <xf numFmtId="0" fontId="28" fillId="9" borderId="2" xfId="0" applyFont="1" applyFill="1" applyBorder="1" applyAlignment="1">
      <alignment horizontal="right"/>
    </xf>
    <xf numFmtId="0" fontId="29" fillId="10" borderId="2" xfId="0" applyFont="1" applyFill="1" applyBorder="1"/>
    <xf numFmtId="165" fontId="17" fillId="10" borderId="2" xfId="212" applyNumberFormat="1" applyFont="1" applyFill="1" applyBorder="1"/>
    <xf numFmtId="1" fontId="29" fillId="10" borderId="2" xfId="0" applyNumberFormat="1" applyFont="1" applyFill="1" applyBorder="1"/>
    <xf numFmtId="165" fontId="0" fillId="11" borderId="2" xfId="0" applyNumberFormat="1" applyFill="1" applyBorder="1"/>
    <xf numFmtId="0" fontId="0" fillId="11" borderId="11" xfId="0" applyFill="1" applyBorder="1"/>
    <xf numFmtId="167" fontId="29" fillId="11" borderId="11" xfId="212" applyNumberFormat="1" applyFont="1" applyFill="1" applyBorder="1"/>
    <xf numFmtId="43" fontId="29" fillId="11" borderId="5" xfId="213" applyFont="1" applyFill="1" applyBorder="1"/>
    <xf numFmtId="0" fontId="28" fillId="9" borderId="5" xfId="0" applyFont="1" applyFill="1" applyBorder="1" applyAlignment="1">
      <alignment horizontal="right"/>
    </xf>
    <xf numFmtId="0" fontId="0" fillId="11" borderId="12" xfId="0" applyFill="1" applyBorder="1"/>
    <xf numFmtId="6" fontId="0" fillId="11" borderId="13" xfId="0" applyNumberFormat="1" applyFill="1" applyBorder="1"/>
    <xf numFmtId="0" fontId="0" fillId="11" borderId="0" xfId="0" applyFill="1"/>
    <xf numFmtId="0" fontId="0" fillId="11" borderId="6" xfId="0" applyFill="1" applyBorder="1"/>
    <xf numFmtId="6" fontId="0" fillId="11" borderId="2" xfId="0" applyNumberFormat="1" applyFill="1" applyBorder="1"/>
    <xf numFmtId="0" fontId="0" fillId="0" borderId="0" xfId="0" applyAlignment="1">
      <alignment horizontal="left" wrapText="1"/>
    </xf>
  </cellXfs>
  <cellStyles count="217">
    <cellStyle name="Bad 2" xfId="111" xr:uid="{E2DEAF12-ABA4-43B8-9363-8B244CAB7F17}"/>
    <cellStyle name="Comma" xfId="213" builtinId="3"/>
    <cellStyle name="Comma 10" xfId="208" xr:uid="{DA6BF319-D87B-44FC-A0AD-5FC804484F61}"/>
    <cellStyle name="Comma 11" xfId="2" xr:uid="{987E2736-3E2C-45E5-A3E1-F61CEC8462E9}"/>
    <cellStyle name="Comma 2" xfId="11" xr:uid="{D732C5AA-75FA-4917-8E20-2C4F17BB726E}"/>
    <cellStyle name="Comma 2 2" xfId="12" xr:uid="{3EA190C1-02E4-4D5A-B4E0-68D299176004}"/>
    <cellStyle name="Comma 2 2 2" xfId="153" xr:uid="{E8E5CF8B-A74A-4D83-8FC9-85DDAC86C9EE}"/>
    <cellStyle name="Comma 2 3" xfId="17" xr:uid="{AFE5AAEA-61F3-481B-ADB9-223B7B351FBF}"/>
    <cellStyle name="Comma 2 4" xfId="32" xr:uid="{36BF0505-2D7E-4537-A945-B0BF7CE33533}"/>
    <cellStyle name="Comma 2 5" xfId="44" xr:uid="{7BCFC6D4-9594-4BFD-83F9-BF45D26D6AD8}"/>
    <cellStyle name="Comma 2 5 2" xfId="162" xr:uid="{5E70134A-E6E3-4087-ABCE-5F3E27B7871F}"/>
    <cellStyle name="Comma 2 6" xfId="152" xr:uid="{C5B9F8E5-6BB9-4A14-8841-85DCED9E934F}"/>
    <cellStyle name="Comma 3" xfId="16" xr:uid="{F162D60A-4FEE-475E-BF83-C875215462DA}"/>
    <cellStyle name="Comma 3 2" xfId="45" xr:uid="{B3B1714D-443C-4552-9463-99B384312422}"/>
    <cellStyle name="Comma 3 2 2" xfId="163" xr:uid="{F8655213-CA70-4274-80B6-D8C4E2BC43E4}"/>
    <cellStyle name="Comma 4" xfId="18" xr:uid="{E528E6B4-6F4A-45C1-991C-1C48129ADE87}"/>
    <cellStyle name="Comma 4 2" xfId="46" xr:uid="{89A5E375-C393-4302-A17E-5AAC3AAF564A}"/>
    <cellStyle name="Comma 5" xfId="19" xr:uid="{3391C625-656F-462C-BBBF-3303E6B06065}"/>
    <cellStyle name="Comma 5 2" xfId="105" xr:uid="{AFBCEF53-975A-4274-BDD6-19CB74DCD27D}"/>
    <cellStyle name="Comma 6" xfId="30" xr:uid="{B3FCE6BC-79DB-4BD8-AC86-6F9CB1EDA76B}"/>
    <cellStyle name="Comma 6 2" xfId="110" xr:uid="{8A8692BC-E121-49CA-9267-0CFFFEADA0D1}"/>
    <cellStyle name="Comma 6 2 2" xfId="173" xr:uid="{BE323518-B3E0-4472-BF6A-F0B554BD3AE5}"/>
    <cellStyle name="Comma 6 3" xfId="161" xr:uid="{E375411B-6C09-4A15-8540-FB0AE6D90AAB}"/>
    <cellStyle name="Comma 7" xfId="102" xr:uid="{2F664BE5-ECC3-4E69-8B81-FD0F1E4EB474}"/>
    <cellStyle name="Comma 8" xfId="114" xr:uid="{1F937F10-66C0-4339-A99E-BF1B52BEC1EF}"/>
    <cellStyle name="Comma 8 2" xfId="175" xr:uid="{4EA1364F-1D9D-47FB-858B-653123D9F2C3}"/>
    <cellStyle name="Comma 9" xfId="121" xr:uid="{8A6EFE86-21AB-4006-A452-AAB416C6AE7B}"/>
    <cellStyle name="Comma 9 2" xfId="128" xr:uid="{D93274D4-466F-4EB1-B568-4B7AD867B32A}"/>
    <cellStyle name="Comma 9 2 2" xfId="184" xr:uid="{F076FEA5-77F7-4298-B9D2-ACAC75365459}"/>
    <cellStyle name="Comma 9 3" xfId="142" xr:uid="{237481B4-8048-4AAF-9034-711D981ED190}"/>
    <cellStyle name="Comma 9 3 2" xfId="198" xr:uid="{2DAFF413-AD0B-44E9-9C97-0E634EB3B808}"/>
    <cellStyle name="Comma 9 4" xfId="147" xr:uid="{F5B091F1-2D07-4A14-9987-44C8C3BA9021}"/>
    <cellStyle name="Comma 9 4 2" xfId="203" xr:uid="{0F3ACE80-5A57-4B8A-A073-E8398C0B3FB8}"/>
    <cellStyle name="Comma 9 5" xfId="179" xr:uid="{E9819F49-30F8-451B-A624-CEF1C77E54A5}"/>
    <cellStyle name="Comma0" xfId="33" xr:uid="{6FFD9371-6BAD-41D2-B252-6D68D401D27C}"/>
    <cellStyle name="Currency" xfId="212" builtinId="4"/>
    <cellStyle name="Currency 10" xfId="3" xr:uid="{DFA283CA-4087-46A3-8321-E329A110B11B}"/>
    <cellStyle name="Currency 2" xfId="6" xr:uid="{F521E170-6FA0-4F55-BC94-02118C05FF52}"/>
    <cellStyle name="Currency 2 10" xfId="47" xr:uid="{A6D1A2D7-2AED-4622-AD35-9CA14E8981AE}"/>
    <cellStyle name="Currency 2 11" xfId="48" xr:uid="{F3560CFC-CC95-42A1-A07D-5EFC77AA4FFD}"/>
    <cellStyle name="Currency 2 12" xfId="49" xr:uid="{F0B47D8B-ABB7-4B4F-AFC4-E48B472C04C2}"/>
    <cellStyle name="Currency 2 13" xfId="50" xr:uid="{592ABA1D-717B-4AE6-917B-981305EEF1E2}"/>
    <cellStyle name="Currency 2 14" xfId="51" xr:uid="{A464753B-AF45-409B-AA04-9C2151D82152}"/>
    <cellStyle name="Currency 2 15" xfId="52" xr:uid="{B9D80CF1-7785-4E0E-8935-B649F2400505}"/>
    <cellStyle name="Currency 2 16" xfId="53" xr:uid="{BD564241-5C1C-49B8-9B68-4B10B56F7199}"/>
    <cellStyle name="Currency 2 17" xfId="104" xr:uid="{898C122B-06E2-41DA-9DEA-691867206DF5}"/>
    <cellStyle name="Currency 2 17 2" xfId="169" xr:uid="{4C909D11-CF31-4173-AF3F-6C698436FD1C}"/>
    <cellStyle name="Currency 2 18" xfId="43" xr:uid="{9E8B17CC-328B-4DF9-869B-2FE413677623}"/>
    <cellStyle name="Currency 2 2" xfId="54" xr:uid="{D49359F6-177C-4B51-B6A9-52F48720DFF8}"/>
    <cellStyle name="Currency 2 3" xfId="55" xr:uid="{3527A637-7A29-4EFD-B057-B544F92B37F8}"/>
    <cellStyle name="Currency 2 4" xfId="56" xr:uid="{E27B4E32-067C-4E80-AC60-B93948C4A436}"/>
    <cellStyle name="Currency 2 5" xfId="57" xr:uid="{B72C8152-5AD8-48BE-9F51-94B55EB800CC}"/>
    <cellStyle name="Currency 2 6" xfId="58" xr:uid="{E72E1959-76CB-44D4-97BE-5F0653A87D9B}"/>
    <cellStyle name="Currency 2 7" xfId="59" xr:uid="{2CDB5AF7-F1D8-4C0D-80A2-15609D307759}"/>
    <cellStyle name="Currency 2 8" xfId="60" xr:uid="{59AC4085-FED0-45E8-A49B-9B5F3239B436}"/>
    <cellStyle name="Currency 2 9" xfId="61" xr:uid="{9C3EBCEA-F0B9-435C-B324-0418CCBB277E}"/>
    <cellStyle name="Currency 3" xfId="14" xr:uid="{012B5002-64D3-4355-AD53-6689B3527C17}"/>
    <cellStyle name="Currency 3 2" xfId="62" xr:uid="{93392A2B-A601-4CCF-8F20-9CF447EDC25F}"/>
    <cellStyle name="Currency 3 2 2" xfId="164" xr:uid="{84D098BB-EFE5-4A94-BE9E-4330015D5924}"/>
    <cellStyle name="Currency 4" xfId="20" xr:uid="{858F0B1C-B63E-436D-A21A-05F621647BB8}"/>
    <cellStyle name="Currency 4 2" xfId="63" xr:uid="{5F62C9F8-7457-4F6B-8C92-7A7C882A13E0}"/>
    <cellStyle name="Currency 5" xfId="29" xr:uid="{22EEDC4A-C547-431F-8E70-E87BEF734719}"/>
    <cellStyle name="Currency 5 2" xfId="160" xr:uid="{7D90CFD7-B264-4804-9385-8846F350174C}"/>
    <cellStyle name="Currency 6" xfId="100" xr:uid="{895FE212-1C0C-4FA4-BD25-AE7110E64B2C}"/>
    <cellStyle name="Currency 7" xfId="116" xr:uid="{2AE5B708-510A-43BF-8A51-EEC3B414A6CB}"/>
    <cellStyle name="Currency 7 2" xfId="177" xr:uid="{516A53DF-CB0E-44D5-9631-46F69EF3B162}"/>
    <cellStyle name="Currency 8" xfId="123" xr:uid="{7B4B6652-BD0A-47B9-9266-FFFDFC016154}"/>
    <cellStyle name="Currency 8 2" xfId="181" xr:uid="{C05D6A96-54D0-4B60-B7D8-0C7C9119E357}"/>
    <cellStyle name="Currency 9" xfId="143" xr:uid="{995483C1-B7B7-4DED-A359-873CA2139245}"/>
    <cellStyle name="Currency 9 2" xfId="199" xr:uid="{59A8C4D8-843C-4AF1-9B6B-A68DF372D9C7}"/>
    <cellStyle name="Currency0" xfId="34" xr:uid="{04150862-B8A8-49DB-B610-92CD97C7CD9F}"/>
    <cellStyle name="Date" xfId="35" xr:uid="{4CABC825-21CD-4724-9925-D3D8E2BC67B7}"/>
    <cellStyle name="Fixed" xfId="36" xr:uid="{0D6AEECF-9229-4195-B5AE-3E80A781B023}"/>
    <cellStyle name="Heading 1" xfId="214" builtinId="16"/>
    <cellStyle name="Heading 1 2" xfId="37" xr:uid="{274847C5-69C7-4AC9-B118-527FEFA388BC}"/>
    <cellStyle name="Heading 2 2" xfId="38" xr:uid="{C7E304F9-FA00-44BC-AB38-35CB538D0135}"/>
    <cellStyle name="Heading 4" xfId="215" builtinId="19"/>
    <cellStyle name="Hyperlink 2" xfId="106" xr:uid="{68C0B409-0337-4C95-A66D-A84DA9C28E12}"/>
    <cellStyle name="Hyperlink 2 2" xfId="125" xr:uid="{159EF12C-A1BD-4D63-AE6A-1F843E3B0DE9}"/>
    <cellStyle name="Hyperlink 3" xfId="124" xr:uid="{71EF5C12-2C2B-4D1D-9220-266DB9762E46}"/>
    <cellStyle name="Input 2" xfId="112" xr:uid="{B707D7DC-552E-4D34-BBEC-0E8A76BA5007}"/>
    <cellStyle name="Normal" xfId="0" builtinId="0"/>
    <cellStyle name="Normal 10" xfId="113" xr:uid="{CDD19B77-6574-4C2C-963B-5C47E02127C1}"/>
    <cellStyle name="Normal 10 2" xfId="129" xr:uid="{B7FCB1F6-37FB-4C9B-9D3A-A5D6BF777EA8}"/>
    <cellStyle name="Normal 10 2 2" xfId="134" xr:uid="{AA296B72-0AAF-4CF6-AD36-A9004D14E0C2}"/>
    <cellStyle name="Normal 10 2 2 2" xfId="190" xr:uid="{652A1BF8-C7F0-44BC-9A5A-0B91AF751A35}"/>
    <cellStyle name="Normal 10 2 3" xfId="138" xr:uid="{7528EF67-1679-470C-840A-CEFA47497BFB}"/>
    <cellStyle name="Normal 10 2 3 2" xfId="194" xr:uid="{0B9DD0D9-AC0F-46C3-A5FD-F0F1992D6DC3}"/>
    <cellStyle name="Normal 10 2 4" xfId="185" xr:uid="{F79CACE6-1B9A-4947-894B-3ADAD5B8A260}"/>
    <cellStyle name="Normal 10 2 5" xfId="206" xr:uid="{A1D01ED2-BF8B-4FCB-A7E8-B73CE5316151}"/>
    <cellStyle name="Normal 10 3" xfId="132" xr:uid="{A0D07B6C-31BD-405A-A442-888D11AE2912}"/>
    <cellStyle name="Normal 10 3 2" xfId="148" xr:uid="{33AB44AE-3B9A-444A-BAD0-35721F8619E3}"/>
    <cellStyle name="Normal 10 3 2 2" xfId="204" xr:uid="{58AA5300-96C9-4636-A029-358F59B94A4A}"/>
    <cellStyle name="Normal 10 3 3" xfId="188" xr:uid="{3E39B1E3-B86F-4055-9FBD-527EA06DC505}"/>
    <cellStyle name="Normal 10 4" xfId="135" xr:uid="{0BA7AA44-1A4E-4233-BA5B-2A10C8C67756}"/>
    <cellStyle name="Normal 10 4 2" xfId="191" xr:uid="{210EED86-BE5A-4E2B-9CE1-4C52D95FC3D2}"/>
    <cellStyle name="Normal 10 5" xfId="136" xr:uid="{65B56D5F-C1D1-4565-A458-562C3983D9F0}"/>
    <cellStyle name="Normal 10 5 2" xfId="192" xr:uid="{56B9955F-F41E-4B80-A1C5-9A4BB9670615}"/>
    <cellStyle name="Normal 10 6" xfId="174" xr:uid="{3A7F401F-F889-4875-BFAE-BCC12C2960B4}"/>
    <cellStyle name="Normal 11" xfId="120" xr:uid="{8E539251-E2E5-44C5-B6D0-619131D21492}"/>
    <cellStyle name="Normal 11 2" xfId="127" xr:uid="{156A29EF-8CDF-4790-A9D6-8478FEFE0A64}"/>
    <cellStyle name="Normal 11 2 2" xfId="139" xr:uid="{350972B9-2B32-4D23-8DB1-C13B993C1A02}"/>
    <cellStyle name="Normal 11 2 2 2" xfId="195" xr:uid="{4700A9D3-06A7-417F-8569-DB8659ACF71B}"/>
    <cellStyle name="Normal 11 2 3" xfId="183" xr:uid="{797E90CB-3A05-49EA-96B4-96B45891929F}"/>
    <cellStyle name="Normal 11 3" xfId="130" xr:uid="{5DE8B90D-1F6E-4AD4-9430-FB758C39B720}"/>
    <cellStyle name="Normal 11 3 2" xfId="186" xr:uid="{01849043-2E68-458D-8F60-5F07F381A350}"/>
    <cellStyle name="Normal 11 4" xfId="141" xr:uid="{4849C3D7-159C-497B-B025-72DF6AC478C2}"/>
    <cellStyle name="Normal 11 4 2" xfId="197" xr:uid="{B6448C26-77F5-4B9F-A1CB-CFEE60044BFB}"/>
    <cellStyle name="Normal 11 5" xfId="145" xr:uid="{F17AF851-3265-4F46-B0C0-23BC07054BA4}"/>
    <cellStyle name="Normal 11 5 2" xfId="201" xr:uid="{03B25E67-9C54-42DD-9451-0EE39B222DA8}"/>
    <cellStyle name="Normal 11 6" xfId="178" xr:uid="{DEDFF796-24DC-4F6F-9495-7EDFA085E8BA}"/>
    <cellStyle name="Normal 12" xfId="207" xr:uid="{DD9B0B56-8769-44DC-B54A-620A45AE1ECB}"/>
    <cellStyle name="Normal 13" xfId="209" xr:uid="{B438D644-DE78-4FC5-9639-E8A4AA08C532}"/>
    <cellStyle name="Normal 14" xfId="210" xr:uid="{05BAF813-65CB-4310-9927-4A4B33E7DF4A}"/>
    <cellStyle name="Normal 15" xfId="211" xr:uid="{6ABF73D6-221E-45AE-BEAE-1617B24B3591}"/>
    <cellStyle name="Normal 16" xfId="1" xr:uid="{0575E82D-FE14-47D7-8C48-8EE9105DFDCB}"/>
    <cellStyle name="Normal 2" xfId="5" xr:uid="{21D0CE62-4EEB-4C33-B56E-565D5936330C}"/>
    <cellStyle name="Normal 2 10" xfId="64" xr:uid="{D986AE26-92DF-42B0-99BE-80D5FF30B8F0}"/>
    <cellStyle name="Normal 2 11" xfId="65" xr:uid="{FDA238F9-04FB-4752-8459-7D87A19832CA}"/>
    <cellStyle name="Normal 2 12" xfId="66" xr:uid="{A19B630D-7771-465B-AB15-5116AD8F301A}"/>
    <cellStyle name="Normal 2 13" xfId="67" xr:uid="{3860955E-7E0B-485B-AB18-2C66E4005BE5}"/>
    <cellStyle name="Normal 2 14" xfId="68" xr:uid="{7357AB0B-141F-4C99-AAB6-FE236B212F6B}"/>
    <cellStyle name="Normal 2 15" xfId="69" xr:uid="{B81CAC31-8A68-4975-BD97-523D594E5933}"/>
    <cellStyle name="Normal 2 16" xfId="70" xr:uid="{81F92E95-CFBB-4573-BB8B-B0484AD2EF48}"/>
    <cellStyle name="Normal 2 17" xfId="103" xr:uid="{C5ABC44C-B991-47E6-8391-5AAD26CFDBC6}"/>
    <cellStyle name="Normal 2 17 2" xfId="168" xr:uid="{667EDCCF-CF6E-4187-87C6-BC4EAE32E09A}"/>
    <cellStyle name="Normal 2 18" xfId="41" xr:uid="{F53B7656-F569-4D14-837D-D87E4F7509F4}"/>
    <cellStyle name="Normal 2 19" xfId="117" xr:uid="{4BB1A72F-A7E4-40F8-84D5-2CBC782F0E70}"/>
    <cellStyle name="Normal 2 2" xfId="15" xr:uid="{5E9E555C-2050-4B67-9547-5D404DD3BA81}"/>
    <cellStyle name="Normal 2 2 2" xfId="21" xr:uid="{65681AD7-E9A8-42B5-A6A3-52F93405E276}"/>
    <cellStyle name="Normal 2 2 3" xfId="71" xr:uid="{A8414F69-4A8D-417E-B634-0DC9CAA17B4B}"/>
    <cellStyle name="Normal 2 2 4" xfId="155" xr:uid="{262EA985-8FB0-43DF-AE9C-ED1181CD94D9}"/>
    <cellStyle name="Normal 2 20" xfId="118" xr:uid="{CC30345C-4A48-43AF-8261-E54741F7BA91}"/>
    <cellStyle name="Normal 2 21" xfId="150" xr:uid="{B5DBD411-681F-4184-BBA1-05B93FED9E06}"/>
    <cellStyle name="Normal 2 3" xfId="22" xr:uid="{422ABA86-40DD-44AE-B3D8-615C58FE0488}"/>
    <cellStyle name="Normal 2 3 2" xfId="72" xr:uid="{18A2D713-2971-41DE-B231-3B7EA5E4F0EE}"/>
    <cellStyle name="Normal 2 3 3" xfId="156" xr:uid="{1083CFCB-948B-41F2-A514-C734A32844F3}"/>
    <cellStyle name="Normal 2 4" xfId="73" xr:uid="{A4BA4663-CC42-40DB-AFB4-08C7C7774859}"/>
    <cellStyle name="Normal 2 5" xfId="74" xr:uid="{3742D895-F8E6-4073-A77E-DA529B9690F5}"/>
    <cellStyle name="Normal 2 6" xfId="75" xr:uid="{BBA210AD-F0F1-4624-A825-3AD125EDEE82}"/>
    <cellStyle name="Normal 2 7" xfId="76" xr:uid="{B1778F45-4963-4AF9-B40E-7F7879582523}"/>
    <cellStyle name="Normal 2 8" xfId="77" xr:uid="{B7F5308E-97AF-4FCD-8172-575DCCDAA373}"/>
    <cellStyle name="Normal 2 9" xfId="78" xr:uid="{1DE2166E-726E-4CD3-92D7-A419DD34A3B0}"/>
    <cellStyle name="Normal 3" xfId="8" xr:uid="{AF81E57D-9E71-40CC-93CD-3F9488CA68ED}"/>
    <cellStyle name="Normal 3 10" xfId="79" xr:uid="{2818B2B1-18F5-471B-AFBD-87A0C5FDE41D}"/>
    <cellStyle name="Normal 3 11" xfId="80" xr:uid="{2163BF51-E5FB-4F58-9D8D-E222B14184A5}"/>
    <cellStyle name="Normal 3 12" xfId="81" xr:uid="{7E0C9D75-FA89-4011-9AA3-16D9DDA6A5FC}"/>
    <cellStyle name="Normal 3 13" xfId="82" xr:uid="{3570BCEE-9B15-49E4-95D0-88ADACE53BA0}"/>
    <cellStyle name="Normal 3 14" xfId="83" xr:uid="{53D956B4-50C1-4C5B-AF9D-0EC2E30451F7}"/>
    <cellStyle name="Normal 3 15" xfId="84" xr:uid="{D253E9E8-A05C-4D4C-B3BD-64926F02F5A9}"/>
    <cellStyle name="Normal 3 16" xfId="85" xr:uid="{8E2A0EFA-E2C9-4BF4-BA49-ECB725FAA696}"/>
    <cellStyle name="Normal 3 17" xfId="42" xr:uid="{4C486DC4-2D2B-4342-90FE-690250ACEB45}"/>
    <cellStyle name="Normal 3 2" xfId="13" xr:uid="{A34E086F-31B6-496A-9309-7E12CE71C5E6}"/>
    <cellStyle name="Normal 3 2 2" xfId="86" xr:uid="{56BAD70A-303D-401C-8769-01913659B25A}"/>
    <cellStyle name="Normal 3 2 3" xfId="154" xr:uid="{53BDB6A0-A87A-4E1E-B6A7-CA9F7CC64C2B}"/>
    <cellStyle name="Normal 3 3" xfId="31" xr:uid="{17EAE787-3E26-4245-89E9-A2FF6DC7168C}"/>
    <cellStyle name="Normal 3 3 2" xfId="87" xr:uid="{C464CEBB-D1B4-43F6-AD75-3D23A17E9B3A}"/>
    <cellStyle name="Normal 3 4" xfId="88" xr:uid="{495C80EC-E84E-469D-86BF-E8A61EC80FF8}"/>
    <cellStyle name="Normal 3 5" xfId="89" xr:uid="{226587CA-EEA9-4932-A998-F7B1BE54F708}"/>
    <cellStyle name="Normal 3 6" xfId="90" xr:uid="{C475892D-828C-4444-8C28-3C22C4D235E6}"/>
    <cellStyle name="Normal 3 7" xfId="91" xr:uid="{C6AB2445-70B1-4516-B400-D667C5920E0C}"/>
    <cellStyle name="Normal 3 8" xfId="92" xr:uid="{38ACC1CB-6872-460F-9D95-80D1A0B0BBDF}"/>
    <cellStyle name="Normal 3 9" xfId="93" xr:uid="{E26852A9-ED8D-4A5F-96CC-D8DBD2C45F21}"/>
    <cellStyle name="Normal 4" xfId="7" xr:uid="{64C090D2-99C0-441B-8414-D8E8A86A4BAE}"/>
    <cellStyle name="Normal 4 2" xfId="94" xr:uid="{CCFB77EB-8D57-4CCD-9DFB-58EF8E1DF06F}"/>
    <cellStyle name="Normal 4 2 2" xfId="165" xr:uid="{192D8E0C-943E-4C00-A40D-FF03069A4504}"/>
    <cellStyle name="Normal 5" xfId="24" xr:uid="{97B60F5C-1D10-43E0-9557-045F8A71C559}"/>
    <cellStyle name="Normal 5 2" xfId="95" xr:uid="{6B547CF0-3BD3-468B-BD35-BBED83CC0CBD}"/>
    <cellStyle name="Normal 6" xfId="25" xr:uid="{6CDBDB2E-DCD5-4C7E-A71A-637FBBBB5BFB}"/>
    <cellStyle name="Normal 6 2" xfId="107" xr:uid="{8F7B80C1-A5DA-4C72-BD83-49A1B444F069}"/>
    <cellStyle name="Normal 6 2 2" xfId="170" xr:uid="{88265531-B6B5-4303-90FA-DAAD3CEDEC72}"/>
    <cellStyle name="Normal 7" xfId="26" xr:uid="{1825E076-4410-46AF-A12E-C7331CCB8BD7}"/>
    <cellStyle name="Normal 7 2" xfId="108" xr:uid="{7FBF4577-6EFE-4A26-96A0-E6EE0EED0236}"/>
    <cellStyle name="Normal 7 2 2" xfId="171" xr:uid="{D341AAE9-E4B1-4FA4-8DF0-E6044DA28E09}"/>
    <cellStyle name="Normal 7 3" xfId="157" xr:uid="{E1A5E352-50D1-4B61-9BDF-58C74F2AD0F7}"/>
    <cellStyle name="Normal 8" xfId="27" xr:uid="{F85B08E4-EBC5-4974-B763-41024B71BC55}"/>
    <cellStyle name="Normal 8 2" xfId="126" xr:uid="{238B7089-E17D-4F94-AC52-7961121DE103}"/>
    <cellStyle name="Normal 8 2 2" xfId="133" xr:uid="{D50234F0-3F87-467E-844C-314D57DD949C}"/>
    <cellStyle name="Normal 8 2 2 2" xfId="189" xr:uid="{B0CB57F7-66EA-4AF2-8955-1871CA3B1D63}"/>
    <cellStyle name="Normal 8 2 3" xfId="140" xr:uid="{C06594AD-93EF-4854-AC78-4C14F64CECDE}"/>
    <cellStyle name="Normal 8 2 3 2" xfId="196" xr:uid="{D3EE2A65-AA34-4AC5-A90C-BD4610A35CE8}"/>
    <cellStyle name="Normal 8 2 4" xfId="182" xr:uid="{EFE7C639-5DBD-47A9-B4C0-A57430B50296}"/>
    <cellStyle name="Normal 8 3" xfId="131" xr:uid="{32F7CD87-61F0-4C82-B0D9-BD7CBDBCB187}"/>
    <cellStyle name="Normal 8 3 2" xfId="149" xr:uid="{11BE5ED8-A27F-4D57-AEEF-DCBED317358B}"/>
    <cellStyle name="Normal 8 3 2 2" xfId="205" xr:uid="{6C736BA1-1EB7-4DAB-B8A4-800DD798035A}"/>
    <cellStyle name="Normal 8 3 3" xfId="187" xr:uid="{009BFBD4-A05F-40DC-8487-577F778DDB78}"/>
    <cellStyle name="Normal 8 4" xfId="137" xr:uid="{65AEFB35-E999-4322-8A94-28A56FC3CE59}"/>
    <cellStyle name="Normal 8 4 2" xfId="193" xr:uid="{E2DC6594-D2E6-43C4-AC5E-CDAA4A86D1FB}"/>
    <cellStyle name="Normal 8 5" xfId="146" xr:uid="{E6E43527-6C13-4305-A195-292969585833}"/>
    <cellStyle name="Normal 8 5 2" xfId="202" xr:uid="{9BDBE2AE-73F7-4885-8F9C-77950737E2A2}"/>
    <cellStyle name="Normal 8 6" xfId="158" xr:uid="{47A2FBE4-80E4-498C-82E2-1D20DAF44630}"/>
    <cellStyle name="Normal 9" xfId="40" xr:uid="{D846D40B-E81F-44E8-A3EB-F3A9AE4F8C7E}"/>
    <cellStyle name="Note" xfId="216" builtinId="10"/>
    <cellStyle name="Percent 10" xfId="122" xr:uid="{FB921A22-661C-4966-99F4-E4A9ED8C3787}"/>
    <cellStyle name="Percent 10 2" xfId="180" xr:uid="{370D0816-B092-44E6-AE47-4106B617E653}"/>
    <cellStyle name="Percent 11" xfId="144" xr:uid="{07A4CE0B-86C3-4E59-8C71-B843050C0371}"/>
    <cellStyle name="Percent 11 2" xfId="200" xr:uid="{0F83DE76-CCBC-4810-89B8-67D26B68DD43}"/>
    <cellStyle name="Percent 12" xfId="4" xr:uid="{C5844373-3BC8-46CD-A710-653C500D1712}"/>
    <cellStyle name="Percent 2" xfId="10" xr:uid="{8386A176-E984-4897-858A-2345D721B207}"/>
    <cellStyle name="Percent 2 2" xfId="96" xr:uid="{0E6CA02D-54FE-4C74-977E-6896C39B5397}"/>
    <cellStyle name="Percent 2 3" xfId="151" xr:uid="{4B015E31-1BD4-4563-A0AB-8A92FFA2DB24}"/>
    <cellStyle name="Percent 3" xfId="9" xr:uid="{C0B4092C-220D-48E2-850A-897B70A11133}"/>
    <cellStyle name="Percent 3 2" xfId="97" xr:uid="{1FB54CDB-6A28-47DF-AD1F-2B93D156D1F6}"/>
    <cellStyle name="Percent 3 2 2" xfId="166" xr:uid="{FDD38A1A-9710-496D-AB53-594CF1726D3D}"/>
    <cellStyle name="Percent 4" xfId="23" xr:uid="{552F8790-AB26-450C-AA90-E29FE4641DE0}"/>
    <cellStyle name="Percent 4 2" xfId="98" xr:uid="{090E600E-4B76-4339-8BC1-09AC9AB821FF}"/>
    <cellStyle name="Percent 4 2 2" xfId="167" xr:uid="{DEE3B9ED-122F-4619-96AA-59A198723C1A}"/>
    <cellStyle name="Percent 5" xfId="28" xr:uid="{EEC4186D-F658-4B1F-A584-49ADF9B5FB1C}"/>
    <cellStyle name="Percent 5 2" xfId="99" xr:uid="{5DF39FBA-DAEA-4F30-B350-4270008994C5}"/>
    <cellStyle name="Percent 5 3" xfId="159" xr:uid="{FA7672C2-6F3B-42B5-976E-CD86B906BB50}"/>
    <cellStyle name="Percent 6" xfId="109" xr:uid="{0B221DEE-5EE7-447C-9489-C98CD1496446}"/>
    <cellStyle name="Percent 6 2" xfId="172" xr:uid="{8E657467-04CC-4565-9585-76902D4DE32B}"/>
    <cellStyle name="Percent 7" xfId="101" xr:uid="{13962F09-EC08-4C1B-8259-0DC74F593A94}"/>
    <cellStyle name="Percent 8" xfId="115" xr:uid="{77554B28-0A02-46F0-BAA5-86B2FCA39835}"/>
    <cellStyle name="Percent 8 2" xfId="176" xr:uid="{661C1C52-9479-4032-A382-70909DCE457B}"/>
    <cellStyle name="Percent 9" xfId="119" xr:uid="{56F81362-E3A3-4843-90E3-3E49B11E8BBA}"/>
    <cellStyle name="Total 2" xfId="39" xr:uid="{ED72F4F8-EA6D-4518-B1F0-88DBA177C2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utx.sharepoint.com/sites/TDO-TrafficManagement/Shared%20Documents/1-Grants/2023%20TIP/2023%202024%20Submissions/Gellhorn%20Dr/Gellhorn_2023_HGAC_CFP_BCA%20Calculator_081524.xlsm" TargetMode="External"/><Relationship Id="rId1" Type="http://schemas.openxmlformats.org/officeDocument/2006/relationships/externalLinkPath" Target="/sites/TDO-TrafficManagement/Shared%20Documents/1-Grants/2023%20TIP/2023%202024%20Submissions/Gellhorn%20Dr/Gellhorn_2023_HGAC_CFP_BCA%20Calculator_0815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struction"/>
      <sheetName val="Project Information Data"/>
      <sheetName val="Raw Crash Data"/>
      <sheetName val="Raw Bike_Ped Data"/>
      <sheetName val="Output"/>
      <sheetName val="Summary"/>
      <sheetName val="Final BCR"/>
      <sheetName val="Capital Costs"/>
      <sheetName val="Operations and Maintenance"/>
      <sheetName val="Safety"/>
      <sheetName val="Travel Time Savings"/>
      <sheetName val="Emissions Reduction"/>
      <sheetName val="Vehicle Operating Cost Savings"/>
      <sheetName val="Other Highway Use Externalities"/>
      <sheetName val="Amenity Benefits"/>
      <sheetName val="Health Benefits"/>
      <sheetName val="Residual Value"/>
      <sheetName val="Project Information"/>
      <sheetName val="Parameter Values"/>
      <sheetName val="Emission Factors"/>
      <sheetName val="Other Benefit 4"/>
      <sheetName val="Other Benefit 3"/>
      <sheetName val="Other Benefit 2"/>
      <sheetName val="Other Benefit 1"/>
      <sheetName val="User Volumes"/>
      <sheetName val="Over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2">
          <cell r="B12">
            <v>1204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"/>
      <sheetName val="Project Information Data"/>
      <sheetName val="Raw Crash Data"/>
      <sheetName val="Raw Bike_Ped Data"/>
      <sheetName val="Overview"/>
      <sheetName val="Output"/>
      <sheetName val="Summary"/>
      <sheetName val="Final BCR"/>
      <sheetName val="User Volumes"/>
      <sheetName val="Capital Costs"/>
      <sheetName val="Operations and Maintenance"/>
      <sheetName val="Safety"/>
      <sheetName val="Travel Time Savings"/>
      <sheetName val="Emissions Reduction"/>
      <sheetName val="Vehicle Operating Cost Savings"/>
      <sheetName val="Other Highway Use Externalities"/>
      <sheetName val="Amenity Benefits"/>
      <sheetName val="Health Benefits"/>
      <sheetName val="Residual Value"/>
      <sheetName val="Project Information"/>
      <sheetName val="Parameter Values"/>
      <sheetName val="Emission Factors"/>
      <sheetName val="Other Benefit 1"/>
      <sheetName val="Other Benefit 2"/>
      <sheetName val="Other Benefit 3"/>
      <sheetName val="Other Benefit 4"/>
    </sheetNames>
    <sheetDataSet>
      <sheetData sheetId="0">
        <row r="19">
          <cell r="B19">
            <v>2022</v>
          </cell>
        </row>
      </sheetData>
      <sheetData sheetId="1"/>
      <sheetData sheetId="2"/>
      <sheetData sheetId="3"/>
      <sheetData sheetId="4"/>
      <sheetData sheetId="5">
        <row r="4">
          <cell r="A4">
            <v>1204</v>
          </cell>
          <cell r="E4">
            <v>30</v>
          </cell>
        </row>
        <row r="5">
          <cell r="A5">
            <v>0</v>
          </cell>
          <cell r="E5">
            <v>0</v>
          </cell>
        </row>
      </sheetData>
      <sheetData sheetId="6"/>
      <sheetData sheetId="7"/>
      <sheetData sheetId="8"/>
      <sheetData sheetId="9">
        <row r="5">
          <cell r="A5">
            <v>14943181.459199999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B6">
            <v>2022</v>
          </cell>
        </row>
        <row r="7">
          <cell r="B7">
            <v>2025</v>
          </cell>
        </row>
        <row r="8">
          <cell r="B8">
            <v>4</v>
          </cell>
        </row>
        <row r="9">
          <cell r="B9">
            <v>2029</v>
          </cell>
        </row>
        <row r="10">
          <cell r="B10">
            <v>25</v>
          </cell>
        </row>
        <row r="11">
          <cell r="B11">
            <v>2053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0"/>
  <sheetViews>
    <sheetView tabSelected="1" workbookViewId="0">
      <selection activeCell="A2" sqref="A2"/>
    </sheetView>
  </sheetViews>
  <sheetFormatPr defaultRowHeight="14.5" x14ac:dyDescent="0.35"/>
  <cols>
    <col min="1" max="1" width="57.1796875" bestFit="1" customWidth="1"/>
    <col min="2" max="2" width="30" style="3" bestFit="1" customWidth="1"/>
    <col min="3" max="3" width="52.81640625" style="1" customWidth="1"/>
    <col min="4" max="4" width="75.7265625" customWidth="1"/>
    <col min="5" max="5" width="18.81640625" customWidth="1"/>
    <col min="6" max="6" width="19.26953125" customWidth="1"/>
  </cols>
  <sheetData>
    <row r="1" spans="1:6" x14ac:dyDescent="0.35">
      <c r="A1" t="s">
        <v>0</v>
      </c>
      <c r="B1" s="4"/>
      <c r="E1" s="3"/>
      <c r="F1" s="3"/>
    </row>
    <row r="2" spans="1:6" x14ac:dyDescent="0.35">
      <c r="A2" s="21" t="s">
        <v>1</v>
      </c>
      <c r="B2" s="4"/>
    </row>
    <row r="3" spans="1:6" x14ac:dyDescent="0.35">
      <c r="A3" s="2" t="s">
        <v>2</v>
      </c>
    </row>
    <row r="4" spans="1:6" ht="18.5" x14ac:dyDescent="0.45">
      <c r="A4" s="13" t="s">
        <v>0</v>
      </c>
    </row>
    <row r="5" spans="1:6" x14ac:dyDescent="0.35">
      <c r="A5" s="14" t="s">
        <v>3</v>
      </c>
      <c r="B5" s="3">
        <f>'Cost Summary and Discounting'!F13</f>
        <v>15565814.024325676</v>
      </c>
    </row>
    <row r="6" spans="1:6" x14ac:dyDescent="0.35">
      <c r="A6" s="14" t="s">
        <v>4</v>
      </c>
      <c r="B6" s="3">
        <f>SUM(B15,B18,B21)</f>
        <v>1976818</v>
      </c>
    </row>
    <row r="7" spans="1:6" ht="15.5" x14ac:dyDescent="0.35">
      <c r="A7" s="14" t="s">
        <v>5</v>
      </c>
      <c r="B7" s="15">
        <f>B6/B5</f>
        <v>0.12699740578364244</v>
      </c>
    </row>
    <row r="8" spans="1:6" x14ac:dyDescent="0.35">
      <c r="A8" s="12" t="s">
        <v>6</v>
      </c>
    </row>
    <row r="9" spans="1:6" x14ac:dyDescent="0.35">
      <c r="A9" s="2" t="s">
        <v>7</v>
      </c>
      <c r="B9" s="4" t="s">
        <v>8</v>
      </c>
      <c r="C9" s="8" t="s">
        <v>9</v>
      </c>
      <c r="D9" s="2" t="s">
        <v>10</v>
      </c>
    </row>
    <row r="10" spans="1:6" ht="30" customHeight="1" x14ac:dyDescent="0.35">
      <c r="A10" s="43" t="s">
        <v>11</v>
      </c>
      <c r="B10" s="43"/>
    </row>
    <row r="11" spans="1:6" x14ac:dyDescent="0.35">
      <c r="A11" t="s">
        <v>12</v>
      </c>
      <c r="B11" s="3">
        <v>229000</v>
      </c>
      <c r="C11" s="1" t="s">
        <v>13</v>
      </c>
      <c r="D11" t="s">
        <v>14</v>
      </c>
    </row>
    <row r="12" spans="1:6" x14ac:dyDescent="0.35">
      <c r="A12" t="s">
        <v>15</v>
      </c>
      <c r="B12" s="3">
        <v>159000</v>
      </c>
      <c r="C12" s="1" t="s">
        <v>13</v>
      </c>
      <c r="D12" t="s">
        <v>16</v>
      </c>
    </row>
    <row r="15" spans="1:6" x14ac:dyDescent="0.35">
      <c r="A15" s="9" t="s">
        <v>17</v>
      </c>
      <c r="B15" s="11">
        <f>SUM(B11:B14)</f>
        <v>388000</v>
      </c>
      <c r="C15" s="17"/>
      <c r="D15" s="10"/>
    </row>
    <row r="16" spans="1:6" x14ac:dyDescent="0.35">
      <c r="A16" s="6"/>
      <c r="B16" s="7"/>
      <c r="C16" s="16"/>
      <c r="D16" s="6"/>
    </row>
    <row r="17" spans="1:4" x14ac:dyDescent="0.35">
      <c r="A17" s="2" t="s">
        <v>18</v>
      </c>
      <c r="C17" s="18" t="s">
        <v>19</v>
      </c>
      <c r="D17" s="5" t="s">
        <v>20</v>
      </c>
    </row>
    <row r="18" spans="1:4" x14ac:dyDescent="0.35">
      <c r="A18" s="9" t="s">
        <v>21</v>
      </c>
      <c r="B18" s="11">
        <v>622159</v>
      </c>
      <c r="C18" s="17"/>
      <c r="D18" s="10"/>
    </row>
    <row r="19" spans="1:4" x14ac:dyDescent="0.35">
      <c r="A19" s="6"/>
      <c r="B19" s="6"/>
      <c r="C19" s="6"/>
      <c r="D19" s="6"/>
    </row>
    <row r="20" spans="1:4" x14ac:dyDescent="0.35">
      <c r="A20" s="2" t="s">
        <v>22</v>
      </c>
      <c r="C20" s="18" t="s">
        <v>23</v>
      </c>
      <c r="D20" s="5" t="s">
        <v>24</v>
      </c>
    </row>
    <row r="21" spans="1:4" x14ac:dyDescent="0.35">
      <c r="A21" s="9" t="s">
        <v>25</v>
      </c>
      <c r="B21" s="11">
        <v>966659</v>
      </c>
      <c r="C21" s="17"/>
      <c r="D21" s="10"/>
    </row>
    <row r="22" spans="1:4" x14ac:dyDescent="0.35">
      <c r="A22" s="6"/>
      <c r="B22" s="6"/>
      <c r="C22" s="6"/>
      <c r="D22" s="6"/>
    </row>
    <row r="23" spans="1:4" ht="15.75" customHeight="1" x14ac:dyDescent="0.35">
      <c r="A23" s="2"/>
      <c r="B23" s="22"/>
      <c r="C23" s="2"/>
      <c r="D23" s="2"/>
    </row>
    <row r="24" spans="1:4" x14ac:dyDescent="0.35">
      <c r="A24" s="12" t="s">
        <v>26</v>
      </c>
    </row>
    <row r="25" spans="1:4" x14ac:dyDescent="0.35">
      <c r="A25" t="s">
        <v>27</v>
      </c>
    </row>
    <row r="26" spans="1:4" x14ac:dyDescent="0.35">
      <c r="A26" s="12" t="s">
        <v>28</v>
      </c>
    </row>
    <row r="27" spans="1:4" x14ac:dyDescent="0.35">
      <c r="A27" t="s">
        <v>29</v>
      </c>
    </row>
    <row r="28" spans="1:4" x14ac:dyDescent="0.35">
      <c r="A28" t="s">
        <v>30</v>
      </c>
    </row>
    <row r="29" spans="1:4" x14ac:dyDescent="0.35">
      <c r="A29" t="s">
        <v>31</v>
      </c>
    </row>
    <row r="30" spans="1:4" x14ac:dyDescent="0.35">
      <c r="A30" t="s">
        <v>32</v>
      </c>
    </row>
  </sheetData>
  <mergeCells count="1">
    <mergeCell ref="A10:B10"/>
  </mergeCells>
  <pageMargins left="0.7" right="0.7" top="0.75" bottom="0.75" header="0.3" footer="0.3"/>
  <pageSetup scale="5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70C9D-6B72-49D2-A1BF-61FC4C1C6576}">
  <sheetPr codeName="Sheet2"/>
  <dimension ref="A1:I15"/>
  <sheetViews>
    <sheetView workbookViewId="0">
      <selection activeCell="I15" sqref="I15"/>
    </sheetView>
  </sheetViews>
  <sheetFormatPr defaultRowHeight="14.5" x14ac:dyDescent="0.35"/>
  <cols>
    <col min="1" max="1" width="19.1796875" bestFit="1" customWidth="1"/>
    <col min="3" max="3" width="22" bestFit="1" customWidth="1"/>
    <col min="4" max="4" width="18.7265625" bestFit="1" customWidth="1"/>
    <col min="5" max="5" width="18.7265625" customWidth="1"/>
    <col min="6" max="6" width="16.54296875" customWidth="1"/>
  </cols>
  <sheetData>
    <row r="1" spans="1:9" x14ac:dyDescent="0.35">
      <c r="D1" s="19">
        <v>23524893</v>
      </c>
      <c r="E1" s="19"/>
    </row>
    <row r="2" spans="1:9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9" x14ac:dyDescent="0.35">
      <c r="B3">
        <v>2022</v>
      </c>
    </row>
    <row r="4" spans="1:9" x14ac:dyDescent="0.35">
      <c r="B4">
        <v>2023</v>
      </c>
    </row>
    <row r="5" spans="1:9" x14ac:dyDescent="0.35">
      <c r="B5">
        <v>2024</v>
      </c>
    </row>
    <row r="6" spans="1:9" x14ac:dyDescent="0.35">
      <c r="B6">
        <v>2025</v>
      </c>
      <c r="C6" t="s">
        <v>38</v>
      </c>
      <c r="D6" s="5">
        <v>6660324</v>
      </c>
      <c r="E6" s="5">
        <f>D6/(1+5.79%)^(B6-2021)</f>
        <v>5317614.9649707004</v>
      </c>
      <c r="F6" s="20">
        <f>E6/(1+3.1%)^(B6-2022)</f>
        <v>4852224.5644368082</v>
      </c>
      <c r="I6" t="s">
        <v>39</v>
      </c>
    </row>
    <row r="7" spans="1:9" x14ac:dyDescent="0.35">
      <c r="B7">
        <v>2026</v>
      </c>
      <c r="C7" t="s">
        <v>38</v>
      </c>
      <c r="D7" s="5">
        <v>6660324</v>
      </c>
      <c r="E7" s="5">
        <f t="shared" ref="E7:E11" si="0">D7/(1+5.79%)^(B7-2021)</f>
        <v>5026576.2028270159</v>
      </c>
      <c r="F7" s="20">
        <f t="shared" ref="F7:F11" si="1">E7/(1+3.1%)^(B7-2022)</f>
        <v>4448745.9916029749</v>
      </c>
    </row>
    <row r="8" spans="1:9" x14ac:dyDescent="0.35">
      <c r="B8">
        <v>2026</v>
      </c>
      <c r="C8" t="s">
        <v>40</v>
      </c>
      <c r="D8" s="5">
        <v>3401415.33</v>
      </c>
      <c r="E8" s="5">
        <f t="shared" si="0"/>
        <v>2567063.3070867127</v>
      </c>
      <c r="F8" s="20">
        <f t="shared" si="1"/>
        <v>2271966.4711678308</v>
      </c>
    </row>
    <row r="9" spans="1:9" x14ac:dyDescent="0.35">
      <c r="B9">
        <v>2027</v>
      </c>
      <c r="C9" t="s">
        <v>40</v>
      </c>
      <c r="D9" s="5">
        <v>3401415.33</v>
      </c>
      <c r="E9" s="5">
        <f t="shared" si="0"/>
        <v>2426565.1829915042</v>
      </c>
      <c r="F9" s="20">
        <f t="shared" si="1"/>
        <v>2083044.9204152606</v>
      </c>
    </row>
    <row r="10" spans="1:9" x14ac:dyDescent="0.35">
      <c r="A10" t="s">
        <v>41</v>
      </c>
      <c r="B10">
        <v>2028</v>
      </c>
      <c r="C10" t="s">
        <v>40</v>
      </c>
      <c r="D10" s="5">
        <v>3401414</v>
      </c>
      <c r="E10" s="5">
        <f t="shared" si="0"/>
        <v>2293755.7748097824</v>
      </c>
      <c r="F10" s="20">
        <f t="shared" si="1"/>
        <v>1909832.076702802</v>
      </c>
    </row>
    <row r="11" spans="1:9" x14ac:dyDescent="0.35">
      <c r="D11" s="5">
        <v>0</v>
      </c>
      <c r="E11" s="5">
        <f t="shared" si="0"/>
        <v>0</v>
      </c>
      <c r="F11" s="20">
        <f t="shared" si="1"/>
        <v>0</v>
      </c>
    </row>
    <row r="12" spans="1:9" x14ac:dyDescent="0.35">
      <c r="D12" s="5"/>
      <c r="E12" s="5"/>
    </row>
    <row r="13" spans="1:9" x14ac:dyDescent="0.35">
      <c r="B13" t="s">
        <v>42</v>
      </c>
      <c r="D13" s="5">
        <f>SUM(D6:D11)</f>
        <v>23524892.66</v>
      </c>
      <c r="E13" s="5">
        <f>SUM(E6:E10)</f>
        <v>17631575.432685714</v>
      </c>
      <c r="F13" s="5">
        <f>SUM(F6:F11)</f>
        <v>15565814.024325676</v>
      </c>
    </row>
    <row r="14" spans="1:9" x14ac:dyDescent="0.35">
      <c r="B14" t="s">
        <v>43</v>
      </c>
      <c r="D14" s="5">
        <f>D1-D13</f>
        <v>0.33999999985098839</v>
      </c>
      <c r="E14" s="5"/>
    </row>
    <row r="15" spans="1:9" x14ac:dyDescent="0.35">
      <c r="B15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E538D-0E9C-443F-9AA6-C35B1AB8751F}">
  <dimension ref="A1:K47"/>
  <sheetViews>
    <sheetView workbookViewId="0">
      <selection activeCell="E20" sqref="E20"/>
    </sheetView>
  </sheetViews>
  <sheetFormatPr defaultColWidth="9.26953125" defaultRowHeight="14.5" x14ac:dyDescent="0.35"/>
  <cols>
    <col min="1" max="1" width="33.54296875" style="24" customWidth="1"/>
    <col min="2" max="2" width="30" style="24" customWidth="1"/>
    <col min="3" max="3" width="21.7265625" style="24" customWidth="1"/>
    <col min="4" max="4" width="17.7265625" style="24" customWidth="1"/>
    <col min="5" max="5" width="20.453125" style="24" customWidth="1"/>
    <col min="6" max="16384" width="9.26953125" style="24"/>
  </cols>
  <sheetData>
    <row r="1" spans="1:11" ht="20" thickBot="1" x14ac:dyDescent="0.5">
      <c r="A1" s="23" t="s">
        <v>22</v>
      </c>
    </row>
    <row r="2" spans="1:11" ht="15" thickTop="1" x14ac:dyDescent="0.35">
      <c r="A2" s="25"/>
      <c r="B2" s="25"/>
      <c r="C2" s="25"/>
      <c r="D2" s="25"/>
      <c r="E2" s="25"/>
      <c r="F2" s="25"/>
      <c r="G2" s="25"/>
      <c r="H2" s="25"/>
    </row>
    <row r="3" spans="1:11" x14ac:dyDescent="0.35">
      <c r="A3" s="24" t="s">
        <v>44</v>
      </c>
    </row>
    <row r="4" spans="1:11" x14ac:dyDescent="0.35">
      <c r="A4" s="26" t="s">
        <v>45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35">
      <c r="A5" s="24" t="s">
        <v>44</v>
      </c>
    </row>
    <row r="6" spans="1:11" x14ac:dyDescent="0.35">
      <c r="A6" s="26" t="s">
        <v>46</v>
      </c>
      <c r="B6" s="25"/>
      <c r="C6" s="25"/>
      <c r="D6" s="25"/>
      <c r="E6" s="25"/>
      <c r="F6" s="25"/>
    </row>
    <row r="7" spans="1:11" x14ac:dyDescent="0.35">
      <c r="A7" s="26" t="s">
        <v>47</v>
      </c>
      <c r="B7" s="25"/>
      <c r="C7" s="25"/>
      <c r="D7" s="25"/>
      <c r="E7" s="25"/>
      <c r="F7" s="25"/>
      <c r="G7" s="25"/>
      <c r="H7" s="25"/>
      <c r="I7" s="25"/>
    </row>
    <row r="8" spans="1:11" x14ac:dyDescent="0.35">
      <c r="A8" s="26" t="s">
        <v>48</v>
      </c>
      <c r="B8" s="25"/>
      <c r="C8" s="25"/>
      <c r="D8" s="25"/>
      <c r="E8" s="25"/>
      <c r="F8" s="25"/>
    </row>
    <row r="9" spans="1:11" x14ac:dyDescent="0.35">
      <c r="A9" s="27" t="s">
        <v>49</v>
      </c>
    </row>
    <row r="10" spans="1:11" x14ac:dyDescent="0.35">
      <c r="A10" s="28" t="s">
        <v>50</v>
      </c>
      <c r="B10" s="29" t="s">
        <v>51</v>
      </c>
      <c r="C10" s="29" t="s">
        <v>52</v>
      </c>
      <c r="D10" s="29" t="s">
        <v>22</v>
      </c>
      <c r="E10" s="29" t="s">
        <v>53</v>
      </c>
    </row>
    <row r="11" spans="1:11" x14ac:dyDescent="0.35">
      <c r="A11" s="30" t="s">
        <v>54</v>
      </c>
      <c r="B11" s="31">
        <f>SUM('[2]Capital Costs'!B9:B23)+'[2]Capital Costs'!A5</f>
        <v>14943181.459199999</v>
      </c>
      <c r="C11" s="32">
        <f>_xlfn.XLOOKUP(Project_ID, [2]Output!$A$4:$A$203,[2]Output!$E$4:$E$203, 25, 0)</f>
        <v>30</v>
      </c>
      <c r="D11" s="33">
        <f>IF(C11&gt;'[2]Project Information'!$B$10,IFERROR(B11*((C11-'[2]Project Information'!$B$10)/C11),0),0)</f>
        <v>2490530.2431999994</v>
      </c>
      <c r="E11" s="33">
        <f>D11/(1.031 ^ (A42 - [2]Instruction!$B$19))</f>
        <v>966658.77142827946</v>
      </c>
    </row>
    <row r="12" spans="1:11" x14ac:dyDescent="0.35">
      <c r="A12" s="34" t="s">
        <v>55</v>
      </c>
      <c r="B12" s="35"/>
      <c r="C12" s="36"/>
      <c r="D12" s="33">
        <f>SUM(D11:D11)</f>
        <v>2490530.2431999994</v>
      </c>
      <c r="E12" s="33">
        <f>E11</f>
        <v>966658.77142827946</v>
      </c>
    </row>
    <row r="13" spans="1:11" x14ac:dyDescent="0.35">
      <c r="A13" s="24" t="s">
        <v>44</v>
      </c>
    </row>
    <row r="14" spans="1:11" x14ac:dyDescent="0.35">
      <c r="A14" s="26" t="s">
        <v>56</v>
      </c>
      <c r="B14" s="26"/>
      <c r="C14" s="26"/>
      <c r="D14" s="26"/>
      <c r="E14" s="26"/>
      <c r="F14" s="26"/>
      <c r="G14" s="26"/>
    </row>
    <row r="15" spans="1:11" x14ac:dyDescent="0.35">
      <c r="A15" s="26" t="s">
        <v>57</v>
      </c>
      <c r="B15" s="26"/>
      <c r="C15" s="26"/>
      <c r="D15" s="26"/>
    </row>
    <row r="16" spans="1:11" x14ac:dyDescent="0.35">
      <c r="A16" s="27" t="s">
        <v>58</v>
      </c>
    </row>
    <row r="17" spans="1:2" x14ac:dyDescent="0.35">
      <c r="A17" s="29" t="s">
        <v>33</v>
      </c>
      <c r="B17" s="37" t="s">
        <v>22</v>
      </c>
    </row>
    <row r="18" spans="1:2" x14ac:dyDescent="0.35">
      <c r="A18" s="38">
        <f>'[2]Project Information'!$B$9</f>
        <v>2029</v>
      </c>
      <c r="B18" s="39">
        <f>IF(A18='[2]Project Information'!$B$6+'[2]Project Information'!$B$8+'[2]Project Information'!$B$10+('[2]Project Information'!$B$7-'[2]Project Information'!$B$6-1),$D$12,0)</f>
        <v>0</v>
      </c>
    </row>
    <row r="19" spans="1:2" x14ac:dyDescent="0.35">
      <c r="A19" s="40">
        <f>IF(A18&lt;'[2]Project Information'!B$11,A18+1,"")</f>
        <v>2030</v>
      </c>
      <c r="B19" s="39">
        <f>IF(A19='[2]Project Information'!$B$6+'[2]Project Information'!$B$8+'[2]Project Information'!$B$10+('[2]Project Information'!$B$7-'[2]Project Information'!$B$6-1),$D$12,0)</f>
        <v>0</v>
      </c>
    </row>
    <row r="20" spans="1:2" x14ac:dyDescent="0.35">
      <c r="A20" s="40">
        <f>IF(A19&lt;'[2]Project Information'!B$11,A19+1,"")</f>
        <v>2031</v>
      </c>
      <c r="B20" s="39">
        <f>IF(A20='[2]Project Information'!$B$6+'[2]Project Information'!$B$8+'[2]Project Information'!$B$10+('[2]Project Information'!$B$7-'[2]Project Information'!$B$6-1),$D$12,0)</f>
        <v>0</v>
      </c>
    </row>
    <row r="21" spans="1:2" x14ac:dyDescent="0.35">
      <c r="A21" s="40">
        <f>IF(A20&lt;'[2]Project Information'!B$11,A20+1,"")</f>
        <v>2032</v>
      </c>
      <c r="B21" s="39">
        <f>IF(A21='[2]Project Information'!$B$6+'[2]Project Information'!$B$8+'[2]Project Information'!$B$10+('[2]Project Information'!$B$7-'[2]Project Information'!$B$6-1),$D$12,0)</f>
        <v>0</v>
      </c>
    </row>
    <row r="22" spans="1:2" x14ac:dyDescent="0.35">
      <c r="A22" s="40">
        <f>IF(A21&lt;'[2]Project Information'!B$11,A21+1,"")</f>
        <v>2033</v>
      </c>
      <c r="B22" s="39">
        <f>IF(A22='[2]Project Information'!$B$6+'[2]Project Information'!$B$8+'[2]Project Information'!$B$10+('[2]Project Information'!$B$7-'[2]Project Information'!$B$6-1),$D$12,0)</f>
        <v>0</v>
      </c>
    </row>
    <row r="23" spans="1:2" x14ac:dyDescent="0.35">
      <c r="A23" s="40">
        <f>IF(A22&lt;'[2]Project Information'!B$11,A22+1,"")</f>
        <v>2034</v>
      </c>
      <c r="B23" s="39">
        <f>IF(A23='[2]Project Information'!$B$6+'[2]Project Information'!$B$8+'[2]Project Information'!$B$10+('[2]Project Information'!$B$7-'[2]Project Information'!$B$6-1),$D$12,0)</f>
        <v>0</v>
      </c>
    </row>
    <row r="24" spans="1:2" x14ac:dyDescent="0.35">
      <c r="A24" s="40">
        <f>IF(A23&lt;'[2]Project Information'!B$11,A23+1,"")</f>
        <v>2035</v>
      </c>
      <c r="B24" s="39">
        <f>IF(A24='[2]Project Information'!$B$6+'[2]Project Information'!$B$8+'[2]Project Information'!$B$10+('[2]Project Information'!$B$7-'[2]Project Information'!$B$6-1),$D$12,0)</f>
        <v>0</v>
      </c>
    </row>
    <row r="25" spans="1:2" x14ac:dyDescent="0.35">
      <c r="A25" s="40">
        <f>IF(A24&lt;'[2]Project Information'!B$11,A24+1,"")</f>
        <v>2036</v>
      </c>
      <c r="B25" s="39">
        <f>IF(A25='[2]Project Information'!$B$6+'[2]Project Information'!$B$8+'[2]Project Information'!$B$10+('[2]Project Information'!$B$7-'[2]Project Information'!$B$6-1),$D$12,0)</f>
        <v>0</v>
      </c>
    </row>
    <row r="26" spans="1:2" x14ac:dyDescent="0.35">
      <c r="A26" s="40">
        <f>IF(A25&lt;'[2]Project Information'!B$11,A25+1,"")</f>
        <v>2037</v>
      </c>
      <c r="B26" s="39">
        <f>IF(A26='[2]Project Information'!$B$6+'[2]Project Information'!$B$8+'[2]Project Information'!$B$10+('[2]Project Information'!$B$7-'[2]Project Information'!$B$6-1),$D$12,0)</f>
        <v>0</v>
      </c>
    </row>
    <row r="27" spans="1:2" x14ac:dyDescent="0.35">
      <c r="A27" s="40">
        <f>IF(A26&lt;'[2]Project Information'!B$11,A26+1,"")</f>
        <v>2038</v>
      </c>
      <c r="B27" s="39">
        <f>IF(A27='[2]Project Information'!$B$6+'[2]Project Information'!$B$8+'[2]Project Information'!$B$10+('[2]Project Information'!$B$7-'[2]Project Information'!$B$6-1),$D$12,0)</f>
        <v>0</v>
      </c>
    </row>
    <row r="28" spans="1:2" x14ac:dyDescent="0.35">
      <c r="A28" s="40">
        <f>IF(A27&lt;'[2]Project Information'!B$11,A27+1,"")</f>
        <v>2039</v>
      </c>
      <c r="B28" s="39">
        <f>IF(A28='[2]Project Information'!$B$6+'[2]Project Information'!$B$8+'[2]Project Information'!$B$10+('[2]Project Information'!$B$7-'[2]Project Information'!$B$6-1),$D$12,0)</f>
        <v>0</v>
      </c>
    </row>
    <row r="29" spans="1:2" x14ac:dyDescent="0.35">
      <c r="A29" s="40">
        <f>IF(A28&lt;'[2]Project Information'!B$11,A28+1,"")</f>
        <v>2040</v>
      </c>
      <c r="B29" s="39">
        <f>IF(A29='[2]Project Information'!$B$6+'[2]Project Information'!$B$8+'[2]Project Information'!$B$10+('[2]Project Information'!$B$7-'[2]Project Information'!$B$6-1),$D$12,0)</f>
        <v>0</v>
      </c>
    </row>
    <row r="30" spans="1:2" x14ac:dyDescent="0.35">
      <c r="A30" s="40">
        <f>IF(A29&lt;'[2]Project Information'!B$11,A29+1,"")</f>
        <v>2041</v>
      </c>
      <c r="B30" s="39">
        <f>IF(A30='[2]Project Information'!$B$6+'[2]Project Information'!$B$8+'[2]Project Information'!$B$10+('[2]Project Information'!$B$7-'[2]Project Information'!$B$6-1),$D$12,0)</f>
        <v>0</v>
      </c>
    </row>
    <row r="31" spans="1:2" x14ac:dyDescent="0.35">
      <c r="A31" s="40">
        <f>IF(A30&lt;'[2]Project Information'!B$11,A30+1,"")</f>
        <v>2042</v>
      </c>
      <c r="B31" s="39">
        <f>IF(A31='[2]Project Information'!$B$6+'[2]Project Information'!$B$8+'[2]Project Information'!$B$10+('[2]Project Information'!$B$7-'[2]Project Information'!$B$6-1),$D$12,0)</f>
        <v>0</v>
      </c>
    </row>
    <row r="32" spans="1:2" x14ac:dyDescent="0.35">
      <c r="A32" s="40">
        <f>IF(A31&lt;'[2]Project Information'!B$11,A31+1,"")</f>
        <v>2043</v>
      </c>
      <c r="B32" s="39">
        <f>IF(A32='[2]Project Information'!$B$6+'[2]Project Information'!$B$8+'[2]Project Information'!$B$10+('[2]Project Information'!$B$7-'[2]Project Information'!$B$6-1),$D$12,0)</f>
        <v>0</v>
      </c>
    </row>
    <row r="33" spans="1:2" x14ac:dyDescent="0.35">
      <c r="A33" s="40">
        <f>IF(A32&lt;'[2]Project Information'!B$11,A32+1,"")</f>
        <v>2044</v>
      </c>
      <c r="B33" s="39">
        <f>IF(A33='[2]Project Information'!$B$6+'[2]Project Information'!$B$8+'[2]Project Information'!$B$10+('[2]Project Information'!$B$7-'[2]Project Information'!$B$6-1),$D$12,0)</f>
        <v>0</v>
      </c>
    </row>
    <row r="34" spans="1:2" x14ac:dyDescent="0.35">
      <c r="A34" s="40">
        <f>IF(A33&lt;'[2]Project Information'!B$11,A33+1,"")</f>
        <v>2045</v>
      </c>
      <c r="B34" s="39">
        <f>IF(A34='[2]Project Information'!$B$6+'[2]Project Information'!$B$8+'[2]Project Information'!$B$10+('[2]Project Information'!$B$7-'[2]Project Information'!$B$6-1),$D$12,0)</f>
        <v>0</v>
      </c>
    </row>
    <row r="35" spans="1:2" x14ac:dyDescent="0.35">
      <c r="A35" s="40">
        <f>IF(A34&lt;'[2]Project Information'!B$11,A34+1,"")</f>
        <v>2046</v>
      </c>
      <c r="B35" s="39">
        <f>IF(A35='[2]Project Information'!$B$6+'[2]Project Information'!$B$8+'[2]Project Information'!$B$10+('[2]Project Information'!$B$7-'[2]Project Information'!$B$6-1),$D$12,0)</f>
        <v>0</v>
      </c>
    </row>
    <row r="36" spans="1:2" x14ac:dyDescent="0.35">
      <c r="A36" s="40">
        <f>IF(A35&lt;'[2]Project Information'!B$11,A35+1,"")</f>
        <v>2047</v>
      </c>
      <c r="B36" s="39">
        <f>IF(A36='[2]Project Information'!$B$6+'[2]Project Information'!$B$8+'[2]Project Information'!$B$10+('[2]Project Information'!$B$7-'[2]Project Information'!$B$6-1),$D$12,0)</f>
        <v>0</v>
      </c>
    </row>
    <row r="37" spans="1:2" x14ac:dyDescent="0.35">
      <c r="A37" s="40">
        <f>IF(A36&lt;'[2]Project Information'!B$11,A36+1,"")</f>
        <v>2048</v>
      </c>
      <c r="B37" s="39">
        <f>IF(A37='[2]Project Information'!$B$6+'[2]Project Information'!$B$8+'[2]Project Information'!$B$10+('[2]Project Information'!$B$7-'[2]Project Information'!$B$6-1),$D$12,0)</f>
        <v>0</v>
      </c>
    </row>
    <row r="38" spans="1:2" x14ac:dyDescent="0.35">
      <c r="A38" s="40">
        <f>IF(A37&lt;'[2]Project Information'!B$11,A37+1,"")</f>
        <v>2049</v>
      </c>
      <c r="B38" s="39">
        <f>IF(A38='[2]Project Information'!$B$6+'[2]Project Information'!$B$8+'[2]Project Information'!$B$10+('[2]Project Information'!$B$7-'[2]Project Information'!$B$6-1),$D$12,0)</f>
        <v>0</v>
      </c>
    </row>
    <row r="39" spans="1:2" x14ac:dyDescent="0.35">
      <c r="A39" s="40">
        <f>IF(A38&lt;'[2]Project Information'!B$11,A38+1,"")</f>
        <v>2050</v>
      </c>
      <c r="B39" s="39">
        <f>IF(A39='[2]Project Information'!$B$6+'[2]Project Information'!$B$8+'[2]Project Information'!$B$10+('[2]Project Information'!$B$7-'[2]Project Information'!$B$6-1),$D$12,0)</f>
        <v>0</v>
      </c>
    </row>
    <row r="40" spans="1:2" x14ac:dyDescent="0.35">
      <c r="A40" s="40">
        <f>IF(A39&lt;'[2]Project Information'!B$11,A39+1,"")</f>
        <v>2051</v>
      </c>
      <c r="B40" s="39">
        <f>IF(A40='[2]Project Information'!$B$6+'[2]Project Information'!$B$8+'[2]Project Information'!$B$10+('[2]Project Information'!$B$7-'[2]Project Information'!$B$6-1),$D$12,0)</f>
        <v>0</v>
      </c>
    </row>
    <row r="41" spans="1:2" x14ac:dyDescent="0.35">
      <c r="A41" s="40">
        <f>IF(A40&lt;'[2]Project Information'!B$11,A40+1,"")</f>
        <v>2052</v>
      </c>
      <c r="B41" s="39">
        <f>IF(A41='[2]Project Information'!$B$6+'[2]Project Information'!$B$8+'[2]Project Information'!$B$10+('[2]Project Information'!$B$7-'[2]Project Information'!$B$6-1),$D$12,0)</f>
        <v>0</v>
      </c>
    </row>
    <row r="42" spans="1:2" x14ac:dyDescent="0.35">
      <c r="A42" s="40">
        <f>IF(A41&lt;'[2]Project Information'!B$11,A41+1,"")</f>
        <v>2053</v>
      </c>
      <c r="B42" s="39">
        <f>IF(A42='[2]Project Information'!$B$6+'[2]Project Information'!$B$8+'[2]Project Information'!$B$10+('[2]Project Information'!$B$7-'[2]Project Information'!$B$6-1),$D$12,0)</f>
        <v>2490530.2431999994</v>
      </c>
    </row>
    <row r="43" spans="1:2" x14ac:dyDescent="0.35">
      <c r="A43" s="40" t="str">
        <f>IF(A42&lt;'[2]Project Information'!B$11,A42+1,"")</f>
        <v/>
      </c>
      <c r="B43" s="39">
        <f>IF(A43='[2]Project Information'!$B$6+'[2]Project Information'!$B$8+'[2]Project Information'!$B$10+('[2]Project Information'!$B$7-'[2]Project Information'!$B$6-1),$D$12,0)</f>
        <v>0</v>
      </c>
    </row>
    <row r="44" spans="1:2" x14ac:dyDescent="0.35">
      <c r="A44" s="40" t="str">
        <f>IF(A43&lt;'[2]Project Information'!B$11,A43+1,"")</f>
        <v/>
      </c>
      <c r="B44" s="39">
        <f>IF(A44='[2]Project Information'!$B$6+'[2]Project Information'!$B$8+'[2]Project Information'!$B$10+('[2]Project Information'!$B$7-'[2]Project Information'!$B$6-1),$D$12,0)</f>
        <v>0</v>
      </c>
    </row>
    <row r="45" spans="1:2" x14ac:dyDescent="0.35">
      <c r="A45" s="40" t="str">
        <f>IF(A44&lt;'[2]Project Information'!B$11,A44+1,"")</f>
        <v/>
      </c>
      <c r="B45" s="39">
        <f>IF(A45='[2]Project Information'!$B$6+'[2]Project Information'!$B$8+'[2]Project Information'!$B$10+('[2]Project Information'!$B$7-'[2]Project Information'!$B$6-1),$D$12,0)</f>
        <v>0</v>
      </c>
    </row>
    <row r="46" spans="1:2" x14ac:dyDescent="0.35">
      <c r="A46" s="40" t="str">
        <f>IF(A45&lt;'[2]Project Information'!B$11,A45+1,"")</f>
        <v/>
      </c>
      <c r="B46" s="39">
        <f>IF(A46='[2]Project Information'!$B$6+'[2]Project Information'!$B$8+'[2]Project Information'!$B$10+('[2]Project Information'!$B$7-'[2]Project Information'!$B$6-1),$D$12,0)</f>
        <v>0</v>
      </c>
    </row>
    <row r="47" spans="1:2" x14ac:dyDescent="0.35">
      <c r="A47" s="41" t="str">
        <f>IF(A46&lt;'[2]Project Information'!B$11,A46+1,"")</f>
        <v/>
      </c>
      <c r="B47" s="42">
        <f>IF(A47='[2]Project Information'!$B$6+'[2]Project Information'!$B$8+'[2]Project Information'!$B$10+('[2]Project Information'!$B$7-'[2]Project Information'!$B$6-1),$D$12,0)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9a9976c-2a24-4fb3-8da9-f53066981d84" xsi:nil="true"/>
    <SharedWithUsers xmlns="fd458293-9cc6-4f98-9260-4b466483680c">
      <UserInfo>
        <DisplayName/>
        <AccountId xsi:nil="true"/>
        <AccountType/>
      </UserInfo>
    </SharedWithUsers>
    <lcf76f155ced4ddcb4097134ff3c332f xmlns="99a9976c-2a24-4fb3-8da9-f53066981d84">
      <Terms xmlns="http://schemas.microsoft.com/office/infopath/2007/PartnerControls"/>
    </lcf76f155ced4ddcb4097134ff3c332f>
    <TaxCatchAll xmlns="fd458293-9cc6-4f98-9260-4b46648368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7FEE5D3F7229478907E693F4AC7DED" ma:contentTypeVersion="16" ma:contentTypeDescription="Create a new document." ma:contentTypeScope="" ma:versionID="ceb4bc234ec8147aaa3211624086e0d6">
  <xsd:schema xmlns:xsd="http://www.w3.org/2001/XMLSchema" xmlns:xs="http://www.w3.org/2001/XMLSchema" xmlns:p="http://schemas.microsoft.com/office/2006/metadata/properties" xmlns:ns2="99a9976c-2a24-4fb3-8da9-f53066981d84" xmlns:ns3="fd458293-9cc6-4f98-9260-4b466483680c" targetNamespace="http://schemas.microsoft.com/office/2006/metadata/properties" ma:root="true" ma:fieldsID="e2f7aab8cadf5b3c8cc3559fb3a1ceaf" ns2:_="" ns3:_="">
    <xsd:import namespace="99a9976c-2a24-4fb3-8da9-f53066981d84"/>
    <xsd:import namespace="fd458293-9cc6-4f98-9260-4b46648368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976c-2a24-4fb3-8da9-f53066981d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ad4032c-a330-4847-9ce1-ec5da46de3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58293-9cc6-4f98-9260-4b466483680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c6c342b-c6ee-489a-81d5-035aa533647c}" ma:internalName="TaxCatchAll" ma:showField="CatchAllData" ma:web="fd458293-9cc6-4f98-9260-4b46648368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322DC-C802-4676-9309-5D1B0D955AE0}">
  <ds:schemaRefs>
    <ds:schemaRef ds:uri="http://purl.org/dc/elements/1.1/"/>
    <ds:schemaRef ds:uri="b1ea3359-8be3-4799-bc0c-1bb6e52db833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65bea7d-86ad-477c-b808-18989319c3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662D82-A068-4313-89C1-BA40070CDA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FB6DA0-D614-4E75-8109-C96EBD573A2E}"/>
</file>

<file path=docMetadata/LabelInfo.xml><?xml version="1.0" encoding="utf-8"?>
<clbl:labelList xmlns:clbl="http://schemas.microsoft.com/office/2020/mipLabelMetadata">
  <clbl:label id="{57a85a10-258b-45b4-a519-c96c7721094c}" enabled="0" method="" siteId="{57a85a10-258b-45b4-a519-c96c7721094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Cost Summary and Discounting</vt:lpstr>
      <vt:lpstr>Residual Value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Pappas, Eleni - HPW</dc:creator>
  <cp:keywords/>
  <dc:description/>
  <cp:lastModifiedBy>Correa, Luci - HPW</cp:lastModifiedBy>
  <cp:revision/>
  <cp:lastPrinted>2024-08-30T15:52:34Z</cp:lastPrinted>
  <dcterms:created xsi:type="dcterms:W3CDTF">2015-06-05T18:17:20Z</dcterms:created>
  <dcterms:modified xsi:type="dcterms:W3CDTF">2024-08-30T15:52:35Z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0x010100507FEE5D3F7229478907E693F4AC7DED</vt:lpwstr>
  </property>
  <property fmtid="{D5CDD505-2E9C-101B-9397-08002B2CF9AE}" pid="4" name="Order">
    <vt:r8>10985200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