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houtx.sharepoint.com/sites/TDO-TrafficManagement/Shared Documents/1-Grants/2023 TIP/2023 2024 Submissions/Oates Rd/"/>
    </mc:Choice>
  </mc:AlternateContent>
  <xr:revisionPtr revIDLastSave="0" documentId="8_{31CAD082-F474-452C-98C2-A0A93BFA5FE4}" xr6:coauthVersionLast="47" xr6:coauthVersionMax="47" xr10:uidLastSave="{00000000-0000-0000-0000-000000000000}"/>
  <bookViews>
    <workbookView xWindow="-28920" yWindow="-30" windowWidth="29040" windowHeight="17640" tabRatio="951" activeTab="3"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Life'!$E$5:$E$9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7" i="12" l="1"/>
  <c r="M37" i="12"/>
  <c r="N37" i="12"/>
  <c r="C36" i="11"/>
  <c r="C42" i="11"/>
  <c r="C15" i="22" l="1"/>
  <c r="C14" i="22"/>
  <c r="C34" i="11"/>
  <c r="C33" i="11"/>
  <c r="C16" i="22" l="1"/>
  <c r="B13" i="12" s="1"/>
  <c r="L37" i="12" s="1"/>
  <c r="B12" i="12" l="1"/>
  <c r="J4" i="12" l="1"/>
  <c r="E5" i="12"/>
  <c r="E4" i="12"/>
  <c r="B8" i="12"/>
  <c r="V37" i="12" s="1"/>
  <c r="C35" i="11"/>
  <c r="U4" i="12"/>
  <c r="S4" i="12"/>
  <c r="Q4" i="12"/>
  <c r="O4" i="12"/>
  <c r="V4" i="12" l="1"/>
  <c r="K4" i="12" l="1"/>
  <c r="C26" i="19"/>
  <c r="C25" i="19"/>
  <c r="C24" i="19"/>
  <c r="C23" i="19"/>
  <c r="C22" i="19"/>
  <c r="C21" i="19"/>
  <c r="C20" i="19"/>
  <c r="C19" i="19"/>
  <c r="C8" i="19"/>
  <c r="C7" i="19"/>
  <c r="C6" i="19"/>
  <c r="C5" i="19"/>
  <c r="I26" i="19"/>
  <c r="I25" i="19"/>
  <c r="I24" i="19"/>
  <c r="I23" i="19"/>
  <c r="I22" i="19"/>
  <c r="I21" i="19"/>
  <c r="I8" i="19"/>
  <c r="K8" i="19" s="1"/>
  <c r="I20" i="19"/>
  <c r="I19" i="19"/>
  <c r="I27" i="19" s="1"/>
  <c r="I7" i="19"/>
  <c r="K7" i="19" s="1"/>
  <c r="I6" i="19"/>
  <c r="K6" i="19" s="1"/>
  <c r="I5" i="19"/>
  <c r="K5" i="19" s="1"/>
  <c r="C31" i="11"/>
  <c r="B7" i="12" s="1"/>
  <c r="T37" i="12" s="1"/>
  <c r="C30" i="11"/>
  <c r="C29" i="11"/>
  <c r="C24" i="11"/>
  <c r="C28" i="11"/>
  <c r="C26" i="11"/>
  <c r="B6" i="12" s="1"/>
  <c r="C25" i="11"/>
  <c r="C23" i="11"/>
  <c r="R29" i="12" l="1"/>
  <c r="R37" i="12"/>
  <c r="I28" i="19"/>
  <c r="K28" i="19" s="1"/>
  <c r="I29" i="19"/>
  <c r="I30" i="19"/>
  <c r="E5" i="19"/>
  <c r="E6" i="19"/>
  <c r="E7" i="19"/>
  <c r="E8" i="19"/>
  <c r="O8" i="19"/>
  <c r="Q8" i="19" s="1"/>
  <c r="C30" i="19"/>
  <c r="C29" i="19"/>
  <c r="C28" i="19"/>
  <c r="C27"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D7" i="19" l="1"/>
  <c r="D8" i="19"/>
  <c r="D30" i="19"/>
  <c r="E30" i="19" s="1"/>
  <c r="D29" i="19"/>
  <c r="E29" i="19" s="1"/>
  <c r="C21" i="11"/>
  <c r="B5" i="12" s="1"/>
  <c r="P37"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J5" i="12" l="1"/>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P4" i="12"/>
  <c r="W4" i="12" s="1"/>
  <c r="F8" i="19" l="1"/>
  <c r="F7" i="19"/>
  <c r="F6" i="19"/>
  <c r="F5" i="19"/>
  <c r="L5" i="19"/>
  <c r="L7" i="19"/>
  <c r="L6" i="19"/>
  <c r="L8" i="19"/>
  <c r="M4" i="12"/>
  <c r="N4" i="12" s="1"/>
  <c r="I5" i="12"/>
  <c r="V5" i="12" l="1"/>
  <c r="U5" i="12" s="1"/>
  <c r="T5" i="12"/>
  <c r="S5" i="12" s="1"/>
  <c r="R5" i="12"/>
  <c r="Q5" i="12" s="1"/>
  <c r="P5" i="12"/>
  <c r="M5" i="12"/>
  <c r="N5" i="12" s="1"/>
  <c r="O5" i="12" s="1"/>
  <c r="I6" i="12"/>
  <c r="V6" i="12" s="1"/>
  <c r="U6" i="12" l="1"/>
  <c r="W5" i="12"/>
  <c r="T6" i="12"/>
  <c r="S6" i="12" s="1"/>
  <c r="R6" i="12"/>
  <c r="Q6" i="12" s="1"/>
  <c r="P6" i="12"/>
  <c r="M6" i="12"/>
  <c r="N6" i="12" s="1"/>
  <c r="O6" i="12" s="1"/>
  <c r="I7" i="12"/>
  <c r="V7" i="12" s="1"/>
  <c r="C21" i="2"/>
  <c r="B18" i="5" s="1"/>
  <c r="E17" i="5" s="1"/>
  <c r="C22" i="2"/>
  <c r="B19" i="5"/>
  <c r="E18" i="5" s="1"/>
  <c r="G4" i="7"/>
  <c r="G5" i="7" s="1"/>
  <c r="G4" i="5"/>
  <c r="G5" i="5" s="1"/>
  <c r="G6" i="5" s="1"/>
  <c r="G7" i="5" s="1"/>
  <c r="G8" i="5" s="1"/>
  <c r="G9" i="5" s="1"/>
  <c r="G10" i="5" s="1"/>
  <c r="G11" i="5" s="1"/>
  <c r="G12" i="5" s="1"/>
  <c r="G13" i="5" s="1"/>
  <c r="G14" i="5" s="1"/>
  <c r="B18" i="7"/>
  <c r="B17" i="7"/>
  <c r="B16" i="7"/>
  <c r="E17" i="7"/>
  <c r="U7" i="12" l="1"/>
  <c r="W6" i="12"/>
  <c r="R7" i="12"/>
  <c r="Q7" i="12" s="1"/>
  <c r="T7" i="12"/>
  <c r="S7" i="12" s="1"/>
  <c r="P7" i="12"/>
  <c r="H4" i="7"/>
  <c r="I4" i="7" s="1"/>
  <c r="H10" i="5"/>
  <c r="C20" i="2"/>
  <c r="B21" i="5" s="1"/>
  <c r="C19" i="2"/>
  <c r="B20" i="5" s="1"/>
  <c r="H5" i="7"/>
  <c r="I5" i="7" s="1"/>
  <c r="G6" i="7"/>
  <c r="J14" i="5"/>
  <c r="G15" i="5"/>
  <c r="H14" i="5"/>
  <c r="M7" i="12"/>
  <c r="N7" i="12" s="1"/>
  <c r="O7" i="12" s="1"/>
  <c r="I8" i="12"/>
  <c r="V8" i="12" s="1"/>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V9" i="12" s="1"/>
  <c r="I7" i="5"/>
  <c r="I8" i="5"/>
  <c r="I10" i="5"/>
  <c r="I9" i="5"/>
  <c r="I14" i="5"/>
  <c r="I12" i="5"/>
  <c r="I5" i="5"/>
  <c r="I6" i="5"/>
  <c r="I11" i="5"/>
  <c r="I4" i="5"/>
  <c r="R9" i="12" l="1"/>
  <c r="T9" i="12"/>
  <c r="P9" i="12"/>
  <c r="M9" i="12"/>
  <c r="N9" i="12" s="1"/>
  <c r="H16" i="5"/>
  <c r="J16" i="5"/>
  <c r="K16" i="5" s="1"/>
  <c r="G17" i="5"/>
  <c r="G8" i="7"/>
  <c r="H7" i="7"/>
  <c r="I7" i="7"/>
  <c r="J7" i="7" s="1"/>
  <c r="I10" i="12"/>
  <c r="V10" i="12" s="1"/>
  <c r="J6" i="7"/>
  <c r="J5" i="7"/>
  <c r="J4" i="7"/>
  <c r="R10" i="12" l="1"/>
  <c r="T10" i="12"/>
  <c r="P10" i="12"/>
  <c r="M10" i="12"/>
  <c r="M11" i="12" s="1"/>
  <c r="H8" i="7"/>
  <c r="I8" i="7"/>
  <c r="J8" i="7" s="1"/>
  <c r="G9" i="7"/>
  <c r="J17" i="5"/>
  <c r="K17" i="5" s="1"/>
  <c r="G18" i="5"/>
  <c r="H17" i="5"/>
  <c r="I17" i="5" s="1"/>
  <c r="I16" i="5"/>
  <c r="I11" i="12"/>
  <c r="V11" i="12" s="1"/>
  <c r="T11" i="12" l="1"/>
  <c r="R11" i="12"/>
  <c r="P11" i="12"/>
  <c r="N10" i="12"/>
  <c r="H9" i="7"/>
  <c r="I9" i="7" s="1"/>
  <c r="J9" i="7" s="1"/>
  <c r="G10" i="7"/>
  <c r="J18" i="5"/>
  <c r="K18" i="5" s="1"/>
  <c r="G19" i="5"/>
  <c r="H18" i="5"/>
  <c r="N11" i="12"/>
  <c r="M12" i="12"/>
  <c r="I12" i="12"/>
  <c r="V12" i="12" s="1"/>
  <c r="T12" i="12" l="1"/>
  <c r="R12" i="12"/>
  <c r="P12" i="12"/>
  <c r="G11" i="7"/>
  <c r="H10" i="7"/>
  <c r="I10" i="7" s="1"/>
  <c r="J10" i="7" s="1"/>
  <c r="I18" i="5"/>
  <c r="H19" i="5"/>
  <c r="I19" i="5" s="1"/>
  <c r="J19" i="5"/>
  <c r="K19" i="5" s="1"/>
  <c r="G20" i="5"/>
  <c r="M13" i="12"/>
  <c r="N12" i="12"/>
  <c r="I13" i="12"/>
  <c r="V13" i="12" s="1"/>
  <c r="T13" i="12" l="1"/>
  <c r="R13" i="12"/>
  <c r="P13" i="12"/>
  <c r="G12" i="7"/>
  <c r="H11" i="7"/>
  <c r="I11" i="7" s="1"/>
  <c r="J11" i="7" s="1"/>
  <c r="H20" i="5"/>
  <c r="I20" i="5" s="1"/>
  <c r="J20" i="5"/>
  <c r="K20" i="5" s="1"/>
  <c r="G21" i="5"/>
  <c r="M14" i="12"/>
  <c r="N13" i="12"/>
  <c r="I14" i="12"/>
  <c r="V14" i="12" s="1"/>
  <c r="T14" i="12" l="1"/>
  <c r="R14" i="12"/>
  <c r="P14" i="12"/>
  <c r="J21" i="5"/>
  <c r="K21" i="5" s="1"/>
  <c r="G22" i="5"/>
  <c r="H21" i="5"/>
  <c r="H12" i="7"/>
  <c r="I12" i="7" s="1"/>
  <c r="J12" i="7" s="1"/>
  <c r="G13" i="7"/>
  <c r="M15" i="12"/>
  <c r="N14" i="12"/>
  <c r="I15" i="12"/>
  <c r="V15" i="12" s="1"/>
  <c r="R15" i="12" l="1"/>
  <c r="T15" i="12"/>
  <c r="P15" i="12"/>
  <c r="I21" i="5"/>
  <c r="H13" i="7"/>
  <c r="I13" i="7" s="1"/>
  <c r="J13" i="7" s="1"/>
  <c r="G14" i="7"/>
  <c r="J22" i="5"/>
  <c r="K22" i="5" s="1"/>
  <c r="G23" i="5"/>
  <c r="H22" i="5"/>
  <c r="I22" i="5" s="1"/>
  <c r="M16" i="12"/>
  <c r="N15" i="12"/>
  <c r="I16" i="12"/>
  <c r="V16" i="12" s="1"/>
  <c r="T16" i="12" l="1"/>
  <c r="R16" i="12"/>
  <c r="P16" i="12"/>
  <c r="H23" i="5"/>
  <c r="I23" i="5" s="1"/>
  <c r="J23" i="5"/>
  <c r="K23" i="5" s="1"/>
  <c r="G24" i="5"/>
  <c r="G15" i="7"/>
  <c r="H14" i="7"/>
  <c r="I14" i="7" s="1"/>
  <c r="J14" i="7" s="1"/>
  <c r="M17" i="12"/>
  <c r="N16" i="12"/>
  <c r="I17" i="12"/>
  <c r="V17" i="12" s="1"/>
  <c r="T17" i="12" l="1"/>
  <c r="R17" i="12"/>
  <c r="P17" i="12"/>
  <c r="H24" i="5"/>
  <c r="I24" i="5" s="1"/>
  <c r="J24" i="5"/>
  <c r="K24" i="5" s="1"/>
  <c r="B11" i="5" s="1"/>
  <c r="B12" i="5" s="1"/>
  <c r="G25" i="5"/>
  <c r="G16" i="7"/>
  <c r="H15" i="7"/>
  <c r="I15" i="7"/>
  <c r="J15" i="7" s="1"/>
  <c r="M18" i="12"/>
  <c r="N17" i="12"/>
  <c r="I18" i="12"/>
  <c r="V18" i="12" s="1"/>
  <c r="R18" i="12" l="1"/>
  <c r="T18" i="12"/>
  <c r="P18" i="12"/>
  <c r="H16" i="7"/>
  <c r="I16" i="7"/>
  <c r="J16" i="7" s="1"/>
  <c r="G17" i="7"/>
  <c r="J25" i="5"/>
  <c r="K25" i="5" s="1"/>
  <c r="G26" i="5"/>
  <c r="H25" i="5"/>
  <c r="I25" i="5" s="1"/>
  <c r="M19" i="12"/>
  <c r="N18" i="12"/>
  <c r="I19" i="12"/>
  <c r="V19" i="12" s="1"/>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V20" i="12" s="1"/>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V21" i="12" s="1"/>
  <c r="D34" i="19" l="1"/>
  <c r="E42" i="12" s="1"/>
  <c r="F42" i="12" s="1"/>
  <c r="T21" i="12"/>
  <c r="R21" i="12"/>
  <c r="P21" i="12"/>
  <c r="H28" i="5"/>
  <c r="I28" i="5" s="1"/>
  <c r="J28" i="5"/>
  <c r="K28" i="5" s="1"/>
  <c r="G29" i="5"/>
  <c r="G20" i="7"/>
  <c r="H19" i="7"/>
  <c r="I19" i="7" s="1"/>
  <c r="J19" i="7" s="1"/>
  <c r="M22" i="12"/>
  <c r="N21" i="12"/>
  <c r="I22" i="12"/>
  <c r="V22" i="12" s="1"/>
  <c r="T22" i="12" l="1"/>
  <c r="R22" i="12"/>
  <c r="P22" i="12"/>
  <c r="H20" i="7"/>
  <c r="I20" i="7" s="1"/>
  <c r="J20" i="7" s="1"/>
  <c r="G21" i="7"/>
  <c r="J29" i="5"/>
  <c r="K29" i="5" s="1"/>
  <c r="H29" i="5"/>
  <c r="M23" i="12"/>
  <c r="N22" i="12"/>
  <c r="I23" i="12"/>
  <c r="V23" i="12" s="1"/>
  <c r="R23" i="12" l="1"/>
  <c r="T23" i="12"/>
  <c r="P23" i="12"/>
  <c r="H21" i="7"/>
  <c r="I21" i="7" s="1"/>
  <c r="J21" i="7" s="1"/>
  <c r="G22" i="7"/>
  <c r="I29" i="5"/>
  <c r="B13" i="5"/>
  <c r="M24" i="12"/>
  <c r="N23" i="12"/>
  <c r="I24" i="12"/>
  <c r="V24" i="12" s="1"/>
  <c r="R24" i="12" l="1"/>
  <c r="T24" i="12"/>
  <c r="P24" i="12"/>
  <c r="X4" i="12"/>
  <c r="G23" i="7"/>
  <c r="H22" i="7"/>
  <c r="I22" i="7" s="1"/>
  <c r="J22" i="7" s="1"/>
  <c r="M25" i="12"/>
  <c r="N24" i="12"/>
  <c r="I25" i="12"/>
  <c r="V25" i="12" s="1"/>
  <c r="T25" i="12" l="1"/>
  <c r="R25" i="12"/>
  <c r="P25" i="12"/>
  <c r="X5" i="12"/>
  <c r="G24" i="7"/>
  <c r="H23" i="7"/>
  <c r="I23" i="7"/>
  <c r="J23" i="7" s="1"/>
  <c r="M26" i="12"/>
  <c r="N25" i="12"/>
  <c r="I26" i="12"/>
  <c r="V26" i="12" s="1"/>
  <c r="T26" i="12" l="1"/>
  <c r="R26" i="12"/>
  <c r="P26" i="12"/>
  <c r="X6" i="12"/>
  <c r="H24" i="7"/>
  <c r="I24" i="7"/>
  <c r="J24" i="7" s="1"/>
  <c r="G25" i="7"/>
  <c r="M27" i="12"/>
  <c r="N26" i="12"/>
  <c r="I27" i="12"/>
  <c r="V27" i="12" s="1"/>
  <c r="R27" i="12" l="1"/>
  <c r="T27" i="12"/>
  <c r="P27" i="12"/>
  <c r="H25" i="7"/>
  <c r="I25" i="7" s="1"/>
  <c r="J25" i="7" s="1"/>
  <c r="G26" i="7"/>
  <c r="M28" i="12"/>
  <c r="N27" i="12"/>
  <c r="I28" i="12"/>
  <c r="V28" i="12" s="1"/>
  <c r="T28" i="12" l="1"/>
  <c r="R28" i="12"/>
  <c r="P28" i="12"/>
  <c r="G27" i="7"/>
  <c r="H26" i="7"/>
  <c r="I26" i="7" s="1"/>
  <c r="J26" i="7" s="1"/>
  <c r="M29" i="12"/>
  <c r="N28" i="12"/>
  <c r="I29" i="12"/>
  <c r="V29" i="12" s="1"/>
  <c r="T29" i="12" l="1"/>
  <c r="P29" i="12"/>
  <c r="G28" i="7"/>
  <c r="H27" i="7"/>
  <c r="I27" i="7"/>
  <c r="J27" i="7" s="1"/>
  <c r="N29" i="12"/>
  <c r="M30" i="12"/>
  <c r="N30" i="12" s="1"/>
  <c r="I30" i="12"/>
  <c r="V30" i="12" s="1"/>
  <c r="R30" i="12" l="1"/>
  <c r="T30" i="12"/>
  <c r="P30" i="12"/>
  <c r="H28" i="7"/>
  <c r="I28" i="7"/>
  <c r="J28" i="7" s="1"/>
  <c r="G29" i="7"/>
  <c r="M31" i="12"/>
  <c r="N31" i="12" s="1"/>
  <c r="I31" i="12"/>
  <c r="V31" i="12" s="1"/>
  <c r="I32" i="12" l="1"/>
  <c r="V32" i="12" s="1"/>
  <c r="R31" i="12"/>
  <c r="T31" i="12"/>
  <c r="P31" i="12"/>
  <c r="H29" i="7"/>
  <c r="I29" i="7" s="1"/>
  <c r="J29" i="7" s="1"/>
  <c r="B11" i="7" s="1"/>
  <c r="B12" i="7" s="1"/>
  <c r="I33" i="12"/>
  <c r="V33" i="12" s="1"/>
  <c r="M32" i="12"/>
  <c r="N32" i="12" s="1"/>
  <c r="R33" i="12" l="1"/>
  <c r="T33" i="12"/>
  <c r="P33" i="12"/>
  <c r="T32" i="12"/>
  <c r="R32" i="12"/>
  <c r="P32" i="12"/>
  <c r="I34" i="12"/>
  <c r="V34" i="12" s="1"/>
  <c r="M33" i="12"/>
  <c r="N33" i="12" s="1"/>
  <c r="T34" i="12" l="1"/>
  <c r="R34" i="12"/>
  <c r="P34" i="12"/>
  <c r="I35" i="12"/>
  <c r="V35" i="12" s="1"/>
  <c r="M34" i="12"/>
  <c r="N34" i="12" s="1"/>
  <c r="R35" i="12" l="1"/>
  <c r="T35" i="12"/>
  <c r="P35" i="12"/>
  <c r="I36" i="12"/>
  <c r="V36" i="12" s="1"/>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U37"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O37" i="12" s="1"/>
  <c r="Q34" i="12"/>
  <c r="W34" i="12" s="1"/>
  <c r="X33" i="12"/>
  <c r="Q35" i="12" l="1"/>
  <c r="W35" i="12" s="1"/>
  <c r="X34" i="12"/>
  <c r="Q36" i="12" l="1"/>
  <c r="Q37" i="12" s="1"/>
  <c r="W37" i="12" s="1"/>
  <c r="X37" i="12" s="1"/>
  <c r="X35" i="12"/>
  <c r="W36" i="12" l="1"/>
  <c r="X36" i="12" s="1"/>
  <c r="X38" i="12" l="1"/>
  <c r="C49" i="11" s="1"/>
</calcChain>
</file>

<file path=xl/sharedStrings.xml><?xml version="1.0" encoding="utf-8"?>
<sst xmlns="http://schemas.openxmlformats.org/spreadsheetml/2006/main" count="1177" uniqueCount="536">
  <si>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</si>
  <si>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</si>
  <si>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</si>
  <si>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</si>
  <si>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</si>
  <si>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</si>
  <si>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</si>
  <si>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</si>
  <si>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</si>
  <si>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</si>
  <si>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</si>
  <si>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</si>
  <si>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</si>
  <si>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</si>
  <si>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</si>
  <si>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</si>
  <si>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</si>
  <si>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</si>
  <si>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</si>
  <si>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</si>
  <si>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</si>
  <si>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</si>
  <si>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</si>
  <si>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</si>
  <si>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</si>
  <si>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</si>
  <si>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</si>
  <si>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</si>
  <si>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</si>
  <si>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</si>
  <si>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</si>
  <si>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</si>
  <si>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</si>
  <si>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</si>
  <si>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</si>
  <si>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</si>
  <si>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</si>
  <si>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</si>
  <si>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</si>
  <si>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</si>
  <si>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</si>
  <si>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</si>
  <si>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</si>
  <si>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</si>
  <si>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</si>
  <si>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</si>
  <si>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</si>
  <si>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</si>
  <si>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</si>
  <si>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</si>
  <si>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</si>
  <si>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</si>
  <si>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</si>
  <si>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</si>
  <si>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</si>
  <si>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</si>
  <si>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</si>
  <si>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</si>
  <si>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</si>
  <si>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</si>
  <si>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</si>
  <si>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</si>
  <si>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</si>
  <si>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</si>
  <si>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</si>
  <si>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</si>
  <si>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</si>
  <si>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</si>
  <si>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</si>
  <si>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</si>
  <si>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</si>
  <si>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</si>
  <si>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</si>
  <si>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</si>
  <si>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</si>
  <si>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</si>
  <si>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</si>
  <si>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</si>
  <si>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</si>
  <si>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</si>
  <si>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</si>
  <si>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</si>
  <si>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</si>
  <si>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</si>
  <si>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</si>
  <si>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</si>
  <si>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</si>
  <si>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</si>
  <si>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</si>
  <si>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</si>
  <si>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</si>
  <si>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</si>
  <si>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</si>
  <si>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</si>
  <si>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</si>
  <si>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</si>
  <si>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</si>
  <si>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</si>
  <si>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</si>
  <si>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</si>
  <si>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</si>
  <si>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</si>
  <si>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</si>
  <si>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</si>
  <si>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</si>
  <si>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</si>
  <si>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</si>
  <si>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</si>
  <si>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</si>
  <si>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</si>
  <si>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</si>
  <si>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</si>
  <si>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</si>
  <si>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</si>
  <si>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</si>
  <si>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</si>
  <si>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</si>
  <si>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</si>
  <si>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</si>
  <si>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</si>
  <si>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</si>
  <si>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</si>
  <si>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</si>
  <si>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</si>
  <si>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</si>
  <si>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</si>
  <si>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</si>
  <si>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</si>
  <si>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</si>
  <si>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</si>
  <si>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</si>
  <si>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</si>
  <si>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</si>
  <si>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</si>
  <si>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</si>
  <si>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</si>
  <si>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</si>
  <si>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</si>
  <si>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</si>
  <si>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</si>
  <si>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</si>
  <si>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</si>
  <si>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</si>
  <si>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</si>
  <si>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</si>
  <si>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</si>
  <si>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</si>
  <si>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</si>
  <si>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</si>
  <si>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</si>
  <si>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</si>
  <si>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</si>
  <si>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</si>
  <si>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</si>
  <si>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</si>
  <si>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</si>
  <si>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</si>
  <si>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</si>
  <si>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</si>
  <si>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</si>
  <si>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</si>
  <si>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</si>
  <si>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</si>
  <si>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</si>
  <si>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</si>
  <si>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</si>
  <si>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</si>
  <si>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</si>
  <si>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</si>
  <si>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</si>
  <si>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</si>
  <si>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</si>
  <si>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</si>
  <si>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</si>
  <si>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</si>
  <si>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</si>
  <si>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</si>
  <si>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</si>
  <si>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</si>
  <si>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</si>
  <si>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</si>
  <si>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</si>
  <si>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</si>
  <si>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</si>
  <si>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</si>
  <si>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</si>
  <si>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</si>
  <si>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</si>
  <si>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</si>
  <si>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</si>
  <si>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</si>
  <si>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</si>
  <si>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</si>
  <si>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</si>
  <si>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</si>
  <si>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</si>
  <si>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</si>
  <si>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</si>
  <si>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</si>
  <si>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</si>
  <si>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</si>
  <si>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</si>
  <si>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</si>
  <si>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</si>
  <si>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</si>
  <si>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</si>
  <si>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</si>
  <si>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</si>
  <si>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</si>
  <si>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</si>
  <si>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</si>
  <si>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</si>
  <si>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</si>
  <si>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</si>
  <si>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</si>
  <si>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</si>
  <si>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0 - No Injury</t>
  </si>
  <si>
    <t>C -  Possible Injury</t>
  </si>
  <si>
    <t xml:space="preserve">A - Incapacitating (Serious) </t>
  </si>
  <si>
    <t>K - Killed (Fatal)</t>
  </si>
  <si>
    <t>Discounted Safety Benefits @ 7% (2021 $, '000s)</t>
  </si>
  <si>
    <t>Intersection Crashes (5 Years)</t>
  </si>
  <si>
    <t>Non-Intersection Related Crashes (5 Years)</t>
  </si>
  <si>
    <t>NON-INTERSECTION RELATED CRASHES</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</si>
  <si>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</si>
  <si>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</si>
  <si>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</si>
  <si>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</si>
  <si>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</si>
  <si>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</si>
  <si>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</si>
  <si>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</si>
  <si>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</si>
  <si>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</si>
  <si>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</si>
  <si>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</si>
  <si>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</si>
  <si>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</si>
  <si>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</si>
  <si>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</si>
  <si>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</si>
  <si>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</si>
  <si>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</si>
  <si>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</si>
  <si>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</si>
  <si>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</si>
  <si>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</si>
  <si>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</si>
  <si>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</si>
  <si>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</si>
  <si>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</si>
  <si>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</si>
  <si>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</si>
  <si>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</si>
  <si>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</si>
  <si>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</si>
  <si>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</si>
  <si>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</si>
  <si>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</si>
  <si>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Estimated traffic volume in year Open to Traffic</t>
  </si>
  <si>
    <t>2021-2030 Demand Growth</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</si>
  <si>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</si>
  <si>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</si>
  <si>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</si>
  <si>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</si>
  <si>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</si>
  <si>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</si>
  <si>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</si>
  <si>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</si>
  <si>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</si>
  <si>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</si>
  <si>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</si>
  <si>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</si>
  <si>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</si>
  <si>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</si>
  <si>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</si>
  <si>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</si>
  <si>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</si>
  <si>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</si>
  <si>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</si>
  <si>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</si>
  <si>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</si>
  <si>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</si>
  <si>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</si>
  <si>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</si>
  <si>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</si>
  <si>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</si>
  <si>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</si>
  <si>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</si>
  <si>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</si>
  <si>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</si>
  <si>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</si>
  <si>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</si>
  <si>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</si>
  <si>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</si>
  <si>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</si>
  <si>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</si>
  <si>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</si>
  <si>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</si>
  <si>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</si>
  <si>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</si>
  <si>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</si>
  <si>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</si>
  <si>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</si>
  <si>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</si>
  <si>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</si>
  <si>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</si>
  <si>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</si>
  <si>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</si>
  <si>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</si>
  <si>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</si>
  <si>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</si>
  <si>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</si>
  <si>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</si>
  <si>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</si>
  <si>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</si>
  <si>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</si>
  <si>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</si>
  <si>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TUE</t>
  </si>
  <si>
    <t>LOCAL ROAD/STREET (STREET, ROAD, AVE., BLVD., PL.,</t>
  </si>
  <si>
    <t>WEST</t>
  </si>
  <si>
    <t>CLEAR</t>
  </si>
  <si>
    <t>DAYLIGHT</t>
  </si>
  <si>
    <t>MARKED LANES</t>
  </si>
  <si>
    <t>MOTOR VEHICLE IN TRANSPORT</t>
  </si>
  <si>
    <t>DRIVEWAY ACCESS</t>
  </si>
  <si>
    <t>Houston</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</si>
  <si>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</si>
  <si>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</si>
  <si>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</si>
  <si>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</si>
  <si>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</si>
  <si>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</si>
  <si>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</si>
  <si>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</si>
  <si>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</si>
  <si>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</si>
  <si>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</si>
  <si>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</si>
  <si>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</si>
  <si>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</si>
  <si>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</si>
  <si>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</si>
  <si>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</si>
  <si>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</si>
  <si>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</si>
  <si>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</si>
  <si>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</si>
  <si>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</si>
  <si>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</si>
  <si>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</si>
  <si>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</si>
  <si>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</si>
  <si>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</si>
  <si>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</si>
  <si>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</si>
  <si>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</si>
  <si>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</si>
  <si>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</si>
  <si>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</si>
  <si>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</si>
  <si>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</si>
  <si>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</si>
  <si>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</si>
  <si>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</si>
  <si>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</si>
  <si>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</si>
  <si>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</si>
  <si>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</si>
  <si>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</si>
  <si>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</si>
  <si>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</si>
  <si>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</si>
  <si>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</si>
  <si>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</si>
  <si>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</si>
  <si>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</si>
  <si>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</si>
  <si>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</si>
  <si>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</si>
  <si>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</si>
  <si>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</si>
  <si>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</si>
  <si>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</si>
  <si>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</si>
  <si>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</si>
  <si>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</si>
  <si>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</si>
  <si>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</si>
  <si>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</si>
  <si>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</si>
  <si>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</si>
  <si>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</si>
  <si>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</si>
  <si>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</si>
  <si>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</si>
  <si>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</si>
  <si>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</si>
  <si>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</si>
  <si>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</si>
  <si>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</si>
  <si>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</si>
  <si>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</si>
  <si>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</si>
  <si>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</si>
  <si>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</si>
  <si>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</si>
  <si>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</si>
  <si>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NON-INCAPACITATING INJURY</t>
  </si>
  <si>
    <t>SOUTH</t>
  </si>
  <si>
    <t>FAILED TO YIELD RIGHT OF WAY - PRIVATE DRIVE</t>
  </si>
  <si>
    <t>NOT INJURED</t>
  </si>
  <si>
    <t>BACKED WITHOUT SAFETY</t>
  </si>
  <si>
    <t>CHANGED LANE WHEN UNSAFE</t>
  </si>
  <si>
    <t>MON</t>
  </si>
  <si>
    <t>FRI</t>
  </si>
  <si>
    <t>EAST</t>
  </si>
  <si>
    <t>CLOUDY</t>
  </si>
  <si>
    <t>NONE</t>
  </si>
  <si>
    <t>THU</t>
  </si>
  <si>
    <t>FAILED TO DRIVE IN SINGLE LANE</t>
  </si>
  <si>
    <t>UNKNOWN</t>
  </si>
  <si>
    <t>SIGNAL LIGHT</t>
  </si>
  <si>
    <t>RAIN</t>
  </si>
  <si>
    <t>DARK, LIGHTED</t>
  </si>
  <si>
    <t>DRIVER INATTENTION</t>
  </si>
  <si>
    <t>SAT</t>
  </si>
  <si>
    <t>NORTH</t>
  </si>
  <si>
    <t>INCAPACITATING INJURY</t>
  </si>
  <si>
    <t>PASSED IN NO PASSING LANE</t>
  </si>
  <si>
    <t>FIXED OBJECT</t>
  </si>
  <si>
    <t>STOP SIGN</t>
  </si>
  <si>
    <t>Blank</t>
  </si>
  <si>
    <t>2021 AADT</t>
  </si>
  <si>
    <t>AADT in Year Open to Traffic</t>
  </si>
  <si>
    <t>Harris - 2</t>
  </si>
  <si>
    <t>Houston - District I</t>
  </si>
  <si>
    <t>DARK, UNKNOWN LIGHTING</t>
  </si>
  <si>
    <t>TURNED WHEN UNSAFE</t>
  </si>
  <si>
    <t>CMV Caused</t>
  </si>
  <si>
    <t>WRONG SIDE - APPROACH OR INTERSECTION</t>
  </si>
  <si>
    <t>OVERTURNED</t>
  </si>
  <si>
    <t>CMV Involved</t>
  </si>
  <si>
    <t>UNDER INFLUENCE - ALCOHOL</t>
  </si>
  <si>
    <t>Transit Involved</t>
  </si>
  <si>
    <t xml:space="preserve">Crash Rate per 100 million VMT </t>
  </si>
  <si>
    <t>Crash Rate per 1 million VMT (Ped/Bike rate based on potential ped/bike commuters*)</t>
  </si>
  <si>
    <t xml:space="preserve">Roadway Related, Vehicle Movements/Manner of Collision </t>
  </si>
  <si>
    <t xml:space="preserve">2022 Traffic Volume </t>
  </si>
  <si>
    <t>2022 Potential Daily Walk/Bile Commuters</t>
  </si>
  <si>
    <t>2019 -2023 Crash Data</t>
  </si>
  <si>
    <t>Monetized value ($2022)</t>
  </si>
  <si>
    <t>Savings Discounted @ 3.1% ($ 000')</t>
  </si>
  <si>
    <t>Value of Statistical Life (VSL), 2022 $</t>
  </si>
  <si>
    <t>Value of Injuries, US DOT BCA Guidance for Discretionary Grant Programs (2023)</t>
  </si>
  <si>
    <t>HexagonID</t>
  </si>
  <si>
    <t>OATES RD</t>
  </si>
  <si>
    <t>ROAD RAGE</t>
  </si>
  <si>
    <t>FAILED TO GIVE HALF OF ROADWAY</t>
  </si>
  <si>
    <t>Transit Caused</t>
  </si>
  <si>
    <t>FAILED TO PASS TO LEFT SAFELY</t>
  </si>
  <si>
    <t>NEEDHAM ST</t>
  </si>
  <si>
    <t>IMPROPER START FROM PARKED POSITION</t>
  </si>
  <si>
    <t>0.26484296814129366</t>
  </si>
  <si>
    <t>1.4287906519787577</t>
  </si>
  <si>
    <t>1.6936336201200513</t>
  </si>
  <si>
    <t>7428.659871262889</t>
  </si>
  <si>
    <t>3982633.422310623</t>
  </si>
  <si>
    <t>0.1566324110044201</t>
  </si>
  <si>
    <t>0.8715706774244163</t>
  </si>
  <si>
    <t>1.0282030884288365</t>
  </si>
  <si>
    <t>7428.659837166172</t>
  </si>
  <si>
    <t>3982633.3857509457</t>
  </si>
  <si>
    <t>3.1077646004163517</t>
  </si>
  <si>
    <t>12.638285005936051</t>
  </si>
  <si>
    <t>7428.659696007465</t>
  </si>
  <si>
    <t>3982633.234395689</t>
  </si>
  <si>
    <t>0.2473699535230577</t>
  </si>
  <si>
    <t>0.8526083484613425</t>
  </si>
  <si>
    <t>1.0999783019844003</t>
  </si>
  <si>
    <t>3982633.4941825336</t>
  </si>
  <si>
    <t>0.1353584944425885</t>
  </si>
  <si>
    <t>0.15831182981515712</t>
  </si>
  <si>
    <t>7428.660119218214</t>
  </si>
  <si>
    <t>3982633.6881769374</t>
  </si>
  <si>
    <t>0.48940877696094637</t>
  </si>
  <si>
    <t>0.6574002093529414</t>
  </si>
  <si>
    <t>7428.660083236496</t>
  </si>
  <si>
    <t>3982633.649596086</t>
  </si>
  <si>
    <t>0.2519251122661352</t>
  </si>
  <si>
    <t>1.0908158543509137</t>
  </si>
  <si>
    <t>1.342740966617049</t>
  </si>
  <si>
    <t>7428.660294672471</t>
  </si>
  <si>
    <t>3982633.8763050903</t>
  </si>
  <si>
    <t>0.3133983435259315</t>
  </si>
  <si>
    <t>2.5858857676346765</t>
  </si>
  <si>
    <t>2.899284111160608</t>
  </si>
  <si>
    <t>7428.660230436906</t>
  </si>
  <si>
    <t>3982633.8074294846</t>
  </si>
  <si>
    <t>1.220839610445188</t>
  </si>
  <si>
    <t>4.718802620678751</t>
  </si>
  <si>
    <t>5.939642231123939</t>
  </si>
  <si>
    <t>7428.660125268676</t>
  </si>
  <si>
    <t>0.25708306909363887</t>
  </si>
  <si>
    <t>0.8831509320163509</t>
  </si>
  <si>
    <t>1.1402340011099898</t>
  </si>
  <si>
    <t>7428.6601557604445</t>
  </si>
  <si>
    <t>3982633.7273587845</t>
  </si>
  <si>
    <t>0.34743067001953176</t>
  </si>
  <si>
    <t>1.3291507299268064</t>
  </si>
  <si>
    <t>1.6765813999463381</t>
  </si>
  <si>
    <t>7428.659766064861</t>
  </si>
  <si>
    <t>3982633.3095136555</t>
  </si>
  <si>
    <t>0.20486270219272953</t>
  </si>
  <si>
    <t>0.9810871456530501</t>
  </si>
  <si>
    <t>1.1859498478457797</t>
  </si>
  <si>
    <t>7428.660081567389</t>
  </si>
  <si>
    <t>3982633.647806416</t>
  </si>
  <si>
    <t>0.019597454545502307</t>
  </si>
  <si>
    <t>0.10670595626993827</t>
  </si>
  <si>
    <t>0.12630341081544058</t>
  </si>
  <si>
    <t>7428.660155734635</t>
  </si>
  <si>
    <t>3982633.727331107</t>
  </si>
  <si>
    <t>0.20817522883313466</t>
  </si>
  <si>
    <t>1.0154805454957023</t>
  </si>
  <si>
    <t>1.223655774328837</t>
  </si>
  <si>
    <t>7428.660296281969</t>
  </si>
  <si>
    <t>3982633.8780308454</t>
  </si>
  <si>
    <t>0.48504779984458235</t>
  </si>
  <si>
    <t>2.401021386888794</t>
  </si>
  <si>
    <t>2.8860691867333763</t>
  </si>
  <si>
    <t>7428.6598355268625</t>
  </si>
  <si>
    <t>3982633.383993219</t>
  </si>
  <si>
    <t>Oates Rd</t>
  </si>
  <si>
    <t>Beaumont Highway</t>
  </si>
  <si>
    <t>Wallisville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</si>
</sst>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30">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2"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lignment horizontal="left" vertical="center" wrapText="1"/>
    </xf>
    <xf numFmtId="0" fontId="0" fillId="0" borderId="1" xfId="0" applyBorder="1" applyAlignment="1">
      <alignment horizontal="left" vertical="center"/>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0" fontId="2" fillId="9"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3"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12" fillId="0" borderId="1" xfId="0" applyFont="1" applyBorder="1" applyAlignment="1" applyProtection="1">
      <alignment horizontal="left" vertical="center" wrapText="1"/>
      <protection locked="0"/>
    </xf>
    <xf numFmtId="0" fontId="2" fillId="9"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xf numFmtId="0" fontId="0" fillId="0" borderId="0" xfId="0" quotePrefix="1"/>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3-12/Benefit%20Cost%20Analysis%20Guidance%202024%20Update.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2022 Traffic Volume: </a:t>
          </a:r>
          <a:r>
            <a:rPr lang="en-US" sz="1100">
              <a:solidFill>
                <a:schemeClr val="dk1"/>
              </a:solidFill>
              <a:effectLst/>
              <a:latin typeface="+mn-lt"/>
              <a:ea typeface="+mn-ea"/>
              <a:cs typeface="+mn-cs"/>
            </a:rPr>
            <a:t>Enter estimated 2022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2217254</xdr:colOff>
      <xdr:row>66</xdr:row>
      <xdr:rowOff>160678</xdr:rowOff>
    </xdr:from>
    <xdr:to>
      <xdr:col>0</xdr:col>
      <xdr:colOff>2458554</xdr:colOff>
      <xdr:row>67</xdr:row>
      <xdr:rowOff>159933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217254" y="12405687"/>
          <a:ext cx="241300" cy="18478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1335985</xdr:colOff>
      <xdr:row>72</xdr:row>
      <xdr:rowOff>147427</xdr:rowOff>
    </xdr:from>
    <xdr:to>
      <xdr:col>2</xdr:col>
      <xdr:colOff>120236</xdr:colOff>
      <xdr:row>77</xdr:row>
      <xdr:rowOff>93535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35985" y="13505618"/>
          <a:ext cx="2740025" cy="873760"/>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2022. The full resource guide is available online athttps://www.transportation.gov/sites/dot.gov/files/2023-12/Benefit%20Cost%20Analysis%20Guidance%202024%20Update.pdf</a:t>
          </a:r>
          <a:endParaRPr lang="en-US" sz="1100" u="sng">
            <a:solidFill>
              <a:schemeClr val="dk1"/>
            </a:solidFill>
            <a:effectLst/>
            <a:latin typeface="+mn-lt"/>
            <a:ea typeface="+mn-ea"/>
            <a:cs typeface="+mn-cs"/>
          </a:endParaRP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topLeftCell="A2" zoomScale="55" zoomScaleNormal="55" workbookViewId="0">
      <selection activeCell="R26" sqref="R26"/>
    </sheetView>
  </sheetViews>
  <sheetFormatPr defaultRowHeight="15" x14ac:dyDescent="0.25"/>
  <cols>
    <col min="1" max="1" width="45.140625" bestFit="1" customWidth="1"/>
    <col min="2" max="2" width="12.5703125" customWidth="1"/>
    <col min="3" max="3" width="5.28515625" customWidth="1"/>
    <col min="4" max="4" width="23.5703125" customWidth="1"/>
    <col min="5" max="5" width="15.28515625" bestFit="1" customWidth="1"/>
    <col min="6" max="6" width="13.28515625" customWidth="1"/>
    <col min="7" max="7" width="4.5703125" customWidth="1"/>
  </cols>
  <sheetData>
    <row r="7" spans="1:1" x14ac:dyDescent="0.25">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H1328"/>
  <sheetViews>
    <sheetView topLeftCell="N1" workbookViewId="0">
      <pane ySplit="1" topLeftCell="A2" activePane="bottomLeft" state="frozen"/>
      <selection activeCell="G1" sqref="G1"/>
      <selection pane="bottomLeft" activeCell="W29" sqref="W29"/>
    </sheetView>
  </sheetViews>
  <sheetFormatPr defaultRowHeight="15" x14ac:dyDescent="0.25"/>
  <sheetData>
    <row r="1" spans="1:60" x14ac:dyDescent="0.25">
      <c r="A1" t="s">
        <v>262</v>
      </c>
      <c r="B1" t="s">
        <v>263</v>
      </c>
      <c r="C1" t="s">
        <v>264</v>
      </c>
      <c r="D1" t="s">
        <v>265</v>
      </c>
      <c r="E1" t="s">
        <v>266</v>
      </c>
      <c r="F1" t="s">
        <v>267</v>
      </c>
      <c r="G1" t="s">
        <v>268</v>
      </c>
      <c r="H1" t="s">
        <v>269</v>
      </c>
      <c r="I1" t="s">
        <v>270</v>
      </c>
      <c r="J1" t="s">
        <v>271</v>
      </c>
      <c r="K1" t="s">
        <v>272</v>
      </c>
      <c r="L1" t="s">
        <v>273</v>
      </c>
      <c r="M1" t="s">
        <v>274</v>
      </c>
      <c r="N1" t="s">
        <v>275</v>
      </c>
      <c r="O1" t="s">
        <v>276</v>
      </c>
      <c r="P1" t="s">
        <v>277</v>
      </c>
      <c r="Q1" t="s">
        <v>278</v>
      </c>
      <c r="R1" t="s">
        <v>279</v>
      </c>
      <c r="S1" t="s">
        <v>280</v>
      </c>
      <c r="T1" t="s">
        <v>281</v>
      </c>
      <c r="U1" t="s">
        <v>282</v>
      </c>
      <c r="V1" t="s">
        <v>283</v>
      </c>
      <c r="W1" t="s">
        <v>284</v>
      </c>
      <c r="X1" t="s">
        <v>285</v>
      </c>
      <c r="Y1" t="s">
        <v>286</v>
      </c>
      <c r="Z1" t="s">
        <v>287</v>
      </c>
      <c r="AA1" t="s">
        <v>288</v>
      </c>
      <c r="AB1" t="s">
        <v>289</v>
      </c>
      <c r="AC1" t="s">
        <v>290</v>
      </c>
      <c r="AD1" t="s">
        <v>291</v>
      </c>
      <c r="AE1" t="s">
        <v>292</v>
      </c>
      <c r="AF1" t="s">
        <v>293</v>
      </c>
      <c r="AG1" t="s">
        <v>294</v>
      </c>
      <c r="AH1" t="s">
        <v>295</v>
      </c>
      <c r="AI1" t="s">
        <v>296</v>
      </c>
      <c r="AJ1" t="s">
        <v>297</v>
      </c>
      <c r="AK1" t="s">
        <v>298</v>
      </c>
      <c r="AL1" t="s">
        <v>299</v>
      </c>
      <c r="AM1" t="s">
        <v>300</v>
      </c>
      <c r="AN1" t="s">
        <v>301</v>
      </c>
      <c r="AO1" t="s">
        <v>302</v>
      </c>
      <c r="AP1" t="s">
        <v>303</v>
      </c>
      <c r="AQ1" t="s">
        <v>304</v>
      </c>
      <c r="AR1" t="s">
        <v>305</v>
      </c>
      <c r="AS1" t="s">
        <v>306</v>
      </c>
      <c r="AT1" t="s">
        <v>307</v>
      </c>
      <c r="AU1" t="s">
        <v>308</v>
      </c>
      <c r="AV1" t="s">
        <v>309</v>
      </c>
      <c r="AW1" t="s">
        <v>310</v>
      </c>
      <c r="AX1" t="s">
        <v>311</v>
      </c>
      <c r="AY1" t="s">
        <v>312</v>
      </c>
      <c r="AZ1" t="s">
        <v>313</v>
      </c>
      <c r="BA1" t="s">
        <v>314</v>
      </c>
      <c r="BB1" t="s">
        <v>315</v>
      </c>
      <c r="BC1" t="s">
        <v>316</v>
      </c>
      <c r="BD1" t="s">
        <v>317</v>
      </c>
      <c r="BE1" t="s">
        <v>400</v>
      </c>
      <c r="BF1" t="s">
        <v>401</v>
      </c>
      <c r="BG1" t="s">
        <v>402</v>
      </c>
      <c r="BH1" t="s">
        <v>455</v>
      </c>
    </row>
    <row r="2" spans="1:60" x14ac:dyDescent="0.25">
      <c r="A2">
        <v>70511</v>
      </c>
      <c r="B2">
        <v>17135700</v>
      </c>
      <c r="C2">
        <v>2019</v>
      </c>
      <c r="D2" s="62">
        <v>43627</v>
      </c>
      <c r="E2">
        <v>7</v>
      </c>
      <c r="F2" t="s">
        <v>318</v>
      </c>
      <c r="G2" t="s">
        <v>319</v>
      </c>
      <c r="H2" t="s">
        <v>456</v>
      </c>
      <c r="I2" t="s">
        <v>427</v>
      </c>
      <c r="J2">
        <v>29.81238029</v>
      </c>
      <c r="K2">
        <v>-95.240553120000001</v>
      </c>
      <c r="L2" t="s">
        <v>321</v>
      </c>
      <c r="M2" t="s">
        <v>322</v>
      </c>
      <c r="N2" t="s">
        <v>323</v>
      </c>
      <c r="O2" t="s">
        <v>324</v>
      </c>
      <c r="P2" t="s">
        <v>411</v>
      </c>
      <c r="Q2" t="s">
        <v>330</v>
      </c>
      <c r="R2" t="s">
        <v>412</v>
      </c>
      <c r="S2">
        <v>0</v>
      </c>
      <c r="T2">
        <v>0</v>
      </c>
      <c r="U2">
        <v>0</v>
      </c>
      <c r="V2">
        <v>0</v>
      </c>
      <c r="W2">
        <v>0</v>
      </c>
      <c r="X2">
        <v>2</v>
      </c>
      <c r="Y2">
        <v>0</v>
      </c>
      <c r="Z2">
        <v>0</v>
      </c>
      <c r="AA2">
        <v>0</v>
      </c>
      <c r="AB2">
        <v>0</v>
      </c>
      <c r="AC2">
        <v>0</v>
      </c>
      <c r="AD2">
        <v>2</v>
      </c>
      <c r="AE2">
        <v>0</v>
      </c>
      <c r="AF2">
        <v>0</v>
      </c>
      <c r="AG2">
        <v>0</v>
      </c>
      <c r="AH2">
        <v>0</v>
      </c>
      <c r="AI2">
        <v>0</v>
      </c>
      <c r="AJ2">
        <v>0</v>
      </c>
      <c r="AK2">
        <v>0</v>
      </c>
      <c r="AL2">
        <v>0</v>
      </c>
      <c r="AM2">
        <v>0</v>
      </c>
      <c r="AN2">
        <v>0</v>
      </c>
      <c r="AO2">
        <v>0</v>
      </c>
      <c r="AP2">
        <v>0</v>
      </c>
      <c r="AQ2">
        <v>0</v>
      </c>
      <c r="AR2">
        <v>0</v>
      </c>
      <c r="AS2">
        <v>0</v>
      </c>
      <c r="AT2">
        <v>0</v>
      </c>
      <c r="AU2" t="s">
        <v>242</v>
      </c>
      <c r="AV2" t="s">
        <v>435</v>
      </c>
      <c r="AW2" t="s">
        <v>326</v>
      </c>
      <c r="AX2" t="s">
        <v>436</v>
      </c>
      <c r="AY2">
        <v>77013</v>
      </c>
      <c r="AZ2">
        <v>48201232500</v>
      </c>
      <c r="BA2" t="s">
        <v>327</v>
      </c>
      <c r="BB2" t="s">
        <v>328</v>
      </c>
      <c r="BC2">
        <v>114668</v>
      </c>
      <c r="BD2">
        <v>3101</v>
      </c>
      <c r="BE2" t="s">
        <v>439</v>
      </c>
      <c r="BF2" t="s">
        <v>405</v>
      </c>
      <c r="BG2" t="s">
        <v>405</v>
      </c>
      <c r="BH2">
        <v>9880</v>
      </c>
    </row>
    <row r="3" spans="1:60" x14ac:dyDescent="0.25">
      <c r="A3">
        <v>207422</v>
      </c>
      <c r="B3">
        <v>17673268</v>
      </c>
      <c r="C3">
        <v>2020</v>
      </c>
      <c r="D3" s="62">
        <v>43950</v>
      </c>
      <c r="E3">
        <v>17</v>
      </c>
      <c r="F3" t="s">
        <v>403</v>
      </c>
      <c r="G3" t="s">
        <v>319</v>
      </c>
      <c r="H3" t="s">
        <v>456</v>
      </c>
      <c r="I3" t="s">
        <v>320</v>
      </c>
      <c r="J3">
        <v>29.80907479</v>
      </c>
      <c r="K3">
        <v>-95.240533119999995</v>
      </c>
      <c r="L3" t="s">
        <v>321</v>
      </c>
      <c r="M3" t="s">
        <v>322</v>
      </c>
      <c r="N3" t="s">
        <v>431</v>
      </c>
      <c r="O3" t="s">
        <v>324</v>
      </c>
      <c r="P3" t="s">
        <v>411</v>
      </c>
      <c r="Q3" t="s">
        <v>329</v>
      </c>
      <c r="R3" t="s">
        <v>420</v>
      </c>
      <c r="S3">
        <v>0</v>
      </c>
      <c r="T3">
        <v>0</v>
      </c>
      <c r="U3">
        <v>0</v>
      </c>
      <c r="V3">
        <v>0</v>
      </c>
      <c r="W3">
        <v>0</v>
      </c>
      <c r="X3">
        <v>4</v>
      </c>
      <c r="Y3">
        <v>0</v>
      </c>
      <c r="Z3">
        <v>0</v>
      </c>
      <c r="AA3">
        <v>0</v>
      </c>
      <c r="AB3">
        <v>0</v>
      </c>
      <c r="AC3">
        <v>0</v>
      </c>
      <c r="AD3">
        <v>4</v>
      </c>
      <c r="AE3">
        <v>0</v>
      </c>
      <c r="AF3">
        <v>0</v>
      </c>
      <c r="AG3">
        <v>0</v>
      </c>
      <c r="AH3">
        <v>0</v>
      </c>
      <c r="AI3">
        <v>0</v>
      </c>
      <c r="AJ3">
        <v>0</v>
      </c>
      <c r="AK3">
        <v>0</v>
      </c>
      <c r="AL3">
        <v>0</v>
      </c>
      <c r="AM3">
        <v>0</v>
      </c>
      <c r="AN3">
        <v>0</v>
      </c>
      <c r="AO3">
        <v>0</v>
      </c>
      <c r="AP3">
        <v>0</v>
      </c>
      <c r="AQ3">
        <v>0</v>
      </c>
      <c r="AR3">
        <v>0</v>
      </c>
      <c r="AS3">
        <v>0</v>
      </c>
      <c r="AT3">
        <v>0</v>
      </c>
      <c r="AU3" t="s">
        <v>242</v>
      </c>
      <c r="AV3" t="s">
        <v>435</v>
      </c>
      <c r="AW3" t="s">
        <v>326</v>
      </c>
      <c r="AX3" t="s">
        <v>436</v>
      </c>
      <c r="AY3">
        <v>77013</v>
      </c>
      <c r="AZ3">
        <v>48201232500</v>
      </c>
      <c r="BA3" t="s">
        <v>327</v>
      </c>
      <c r="BB3" t="s">
        <v>328</v>
      </c>
      <c r="BC3">
        <v>114668</v>
      </c>
      <c r="BD3">
        <v>3101</v>
      </c>
      <c r="BE3" t="s">
        <v>405</v>
      </c>
      <c r="BF3" t="s">
        <v>405</v>
      </c>
      <c r="BG3" t="s">
        <v>405</v>
      </c>
      <c r="BH3">
        <v>9880</v>
      </c>
    </row>
    <row r="4" spans="1:60" x14ac:dyDescent="0.25">
      <c r="A4">
        <v>249246</v>
      </c>
      <c r="B4">
        <v>17831961</v>
      </c>
      <c r="C4">
        <v>2020</v>
      </c>
      <c r="D4" s="62">
        <v>44058</v>
      </c>
      <c r="E4">
        <v>21</v>
      </c>
      <c r="F4" t="s">
        <v>426</v>
      </c>
      <c r="G4" t="s">
        <v>319</v>
      </c>
      <c r="H4" t="s">
        <v>456</v>
      </c>
      <c r="I4" t="s">
        <v>409</v>
      </c>
      <c r="J4">
        <v>29.802746259999999</v>
      </c>
      <c r="K4">
        <v>-95.240473120000004</v>
      </c>
      <c r="L4" t="s">
        <v>321</v>
      </c>
      <c r="M4" t="s">
        <v>424</v>
      </c>
      <c r="N4" t="s">
        <v>323</v>
      </c>
      <c r="O4" t="s">
        <v>324</v>
      </c>
      <c r="P4" t="s">
        <v>411</v>
      </c>
      <c r="Q4" t="s">
        <v>330</v>
      </c>
      <c r="R4" t="s">
        <v>457</v>
      </c>
      <c r="S4">
        <v>0</v>
      </c>
      <c r="T4">
        <v>0</v>
      </c>
      <c r="U4">
        <v>0</v>
      </c>
      <c r="V4">
        <v>0</v>
      </c>
      <c r="W4">
        <v>0</v>
      </c>
      <c r="X4">
        <v>1</v>
      </c>
      <c r="Y4">
        <v>1</v>
      </c>
      <c r="Z4">
        <v>0</v>
      </c>
      <c r="AA4">
        <v>0</v>
      </c>
      <c r="AB4">
        <v>0</v>
      </c>
      <c r="AC4">
        <v>0</v>
      </c>
      <c r="AD4">
        <v>1</v>
      </c>
      <c r="AE4">
        <v>0</v>
      </c>
      <c r="AF4">
        <v>1</v>
      </c>
      <c r="AG4">
        <v>0</v>
      </c>
      <c r="AH4">
        <v>0</v>
      </c>
      <c r="AI4">
        <v>0</v>
      </c>
      <c r="AJ4">
        <v>0</v>
      </c>
      <c r="AK4">
        <v>0</v>
      </c>
      <c r="AL4">
        <v>0</v>
      </c>
      <c r="AM4">
        <v>0</v>
      </c>
      <c r="AN4">
        <v>0</v>
      </c>
      <c r="AO4">
        <v>0</v>
      </c>
      <c r="AP4">
        <v>0</v>
      </c>
      <c r="AQ4">
        <v>0</v>
      </c>
      <c r="AR4">
        <v>0</v>
      </c>
      <c r="AS4">
        <v>0</v>
      </c>
      <c r="AT4">
        <v>0</v>
      </c>
      <c r="AU4" t="s">
        <v>242</v>
      </c>
      <c r="AV4" t="s">
        <v>435</v>
      </c>
      <c r="AW4" t="s">
        <v>326</v>
      </c>
      <c r="AX4" t="s">
        <v>436</v>
      </c>
      <c r="AY4">
        <v>77013</v>
      </c>
      <c r="AZ4">
        <v>48201232500</v>
      </c>
      <c r="BA4" t="s">
        <v>327</v>
      </c>
      <c r="BB4" t="s">
        <v>328</v>
      </c>
      <c r="BC4">
        <v>114235</v>
      </c>
      <c r="BD4">
        <v>3101</v>
      </c>
      <c r="BE4" t="s">
        <v>405</v>
      </c>
      <c r="BF4" t="s">
        <v>405</v>
      </c>
      <c r="BG4" t="s">
        <v>405</v>
      </c>
      <c r="BH4">
        <v>9880</v>
      </c>
    </row>
    <row r="5" spans="1:60" x14ac:dyDescent="0.25">
      <c r="A5">
        <v>258363</v>
      </c>
      <c r="B5">
        <v>17869835</v>
      </c>
      <c r="C5">
        <v>2020</v>
      </c>
      <c r="D5" s="62">
        <v>44087</v>
      </c>
      <c r="E5">
        <v>8</v>
      </c>
      <c r="F5" t="s">
        <v>406</v>
      </c>
      <c r="G5" t="s">
        <v>319</v>
      </c>
      <c r="H5" t="s">
        <v>456</v>
      </c>
      <c r="I5" t="s">
        <v>409</v>
      </c>
      <c r="J5">
        <v>29.81783145</v>
      </c>
      <c r="K5">
        <v>-95.24059312</v>
      </c>
      <c r="L5" t="s">
        <v>321</v>
      </c>
      <c r="M5" t="s">
        <v>322</v>
      </c>
      <c r="N5" t="s">
        <v>418</v>
      </c>
      <c r="O5" t="s">
        <v>324</v>
      </c>
      <c r="P5" t="s">
        <v>421</v>
      </c>
      <c r="Q5" t="s">
        <v>330</v>
      </c>
      <c r="R5" t="s">
        <v>412</v>
      </c>
      <c r="S5">
        <v>0</v>
      </c>
      <c r="T5">
        <v>0</v>
      </c>
      <c r="U5">
        <v>0</v>
      </c>
      <c r="V5">
        <v>0</v>
      </c>
      <c r="W5">
        <v>0</v>
      </c>
      <c r="X5">
        <v>0</v>
      </c>
      <c r="Y5">
        <v>2</v>
      </c>
      <c r="Z5">
        <v>0</v>
      </c>
      <c r="AA5">
        <v>0</v>
      </c>
      <c r="AB5">
        <v>0</v>
      </c>
      <c r="AC5">
        <v>0</v>
      </c>
      <c r="AD5">
        <v>0</v>
      </c>
      <c r="AE5">
        <v>0</v>
      </c>
      <c r="AF5">
        <v>2</v>
      </c>
      <c r="AG5">
        <v>0</v>
      </c>
      <c r="AH5">
        <v>0</v>
      </c>
      <c r="AI5">
        <v>0</v>
      </c>
      <c r="AJ5">
        <v>0</v>
      </c>
      <c r="AK5">
        <v>0</v>
      </c>
      <c r="AL5">
        <v>0</v>
      </c>
      <c r="AM5">
        <v>0</v>
      </c>
      <c r="AN5">
        <v>0</v>
      </c>
      <c r="AO5">
        <v>0</v>
      </c>
      <c r="AP5">
        <v>0</v>
      </c>
      <c r="AQ5">
        <v>0</v>
      </c>
      <c r="AR5">
        <v>0</v>
      </c>
      <c r="AS5">
        <v>0</v>
      </c>
      <c r="AT5">
        <v>0</v>
      </c>
      <c r="AU5" t="s">
        <v>242</v>
      </c>
      <c r="AV5" t="s">
        <v>435</v>
      </c>
      <c r="AW5" t="s">
        <v>326</v>
      </c>
      <c r="AX5" t="s">
        <v>436</v>
      </c>
      <c r="AY5">
        <v>77013</v>
      </c>
      <c r="AZ5">
        <v>48201232500</v>
      </c>
      <c r="BA5" t="s">
        <v>327</v>
      </c>
      <c r="BB5" t="s">
        <v>328</v>
      </c>
      <c r="BC5">
        <v>115101</v>
      </c>
      <c r="BD5">
        <v>3101</v>
      </c>
      <c r="BE5" t="s">
        <v>439</v>
      </c>
      <c r="BF5" t="s">
        <v>405</v>
      </c>
      <c r="BG5" t="s">
        <v>405</v>
      </c>
      <c r="BH5">
        <v>10028</v>
      </c>
    </row>
    <row r="6" spans="1:60" x14ac:dyDescent="0.25">
      <c r="A6">
        <v>259085</v>
      </c>
      <c r="B6">
        <v>17872475</v>
      </c>
      <c r="C6">
        <v>2020</v>
      </c>
      <c r="D6" s="62">
        <v>44094</v>
      </c>
      <c r="E6">
        <v>4</v>
      </c>
      <c r="F6" t="s">
        <v>406</v>
      </c>
      <c r="G6" t="s">
        <v>319</v>
      </c>
      <c r="H6" t="s">
        <v>456</v>
      </c>
      <c r="I6" t="s">
        <v>320</v>
      </c>
      <c r="J6">
        <v>29.806575890000001</v>
      </c>
      <c r="K6">
        <v>-95.240513120000003</v>
      </c>
      <c r="L6" t="s">
        <v>321</v>
      </c>
      <c r="M6" t="s">
        <v>424</v>
      </c>
      <c r="N6" t="s">
        <v>323</v>
      </c>
      <c r="O6" t="s">
        <v>430</v>
      </c>
      <c r="P6" t="s">
        <v>283</v>
      </c>
      <c r="Q6" t="s">
        <v>278</v>
      </c>
      <c r="R6" t="s">
        <v>443</v>
      </c>
      <c r="S6">
        <v>0</v>
      </c>
      <c r="T6">
        <v>0</v>
      </c>
      <c r="U6">
        <v>0</v>
      </c>
      <c r="V6">
        <v>1</v>
      </c>
      <c r="W6">
        <v>1</v>
      </c>
      <c r="X6">
        <v>0</v>
      </c>
      <c r="Y6">
        <v>0</v>
      </c>
      <c r="Z6">
        <v>0</v>
      </c>
      <c r="AA6">
        <v>0</v>
      </c>
      <c r="AB6">
        <v>0</v>
      </c>
      <c r="AC6">
        <v>1</v>
      </c>
      <c r="AD6">
        <v>0</v>
      </c>
      <c r="AE6">
        <v>1</v>
      </c>
      <c r="AF6">
        <v>0</v>
      </c>
      <c r="AG6">
        <v>0</v>
      </c>
      <c r="AH6">
        <v>0</v>
      </c>
      <c r="AI6">
        <v>0</v>
      </c>
      <c r="AJ6">
        <v>0</v>
      </c>
      <c r="AK6">
        <v>0</v>
      </c>
      <c r="AL6">
        <v>0</v>
      </c>
      <c r="AM6">
        <v>0</v>
      </c>
      <c r="AN6">
        <v>0</v>
      </c>
      <c r="AO6">
        <v>0</v>
      </c>
      <c r="AP6">
        <v>0</v>
      </c>
      <c r="AQ6">
        <v>0</v>
      </c>
      <c r="AR6">
        <v>0</v>
      </c>
      <c r="AS6">
        <v>0</v>
      </c>
      <c r="AT6">
        <v>0</v>
      </c>
      <c r="AU6" t="s">
        <v>242</v>
      </c>
      <c r="AV6" t="s">
        <v>435</v>
      </c>
      <c r="AW6" t="s">
        <v>326</v>
      </c>
      <c r="AX6" t="s">
        <v>436</v>
      </c>
      <c r="AY6">
        <v>77013</v>
      </c>
      <c r="AZ6">
        <v>48201232500</v>
      </c>
      <c r="BA6" t="s">
        <v>327</v>
      </c>
      <c r="BB6" t="s">
        <v>328</v>
      </c>
      <c r="BC6">
        <v>114235</v>
      </c>
      <c r="BD6">
        <v>3101</v>
      </c>
      <c r="BE6" t="s">
        <v>405</v>
      </c>
      <c r="BF6" t="s">
        <v>405</v>
      </c>
      <c r="BG6" t="s">
        <v>405</v>
      </c>
      <c r="BH6">
        <v>9880</v>
      </c>
    </row>
    <row r="7" spans="1:60" x14ac:dyDescent="0.25">
      <c r="A7">
        <v>430529</v>
      </c>
      <c r="B7">
        <v>18536775</v>
      </c>
      <c r="C7">
        <v>2021</v>
      </c>
      <c r="D7" s="62">
        <v>44471</v>
      </c>
      <c r="E7">
        <v>16</v>
      </c>
      <c r="F7" t="s">
        <v>426</v>
      </c>
      <c r="G7" t="s">
        <v>319</v>
      </c>
      <c r="H7" t="s">
        <v>456</v>
      </c>
      <c r="I7" t="s">
        <v>427</v>
      </c>
      <c r="J7">
        <v>29.795364800000002</v>
      </c>
      <c r="K7">
        <v>-95.243723110000005</v>
      </c>
      <c r="L7" t="s">
        <v>321</v>
      </c>
      <c r="M7" t="s">
        <v>322</v>
      </c>
      <c r="N7" t="s">
        <v>323</v>
      </c>
      <c r="O7" t="s">
        <v>324</v>
      </c>
      <c r="P7" t="s">
        <v>283</v>
      </c>
      <c r="Q7" t="s">
        <v>330</v>
      </c>
      <c r="R7" t="s">
        <v>404</v>
      </c>
      <c r="S7">
        <v>0</v>
      </c>
      <c r="T7">
        <v>0</v>
      </c>
      <c r="U7">
        <v>0</v>
      </c>
      <c r="V7">
        <v>1</v>
      </c>
      <c r="W7">
        <v>1</v>
      </c>
      <c r="X7">
        <v>1</v>
      </c>
      <c r="Y7">
        <v>0</v>
      </c>
      <c r="Z7">
        <v>0</v>
      </c>
      <c r="AA7">
        <v>0</v>
      </c>
      <c r="AB7">
        <v>0</v>
      </c>
      <c r="AC7">
        <v>1</v>
      </c>
      <c r="AD7">
        <v>1</v>
      </c>
      <c r="AE7">
        <v>1</v>
      </c>
      <c r="AF7">
        <v>0</v>
      </c>
      <c r="AG7">
        <v>0</v>
      </c>
      <c r="AH7">
        <v>0</v>
      </c>
      <c r="AI7">
        <v>0</v>
      </c>
      <c r="AJ7">
        <v>0</v>
      </c>
      <c r="AK7">
        <v>0</v>
      </c>
      <c r="AL7">
        <v>0</v>
      </c>
      <c r="AM7">
        <v>0</v>
      </c>
      <c r="AN7">
        <v>0</v>
      </c>
      <c r="AO7">
        <v>0</v>
      </c>
      <c r="AP7">
        <v>0</v>
      </c>
      <c r="AQ7">
        <v>0</v>
      </c>
      <c r="AR7">
        <v>0</v>
      </c>
      <c r="AS7">
        <v>0</v>
      </c>
      <c r="AT7">
        <v>0</v>
      </c>
      <c r="AU7" t="s">
        <v>242</v>
      </c>
      <c r="AV7" t="s">
        <v>435</v>
      </c>
      <c r="AW7" t="s">
        <v>326</v>
      </c>
      <c r="AX7" t="s">
        <v>436</v>
      </c>
      <c r="AY7">
        <v>77013</v>
      </c>
      <c r="AZ7">
        <v>48201232500</v>
      </c>
      <c r="BA7" t="s">
        <v>327</v>
      </c>
      <c r="BB7" t="s">
        <v>328</v>
      </c>
      <c r="BC7">
        <v>113802</v>
      </c>
      <c r="BD7">
        <v>3101</v>
      </c>
      <c r="BE7" t="s">
        <v>405</v>
      </c>
      <c r="BF7" t="s">
        <v>405</v>
      </c>
      <c r="BG7" t="s">
        <v>405</v>
      </c>
      <c r="BH7">
        <v>9882</v>
      </c>
    </row>
    <row r="8" spans="1:60" x14ac:dyDescent="0.25">
      <c r="A8">
        <v>442904</v>
      </c>
      <c r="B8">
        <v>18584995</v>
      </c>
      <c r="C8">
        <v>2021</v>
      </c>
      <c r="D8" s="62">
        <v>44511</v>
      </c>
      <c r="E8">
        <v>8</v>
      </c>
      <c r="F8" t="s">
        <v>419</v>
      </c>
      <c r="G8" t="s">
        <v>319</v>
      </c>
      <c r="H8" t="s">
        <v>456</v>
      </c>
      <c r="I8" t="s">
        <v>427</v>
      </c>
      <c r="J8">
        <v>29.807959960000002</v>
      </c>
      <c r="K8">
        <v>-95.240523120000006</v>
      </c>
      <c r="L8" t="s">
        <v>423</v>
      </c>
      <c r="M8" t="s">
        <v>322</v>
      </c>
      <c r="N8" t="s">
        <v>418</v>
      </c>
      <c r="O8" t="s">
        <v>324</v>
      </c>
      <c r="P8" t="s">
        <v>411</v>
      </c>
      <c r="Q8" t="s">
        <v>330</v>
      </c>
      <c r="R8" t="s">
        <v>458</v>
      </c>
      <c r="S8">
        <v>0</v>
      </c>
      <c r="T8">
        <v>0</v>
      </c>
      <c r="U8">
        <v>0</v>
      </c>
      <c r="V8">
        <v>0</v>
      </c>
      <c r="W8">
        <v>0</v>
      </c>
      <c r="X8">
        <v>2</v>
      </c>
      <c r="Y8">
        <v>0</v>
      </c>
      <c r="Z8">
        <v>0</v>
      </c>
      <c r="AA8">
        <v>0</v>
      </c>
      <c r="AB8">
        <v>0</v>
      </c>
      <c r="AC8">
        <v>0</v>
      </c>
      <c r="AD8">
        <v>2</v>
      </c>
      <c r="AE8">
        <v>0</v>
      </c>
      <c r="AF8">
        <v>0</v>
      </c>
      <c r="AG8">
        <v>0</v>
      </c>
      <c r="AH8">
        <v>0</v>
      </c>
      <c r="AI8">
        <v>0</v>
      </c>
      <c r="AJ8">
        <v>0</v>
      </c>
      <c r="AK8">
        <v>0</v>
      </c>
      <c r="AL8">
        <v>0</v>
      </c>
      <c r="AM8">
        <v>0</v>
      </c>
      <c r="AN8">
        <v>0</v>
      </c>
      <c r="AO8">
        <v>0</v>
      </c>
      <c r="AP8">
        <v>0</v>
      </c>
      <c r="AQ8">
        <v>0</v>
      </c>
      <c r="AR8">
        <v>0</v>
      </c>
      <c r="AS8">
        <v>0</v>
      </c>
      <c r="AT8">
        <v>0</v>
      </c>
      <c r="AU8" t="s">
        <v>242</v>
      </c>
      <c r="AV8" t="s">
        <v>435</v>
      </c>
      <c r="AW8" t="s">
        <v>326</v>
      </c>
      <c r="AX8" t="s">
        <v>436</v>
      </c>
      <c r="AY8">
        <v>77013</v>
      </c>
      <c r="AZ8">
        <v>48201232500</v>
      </c>
      <c r="BA8" t="s">
        <v>327</v>
      </c>
      <c r="BB8" t="s">
        <v>328</v>
      </c>
      <c r="BC8">
        <v>114668</v>
      </c>
      <c r="BD8">
        <v>3101</v>
      </c>
      <c r="BE8" t="s">
        <v>405</v>
      </c>
      <c r="BF8" t="s">
        <v>459</v>
      </c>
      <c r="BG8" t="s">
        <v>405</v>
      </c>
      <c r="BH8">
        <v>9880</v>
      </c>
    </row>
    <row r="9" spans="1:60" x14ac:dyDescent="0.25">
      <c r="A9">
        <v>463043</v>
      </c>
      <c r="B9">
        <v>18663963</v>
      </c>
      <c r="C9">
        <v>2021</v>
      </c>
      <c r="D9" s="62">
        <v>44462</v>
      </c>
      <c r="E9">
        <v>15</v>
      </c>
      <c r="F9" t="s">
        <v>419</v>
      </c>
      <c r="G9" t="s">
        <v>319</v>
      </c>
      <c r="H9" t="s">
        <v>456</v>
      </c>
      <c r="I9" t="s">
        <v>320</v>
      </c>
      <c r="J9">
        <v>29.805114790000001</v>
      </c>
      <c r="K9">
        <v>-95.240493119999996</v>
      </c>
      <c r="L9" t="s">
        <v>321</v>
      </c>
      <c r="M9" t="s">
        <v>322</v>
      </c>
      <c r="N9" t="s">
        <v>418</v>
      </c>
      <c r="O9" t="s">
        <v>324</v>
      </c>
      <c r="P9" t="s">
        <v>411</v>
      </c>
      <c r="Q9" t="s">
        <v>325</v>
      </c>
      <c r="R9" t="s">
        <v>460</v>
      </c>
      <c r="S9">
        <v>0</v>
      </c>
      <c r="T9">
        <v>0</v>
      </c>
      <c r="U9">
        <v>0</v>
      </c>
      <c r="V9">
        <v>0</v>
      </c>
      <c r="W9">
        <v>0</v>
      </c>
      <c r="X9">
        <v>2</v>
      </c>
      <c r="Y9">
        <v>0</v>
      </c>
      <c r="Z9">
        <v>0</v>
      </c>
      <c r="AA9">
        <v>0</v>
      </c>
      <c r="AB9">
        <v>0</v>
      </c>
      <c r="AC9">
        <v>0</v>
      </c>
      <c r="AD9">
        <v>2</v>
      </c>
      <c r="AE9">
        <v>0</v>
      </c>
      <c r="AF9">
        <v>0</v>
      </c>
      <c r="AG9">
        <v>0</v>
      </c>
      <c r="AH9">
        <v>0</v>
      </c>
      <c r="AI9">
        <v>0</v>
      </c>
      <c r="AJ9">
        <v>0</v>
      </c>
      <c r="AK9">
        <v>0</v>
      </c>
      <c r="AL9">
        <v>0</v>
      </c>
      <c r="AM9">
        <v>0</v>
      </c>
      <c r="AN9">
        <v>0</v>
      </c>
      <c r="AO9">
        <v>0</v>
      </c>
      <c r="AP9">
        <v>0</v>
      </c>
      <c r="AQ9">
        <v>0</v>
      </c>
      <c r="AR9">
        <v>0</v>
      </c>
      <c r="AS9">
        <v>0</v>
      </c>
      <c r="AT9">
        <v>0</v>
      </c>
      <c r="AU9" t="s">
        <v>242</v>
      </c>
      <c r="AV9" t="s">
        <v>435</v>
      </c>
      <c r="AW9" t="s">
        <v>326</v>
      </c>
      <c r="AX9" t="s">
        <v>436</v>
      </c>
      <c r="AY9">
        <v>77013</v>
      </c>
      <c r="AZ9">
        <v>48201232500</v>
      </c>
      <c r="BA9" t="s">
        <v>327</v>
      </c>
      <c r="BB9" t="s">
        <v>328</v>
      </c>
      <c r="BC9">
        <v>114235</v>
      </c>
      <c r="BD9">
        <v>3101</v>
      </c>
      <c r="BE9" t="s">
        <v>442</v>
      </c>
      <c r="BF9" t="s">
        <v>405</v>
      </c>
      <c r="BG9" t="s">
        <v>405</v>
      </c>
      <c r="BH9">
        <v>9880</v>
      </c>
    </row>
    <row r="10" spans="1:60" x14ac:dyDescent="0.25">
      <c r="A10">
        <v>523809</v>
      </c>
      <c r="B10">
        <v>18894162</v>
      </c>
      <c r="C10">
        <v>2022</v>
      </c>
      <c r="D10" s="62">
        <v>44674</v>
      </c>
      <c r="E10">
        <v>13</v>
      </c>
      <c r="F10" t="s">
        <v>426</v>
      </c>
      <c r="G10" t="s">
        <v>319</v>
      </c>
      <c r="H10" t="s">
        <v>456</v>
      </c>
      <c r="I10" t="s">
        <v>427</v>
      </c>
      <c r="J10">
        <v>29.80149479</v>
      </c>
      <c r="K10">
        <v>-95.240463120000001</v>
      </c>
      <c r="L10" t="s">
        <v>417</v>
      </c>
      <c r="M10" t="s">
        <v>322</v>
      </c>
      <c r="N10" t="s">
        <v>418</v>
      </c>
      <c r="O10" t="s">
        <v>324</v>
      </c>
      <c r="P10" t="s">
        <v>283</v>
      </c>
      <c r="Q10" t="s">
        <v>329</v>
      </c>
      <c r="R10" t="s">
        <v>440</v>
      </c>
      <c r="S10">
        <v>0</v>
      </c>
      <c r="T10">
        <v>0</v>
      </c>
      <c r="U10">
        <v>0</v>
      </c>
      <c r="V10">
        <v>1</v>
      </c>
      <c r="W10">
        <v>1</v>
      </c>
      <c r="X10">
        <v>1</v>
      </c>
      <c r="Y10">
        <v>0</v>
      </c>
      <c r="Z10">
        <v>0</v>
      </c>
      <c r="AA10">
        <v>0</v>
      </c>
      <c r="AB10">
        <v>0</v>
      </c>
      <c r="AC10">
        <v>1</v>
      </c>
      <c r="AD10">
        <v>1</v>
      </c>
      <c r="AE10">
        <v>1</v>
      </c>
      <c r="AF10">
        <v>0</v>
      </c>
      <c r="AG10">
        <v>0</v>
      </c>
      <c r="AH10">
        <v>0</v>
      </c>
      <c r="AI10">
        <v>0</v>
      </c>
      <c r="AJ10">
        <v>0</v>
      </c>
      <c r="AK10">
        <v>0</v>
      </c>
      <c r="AL10">
        <v>0</v>
      </c>
      <c r="AM10">
        <v>0</v>
      </c>
      <c r="AN10">
        <v>0</v>
      </c>
      <c r="AO10">
        <v>0</v>
      </c>
      <c r="AP10">
        <v>0</v>
      </c>
      <c r="AQ10">
        <v>0</v>
      </c>
      <c r="AR10">
        <v>0</v>
      </c>
      <c r="AS10">
        <v>0</v>
      </c>
      <c r="AT10">
        <v>0</v>
      </c>
      <c r="AU10" t="s">
        <v>242</v>
      </c>
      <c r="AV10" t="s">
        <v>435</v>
      </c>
      <c r="AW10" t="s">
        <v>326</v>
      </c>
      <c r="AX10" t="s">
        <v>436</v>
      </c>
      <c r="AY10">
        <v>77013</v>
      </c>
      <c r="AZ10">
        <v>48201232500</v>
      </c>
      <c r="BA10" t="s">
        <v>327</v>
      </c>
      <c r="BB10" t="s">
        <v>328</v>
      </c>
      <c r="BC10">
        <v>114235</v>
      </c>
      <c r="BD10">
        <v>3101</v>
      </c>
      <c r="BE10" t="s">
        <v>405</v>
      </c>
      <c r="BF10" t="s">
        <v>405</v>
      </c>
      <c r="BG10" t="s">
        <v>405</v>
      </c>
      <c r="BH10">
        <v>9880</v>
      </c>
    </row>
    <row r="11" spans="1:60" x14ac:dyDescent="0.25">
      <c r="A11">
        <v>546466</v>
      </c>
      <c r="B11">
        <v>18982922</v>
      </c>
      <c r="C11">
        <v>2022</v>
      </c>
      <c r="D11" s="62">
        <v>44678</v>
      </c>
      <c r="E11">
        <v>8</v>
      </c>
      <c r="F11" t="s">
        <v>403</v>
      </c>
      <c r="G11" t="s">
        <v>319</v>
      </c>
      <c r="H11" t="s">
        <v>456</v>
      </c>
      <c r="I11" t="s">
        <v>409</v>
      </c>
      <c r="J11">
        <v>29.795364800000002</v>
      </c>
      <c r="K11">
        <v>-95.243723110000005</v>
      </c>
      <c r="L11" t="s">
        <v>321</v>
      </c>
      <c r="M11" t="s">
        <v>322</v>
      </c>
      <c r="N11" t="s">
        <v>422</v>
      </c>
      <c r="O11" t="s">
        <v>324</v>
      </c>
      <c r="P11" t="s">
        <v>421</v>
      </c>
      <c r="Q11" t="s">
        <v>330</v>
      </c>
      <c r="R11" t="s">
        <v>413</v>
      </c>
      <c r="S11">
        <v>0</v>
      </c>
      <c r="T11">
        <v>0</v>
      </c>
      <c r="U11">
        <v>0</v>
      </c>
      <c r="V11">
        <v>0</v>
      </c>
      <c r="W11">
        <v>0</v>
      </c>
      <c r="X11">
        <v>0</v>
      </c>
      <c r="Y11">
        <v>4</v>
      </c>
      <c r="Z11">
        <v>0</v>
      </c>
      <c r="AA11">
        <v>0</v>
      </c>
      <c r="AB11">
        <v>0</v>
      </c>
      <c r="AC11">
        <v>0</v>
      </c>
      <c r="AD11">
        <v>0</v>
      </c>
      <c r="AE11">
        <v>0</v>
      </c>
      <c r="AF11">
        <v>4</v>
      </c>
      <c r="AG11">
        <v>0</v>
      </c>
      <c r="AH11">
        <v>0</v>
      </c>
      <c r="AI11">
        <v>0</v>
      </c>
      <c r="AJ11">
        <v>0</v>
      </c>
      <c r="AK11">
        <v>0</v>
      </c>
      <c r="AL11">
        <v>0</v>
      </c>
      <c r="AM11">
        <v>0</v>
      </c>
      <c r="AN11">
        <v>0</v>
      </c>
      <c r="AO11">
        <v>0</v>
      </c>
      <c r="AP11">
        <v>0</v>
      </c>
      <c r="AQ11">
        <v>0</v>
      </c>
      <c r="AR11">
        <v>0</v>
      </c>
      <c r="AS11">
        <v>0</v>
      </c>
      <c r="AT11">
        <v>0</v>
      </c>
      <c r="AU11" t="s">
        <v>242</v>
      </c>
      <c r="AV11" t="s">
        <v>435</v>
      </c>
      <c r="AW11" t="s">
        <v>326</v>
      </c>
      <c r="AX11" t="s">
        <v>436</v>
      </c>
      <c r="AY11">
        <v>77013</v>
      </c>
      <c r="AZ11">
        <v>48201232500</v>
      </c>
      <c r="BA11" t="s">
        <v>327</v>
      </c>
      <c r="BB11" t="s">
        <v>328</v>
      </c>
      <c r="BC11">
        <v>113802</v>
      </c>
      <c r="BD11">
        <v>3101</v>
      </c>
      <c r="BE11" t="s">
        <v>405</v>
      </c>
      <c r="BF11" t="s">
        <v>405</v>
      </c>
      <c r="BG11" t="s">
        <v>405</v>
      </c>
      <c r="BH11">
        <v>9882</v>
      </c>
    </row>
    <row r="12" spans="1:60" x14ac:dyDescent="0.25">
      <c r="A12">
        <v>696111</v>
      </c>
      <c r="B12">
        <v>19561713</v>
      </c>
      <c r="C12">
        <v>2023</v>
      </c>
      <c r="D12" s="62">
        <v>45064</v>
      </c>
      <c r="E12">
        <v>11</v>
      </c>
      <c r="F12" t="s">
        <v>419</v>
      </c>
      <c r="G12" t="s">
        <v>319</v>
      </c>
      <c r="H12" t="s">
        <v>456</v>
      </c>
      <c r="I12" t="s">
        <v>407</v>
      </c>
      <c r="J12">
        <v>29.796354789999999</v>
      </c>
      <c r="K12">
        <v>-95.243013120000001</v>
      </c>
      <c r="L12" t="s">
        <v>321</v>
      </c>
      <c r="M12" t="s">
        <v>322</v>
      </c>
      <c r="N12" t="s">
        <v>323</v>
      </c>
      <c r="O12" t="s">
        <v>430</v>
      </c>
      <c r="P12" t="s">
        <v>421</v>
      </c>
      <c r="Q12" t="s">
        <v>330</v>
      </c>
      <c r="R12" t="s">
        <v>425</v>
      </c>
      <c r="S12">
        <v>0</v>
      </c>
      <c r="T12">
        <v>0</v>
      </c>
      <c r="U12">
        <v>0</v>
      </c>
      <c r="V12">
        <v>0</v>
      </c>
      <c r="W12">
        <v>0</v>
      </c>
      <c r="X12">
        <v>0</v>
      </c>
      <c r="Y12">
        <v>1</v>
      </c>
      <c r="Z12">
        <v>0</v>
      </c>
      <c r="AA12">
        <v>0</v>
      </c>
      <c r="AB12">
        <v>0</v>
      </c>
      <c r="AC12">
        <v>0</v>
      </c>
      <c r="AD12">
        <v>0</v>
      </c>
      <c r="AE12">
        <v>0</v>
      </c>
      <c r="AF12">
        <v>1</v>
      </c>
      <c r="AG12">
        <v>0</v>
      </c>
      <c r="AH12">
        <v>0</v>
      </c>
      <c r="AI12">
        <v>0</v>
      </c>
      <c r="AJ12">
        <v>0</v>
      </c>
      <c r="AK12">
        <v>0</v>
      </c>
      <c r="AL12">
        <v>0</v>
      </c>
      <c r="AM12">
        <v>0</v>
      </c>
      <c r="AN12">
        <v>0</v>
      </c>
      <c r="AO12">
        <v>0</v>
      </c>
      <c r="AP12">
        <v>0</v>
      </c>
      <c r="AQ12">
        <v>0</v>
      </c>
      <c r="AR12">
        <v>0</v>
      </c>
      <c r="AS12">
        <v>0</v>
      </c>
      <c r="AT12">
        <v>0</v>
      </c>
      <c r="AU12" t="s">
        <v>242</v>
      </c>
      <c r="AV12" t="s">
        <v>435</v>
      </c>
      <c r="AW12" t="s">
        <v>326</v>
      </c>
      <c r="AX12" t="s">
        <v>436</v>
      </c>
      <c r="AY12">
        <v>77013</v>
      </c>
      <c r="AZ12">
        <v>48201232500</v>
      </c>
      <c r="BA12" t="s">
        <v>327</v>
      </c>
      <c r="BB12" t="s">
        <v>328</v>
      </c>
      <c r="BC12">
        <v>113802</v>
      </c>
      <c r="BD12">
        <v>3101</v>
      </c>
      <c r="BE12" t="s">
        <v>405</v>
      </c>
      <c r="BF12" t="s">
        <v>405</v>
      </c>
      <c r="BG12" t="s">
        <v>405</v>
      </c>
      <c r="BH12">
        <v>9882</v>
      </c>
    </row>
    <row r="13" spans="1:60" x14ac:dyDescent="0.25">
      <c r="A13">
        <v>699567</v>
      </c>
      <c r="B13">
        <v>19575178</v>
      </c>
      <c r="C13">
        <v>2023</v>
      </c>
      <c r="D13" s="62">
        <v>45062</v>
      </c>
      <c r="E13">
        <v>7</v>
      </c>
      <c r="F13" t="s">
        <v>318</v>
      </c>
      <c r="G13" t="s">
        <v>319</v>
      </c>
      <c r="H13" t="s">
        <v>461</v>
      </c>
      <c r="I13" t="s">
        <v>320</v>
      </c>
      <c r="J13">
        <v>29.801493789999999</v>
      </c>
      <c r="K13">
        <v>-95.240557879999997</v>
      </c>
      <c r="L13" t="s">
        <v>417</v>
      </c>
      <c r="M13" t="s">
        <v>322</v>
      </c>
      <c r="N13" t="s">
        <v>418</v>
      </c>
      <c r="O13" t="s">
        <v>324</v>
      </c>
      <c r="P13" t="s">
        <v>428</v>
      </c>
      <c r="Q13" t="s">
        <v>330</v>
      </c>
      <c r="R13" t="s">
        <v>420</v>
      </c>
      <c r="S13">
        <v>0</v>
      </c>
      <c r="T13">
        <v>1</v>
      </c>
      <c r="U13">
        <v>0</v>
      </c>
      <c r="V13">
        <v>0</v>
      </c>
      <c r="W13">
        <v>1</v>
      </c>
      <c r="X13">
        <v>2</v>
      </c>
      <c r="Y13">
        <v>0</v>
      </c>
      <c r="Z13">
        <v>0</v>
      </c>
      <c r="AA13">
        <v>1</v>
      </c>
      <c r="AB13">
        <v>0</v>
      </c>
      <c r="AC13">
        <v>0</v>
      </c>
      <c r="AD13">
        <v>2</v>
      </c>
      <c r="AE13">
        <v>1</v>
      </c>
      <c r="AF13">
        <v>0</v>
      </c>
      <c r="AG13">
        <v>0</v>
      </c>
      <c r="AH13">
        <v>0</v>
      </c>
      <c r="AI13">
        <v>0</v>
      </c>
      <c r="AJ13">
        <v>0</v>
      </c>
      <c r="AK13">
        <v>0</v>
      </c>
      <c r="AL13">
        <v>0</v>
      </c>
      <c r="AM13">
        <v>0</v>
      </c>
      <c r="AN13">
        <v>0</v>
      </c>
      <c r="AO13">
        <v>0</v>
      </c>
      <c r="AP13">
        <v>0</v>
      </c>
      <c r="AQ13">
        <v>0</v>
      </c>
      <c r="AR13">
        <v>0</v>
      </c>
      <c r="AS13">
        <v>0</v>
      </c>
      <c r="AT13">
        <v>0</v>
      </c>
      <c r="AU13" t="s">
        <v>242</v>
      </c>
      <c r="AV13" t="s">
        <v>435</v>
      </c>
      <c r="AW13" t="s">
        <v>326</v>
      </c>
      <c r="AX13" t="s">
        <v>436</v>
      </c>
      <c r="AY13">
        <v>77013</v>
      </c>
      <c r="AZ13">
        <v>48201232500</v>
      </c>
      <c r="BA13" t="s">
        <v>327</v>
      </c>
      <c r="BB13" t="s">
        <v>328</v>
      </c>
      <c r="BC13">
        <v>114235</v>
      </c>
      <c r="BD13">
        <v>3101</v>
      </c>
      <c r="BE13" t="s">
        <v>439</v>
      </c>
      <c r="BF13" t="s">
        <v>405</v>
      </c>
      <c r="BG13" t="s">
        <v>405</v>
      </c>
      <c r="BH13">
        <v>9880</v>
      </c>
    </row>
    <row r="14" spans="1:60" x14ac:dyDescent="0.25">
      <c r="A14">
        <v>703910</v>
      </c>
      <c r="B14">
        <v>19591236</v>
      </c>
      <c r="C14">
        <v>2023</v>
      </c>
      <c r="D14" s="62">
        <v>45082</v>
      </c>
      <c r="E14">
        <v>8</v>
      </c>
      <c r="F14" t="s">
        <v>414</v>
      </c>
      <c r="G14" t="s">
        <v>319</v>
      </c>
      <c r="H14" t="s">
        <v>456</v>
      </c>
      <c r="I14" t="s">
        <v>416</v>
      </c>
      <c r="J14">
        <v>29.79822038</v>
      </c>
      <c r="K14">
        <v>-95.241510309999995</v>
      </c>
      <c r="L14" t="s">
        <v>321</v>
      </c>
      <c r="M14" t="s">
        <v>322</v>
      </c>
      <c r="N14" t="s">
        <v>418</v>
      </c>
      <c r="O14" t="s">
        <v>324</v>
      </c>
      <c r="P14" t="s">
        <v>411</v>
      </c>
      <c r="Q14" t="s">
        <v>325</v>
      </c>
      <c r="R14" t="s">
        <v>410</v>
      </c>
      <c r="S14">
        <v>0</v>
      </c>
      <c r="T14">
        <v>0</v>
      </c>
      <c r="U14">
        <v>0</v>
      </c>
      <c r="V14">
        <v>0</v>
      </c>
      <c r="W14">
        <v>0</v>
      </c>
      <c r="X14">
        <v>2</v>
      </c>
      <c r="Y14">
        <v>0</v>
      </c>
      <c r="Z14">
        <v>0</v>
      </c>
      <c r="AA14">
        <v>0</v>
      </c>
      <c r="AB14">
        <v>0</v>
      </c>
      <c r="AC14">
        <v>0</v>
      </c>
      <c r="AD14">
        <v>2</v>
      </c>
      <c r="AE14">
        <v>0</v>
      </c>
      <c r="AF14">
        <v>0</v>
      </c>
      <c r="AG14">
        <v>0</v>
      </c>
      <c r="AH14">
        <v>0</v>
      </c>
      <c r="AI14">
        <v>0</v>
      </c>
      <c r="AJ14">
        <v>0</v>
      </c>
      <c r="AK14">
        <v>0</v>
      </c>
      <c r="AL14">
        <v>0</v>
      </c>
      <c r="AM14">
        <v>0</v>
      </c>
      <c r="AN14">
        <v>0</v>
      </c>
      <c r="AO14">
        <v>0</v>
      </c>
      <c r="AP14">
        <v>0</v>
      </c>
      <c r="AQ14">
        <v>0</v>
      </c>
      <c r="AR14">
        <v>0</v>
      </c>
      <c r="AS14">
        <v>0</v>
      </c>
      <c r="AT14">
        <v>0</v>
      </c>
      <c r="AU14" t="s">
        <v>242</v>
      </c>
      <c r="AV14" t="s">
        <v>435</v>
      </c>
      <c r="AW14" t="s">
        <v>326</v>
      </c>
      <c r="AX14" t="s">
        <v>436</v>
      </c>
      <c r="AY14">
        <v>77013</v>
      </c>
      <c r="AZ14">
        <v>48201232500</v>
      </c>
      <c r="BA14" t="s">
        <v>327</v>
      </c>
      <c r="BB14" t="s">
        <v>328</v>
      </c>
      <c r="BC14">
        <v>113802</v>
      </c>
      <c r="BD14">
        <v>3101</v>
      </c>
      <c r="BE14" t="s">
        <v>439</v>
      </c>
      <c r="BF14" t="s">
        <v>444</v>
      </c>
      <c r="BG14" t="s">
        <v>405</v>
      </c>
      <c r="BH14">
        <v>9880</v>
      </c>
    </row>
    <row r="15" spans="1:60" x14ac:dyDescent="0.25">
      <c r="A15">
        <v>704609</v>
      </c>
      <c r="B15">
        <v>19593638</v>
      </c>
      <c r="C15">
        <v>2023</v>
      </c>
      <c r="D15" s="62">
        <v>45084</v>
      </c>
      <c r="E15">
        <v>11</v>
      </c>
      <c r="F15" t="s">
        <v>403</v>
      </c>
      <c r="G15" t="s">
        <v>319</v>
      </c>
      <c r="H15" t="s">
        <v>456</v>
      </c>
      <c r="I15" t="s">
        <v>320</v>
      </c>
      <c r="J15">
        <v>29.806893670000001</v>
      </c>
      <c r="K15">
        <v>-95.240513120000003</v>
      </c>
      <c r="L15" t="s">
        <v>321</v>
      </c>
      <c r="M15" t="s">
        <v>322</v>
      </c>
      <c r="N15" t="s">
        <v>418</v>
      </c>
      <c r="O15" t="s">
        <v>324</v>
      </c>
      <c r="P15" t="s">
        <v>411</v>
      </c>
      <c r="Q15" t="s">
        <v>325</v>
      </c>
      <c r="R15" t="s">
        <v>438</v>
      </c>
      <c r="S15">
        <v>0</v>
      </c>
      <c r="T15">
        <v>0</v>
      </c>
      <c r="U15">
        <v>0</v>
      </c>
      <c r="V15">
        <v>0</v>
      </c>
      <c r="W15">
        <v>0</v>
      </c>
      <c r="X15">
        <v>4</v>
      </c>
      <c r="Y15">
        <v>0</v>
      </c>
      <c r="Z15">
        <v>0</v>
      </c>
      <c r="AA15">
        <v>0</v>
      </c>
      <c r="AB15">
        <v>0</v>
      </c>
      <c r="AC15">
        <v>0</v>
      </c>
      <c r="AD15">
        <v>4</v>
      </c>
      <c r="AE15">
        <v>0</v>
      </c>
      <c r="AF15">
        <v>0</v>
      </c>
      <c r="AG15">
        <v>0</v>
      </c>
      <c r="AH15">
        <v>0</v>
      </c>
      <c r="AI15">
        <v>0</v>
      </c>
      <c r="AJ15">
        <v>0</v>
      </c>
      <c r="AK15">
        <v>0</v>
      </c>
      <c r="AL15">
        <v>0</v>
      </c>
      <c r="AM15">
        <v>0</v>
      </c>
      <c r="AN15">
        <v>0</v>
      </c>
      <c r="AO15">
        <v>0</v>
      </c>
      <c r="AP15">
        <v>0</v>
      </c>
      <c r="AQ15">
        <v>0</v>
      </c>
      <c r="AR15">
        <v>0</v>
      </c>
      <c r="AS15">
        <v>0</v>
      </c>
      <c r="AT15">
        <v>0</v>
      </c>
      <c r="AU15" t="s">
        <v>242</v>
      </c>
      <c r="AV15" t="s">
        <v>435</v>
      </c>
      <c r="AW15" t="s">
        <v>326</v>
      </c>
      <c r="AX15" t="s">
        <v>436</v>
      </c>
      <c r="AY15">
        <v>77013</v>
      </c>
      <c r="AZ15">
        <v>48201232500</v>
      </c>
      <c r="BA15" t="s">
        <v>327</v>
      </c>
      <c r="BB15" t="s">
        <v>328</v>
      </c>
      <c r="BC15">
        <v>114668</v>
      </c>
      <c r="BD15">
        <v>3101</v>
      </c>
      <c r="BE15" t="s">
        <v>405</v>
      </c>
      <c r="BF15" t="s">
        <v>405</v>
      </c>
      <c r="BG15" t="s">
        <v>405</v>
      </c>
      <c r="BH15">
        <v>9880</v>
      </c>
    </row>
    <row r="16" spans="1:60" x14ac:dyDescent="0.25">
      <c r="A16">
        <v>705954</v>
      </c>
      <c r="B16">
        <v>19598957</v>
      </c>
      <c r="C16">
        <v>2023</v>
      </c>
      <c r="D16" s="62">
        <v>45084</v>
      </c>
      <c r="E16">
        <v>11</v>
      </c>
      <c r="F16" t="s">
        <v>403</v>
      </c>
      <c r="G16" t="s">
        <v>319</v>
      </c>
      <c r="H16" t="s">
        <v>456</v>
      </c>
      <c r="I16" t="s">
        <v>416</v>
      </c>
      <c r="J16">
        <v>29.795170219999999</v>
      </c>
      <c r="K16">
        <v>-95.243896849999999</v>
      </c>
      <c r="L16" t="s">
        <v>321</v>
      </c>
      <c r="M16" t="s">
        <v>322</v>
      </c>
      <c r="N16" t="s">
        <v>418</v>
      </c>
      <c r="O16" t="s">
        <v>324</v>
      </c>
      <c r="P16" t="s">
        <v>411</v>
      </c>
      <c r="Q16" t="s">
        <v>330</v>
      </c>
      <c r="R16" t="s">
        <v>462</v>
      </c>
      <c r="S16">
        <v>0</v>
      </c>
      <c r="T16">
        <v>0</v>
      </c>
      <c r="U16">
        <v>0</v>
      </c>
      <c r="V16">
        <v>0</v>
      </c>
      <c r="W16">
        <v>0</v>
      </c>
      <c r="X16">
        <v>2</v>
      </c>
      <c r="Y16">
        <v>1</v>
      </c>
      <c r="Z16">
        <v>0</v>
      </c>
      <c r="AA16">
        <v>0</v>
      </c>
      <c r="AB16">
        <v>0</v>
      </c>
      <c r="AC16">
        <v>0</v>
      </c>
      <c r="AD16">
        <v>2</v>
      </c>
      <c r="AE16">
        <v>0</v>
      </c>
      <c r="AF16">
        <v>1</v>
      </c>
      <c r="AG16">
        <v>0</v>
      </c>
      <c r="AH16">
        <v>0</v>
      </c>
      <c r="AI16">
        <v>0</v>
      </c>
      <c r="AJ16">
        <v>0</v>
      </c>
      <c r="AK16">
        <v>0</v>
      </c>
      <c r="AL16">
        <v>0</v>
      </c>
      <c r="AM16">
        <v>0</v>
      </c>
      <c r="AN16">
        <v>0</v>
      </c>
      <c r="AO16">
        <v>0</v>
      </c>
      <c r="AP16">
        <v>0</v>
      </c>
      <c r="AQ16">
        <v>0</v>
      </c>
      <c r="AR16">
        <v>0</v>
      </c>
      <c r="AS16">
        <v>0</v>
      </c>
      <c r="AT16">
        <v>0</v>
      </c>
      <c r="AU16" t="s">
        <v>242</v>
      </c>
      <c r="AV16" t="s">
        <v>435</v>
      </c>
      <c r="AW16" t="s">
        <v>326</v>
      </c>
      <c r="AX16" t="s">
        <v>436</v>
      </c>
      <c r="AY16">
        <v>77013</v>
      </c>
      <c r="AZ16">
        <v>48201232500</v>
      </c>
      <c r="BA16" t="s">
        <v>327</v>
      </c>
      <c r="BB16" t="s">
        <v>328</v>
      </c>
      <c r="BC16">
        <v>113802</v>
      </c>
      <c r="BD16">
        <v>8664</v>
      </c>
      <c r="BE16" t="s">
        <v>439</v>
      </c>
      <c r="BF16" t="s">
        <v>405</v>
      </c>
      <c r="BG16" t="s">
        <v>405</v>
      </c>
      <c r="BH16">
        <v>9882</v>
      </c>
    </row>
    <row r="17" spans="1:60" x14ac:dyDescent="0.25">
      <c r="A17">
        <v>737262</v>
      </c>
      <c r="B17">
        <v>19720243</v>
      </c>
      <c r="C17">
        <v>2023</v>
      </c>
      <c r="D17" s="62">
        <v>45162</v>
      </c>
      <c r="E17">
        <v>8</v>
      </c>
      <c r="F17" t="s">
        <v>419</v>
      </c>
      <c r="G17" t="s">
        <v>319</v>
      </c>
      <c r="H17" t="s">
        <v>456</v>
      </c>
      <c r="I17" t="s">
        <v>409</v>
      </c>
      <c r="J17">
        <v>29.806907379999998</v>
      </c>
      <c r="K17">
        <v>-95.240513120000003</v>
      </c>
      <c r="L17" t="s">
        <v>321</v>
      </c>
      <c r="M17" t="s">
        <v>322</v>
      </c>
      <c r="N17" t="s">
        <v>323</v>
      </c>
      <c r="O17" t="s">
        <v>324</v>
      </c>
      <c r="P17" t="s">
        <v>408</v>
      </c>
      <c r="Q17" t="s">
        <v>329</v>
      </c>
      <c r="R17" t="s">
        <v>429</v>
      </c>
      <c r="S17">
        <v>0</v>
      </c>
      <c r="T17">
        <v>0</v>
      </c>
      <c r="U17">
        <v>1</v>
      </c>
      <c r="V17">
        <v>0</v>
      </c>
      <c r="W17">
        <v>1</v>
      </c>
      <c r="X17">
        <v>1</v>
      </c>
      <c r="Y17">
        <v>1</v>
      </c>
      <c r="Z17">
        <v>0</v>
      </c>
      <c r="AA17">
        <v>0</v>
      </c>
      <c r="AB17">
        <v>1</v>
      </c>
      <c r="AC17">
        <v>0</v>
      </c>
      <c r="AD17">
        <v>1</v>
      </c>
      <c r="AE17">
        <v>1</v>
      </c>
      <c r="AF17">
        <v>1</v>
      </c>
      <c r="AG17">
        <v>0</v>
      </c>
      <c r="AH17">
        <v>0</v>
      </c>
      <c r="AI17">
        <v>0</v>
      </c>
      <c r="AJ17">
        <v>0</v>
      </c>
      <c r="AK17">
        <v>0</v>
      </c>
      <c r="AL17">
        <v>0</v>
      </c>
      <c r="AM17">
        <v>0</v>
      </c>
      <c r="AN17">
        <v>0</v>
      </c>
      <c r="AO17">
        <v>0</v>
      </c>
      <c r="AP17">
        <v>0</v>
      </c>
      <c r="AQ17">
        <v>0</v>
      </c>
      <c r="AR17">
        <v>0</v>
      </c>
      <c r="AS17">
        <v>0</v>
      </c>
      <c r="AT17">
        <v>0</v>
      </c>
      <c r="AU17" t="s">
        <v>242</v>
      </c>
      <c r="AV17" t="s">
        <v>435</v>
      </c>
      <c r="AW17" t="s">
        <v>326</v>
      </c>
      <c r="AX17" t="s">
        <v>436</v>
      </c>
      <c r="AY17">
        <v>77013</v>
      </c>
      <c r="AZ17">
        <v>48201232500</v>
      </c>
      <c r="BA17" t="s">
        <v>327</v>
      </c>
      <c r="BB17" t="s">
        <v>328</v>
      </c>
      <c r="BC17">
        <v>114668</v>
      </c>
      <c r="BD17">
        <v>3101</v>
      </c>
      <c r="BE17" t="s">
        <v>405</v>
      </c>
      <c r="BF17" t="s">
        <v>405</v>
      </c>
      <c r="BG17" t="s">
        <v>405</v>
      </c>
      <c r="BH17">
        <v>9880</v>
      </c>
    </row>
    <row r="18" spans="1:60" x14ac:dyDescent="0.25">
      <c r="A18">
        <v>747473</v>
      </c>
      <c r="B18">
        <v>19759147</v>
      </c>
      <c r="C18">
        <v>2023</v>
      </c>
      <c r="D18" s="62">
        <v>45184</v>
      </c>
      <c r="E18">
        <v>23</v>
      </c>
      <c r="F18" t="s">
        <v>415</v>
      </c>
      <c r="G18" t="s">
        <v>319</v>
      </c>
      <c r="H18" t="s">
        <v>456</v>
      </c>
      <c r="I18" t="s">
        <v>427</v>
      </c>
      <c r="J18">
        <v>29.80518601</v>
      </c>
      <c r="K18">
        <v>-95.240494740000003</v>
      </c>
      <c r="L18" t="s">
        <v>321</v>
      </c>
      <c r="M18" t="s">
        <v>437</v>
      </c>
      <c r="N18" t="s">
        <v>323</v>
      </c>
      <c r="O18" t="s">
        <v>441</v>
      </c>
      <c r="P18" t="s">
        <v>421</v>
      </c>
      <c r="Q18" t="s">
        <v>330</v>
      </c>
      <c r="R18" t="s">
        <v>420</v>
      </c>
      <c r="S18">
        <v>0</v>
      </c>
      <c r="T18">
        <v>0</v>
      </c>
      <c r="U18">
        <v>0</v>
      </c>
      <c r="V18">
        <v>0</v>
      </c>
      <c r="W18">
        <v>0</v>
      </c>
      <c r="X18">
        <v>0</v>
      </c>
      <c r="Y18">
        <v>1</v>
      </c>
      <c r="Z18">
        <v>0</v>
      </c>
      <c r="AA18">
        <v>0</v>
      </c>
      <c r="AB18">
        <v>0</v>
      </c>
      <c r="AC18">
        <v>0</v>
      </c>
      <c r="AD18">
        <v>0</v>
      </c>
      <c r="AE18">
        <v>0</v>
      </c>
      <c r="AF18">
        <v>1</v>
      </c>
      <c r="AG18">
        <v>0</v>
      </c>
      <c r="AH18">
        <v>0</v>
      </c>
      <c r="AI18">
        <v>0</v>
      </c>
      <c r="AJ18">
        <v>0</v>
      </c>
      <c r="AK18">
        <v>0</v>
      </c>
      <c r="AL18">
        <v>0</v>
      </c>
      <c r="AM18">
        <v>0</v>
      </c>
      <c r="AN18">
        <v>0</v>
      </c>
      <c r="AO18">
        <v>0</v>
      </c>
      <c r="AP18">
        <v>0</v>
      </c>
      <c r="AQ18">
        <v>0</v>
      </c>
      <c r="AR18">
        <v>0</v>
      </c>
      <c r="AS18">
        <v>0</v>
      </c>
      <c r="AT18">
        <v>0</v>
      </c>
      <c r="AU18" t="s">
        <v>242</v>
      </c>
      <c r="AV18" t="s">
        <v>435</v>
      </c>
      <c r="AW18" t="s">
        <v>326</v>
      </c>
      <c r="AX18" t="s">
        <v>436</v>
      </c>
      <c r="AY18">
        <v>77013</v>
      </c>
      <c r="AZ18">
        <v>48201232500</v>
      </c>
      <c r="BA18" t="s">
        <v>327</v>
      </c>
      <c r="BB18" t="s">
        <v>328</v>
      </c>
      <c r="BC18">
        <v>114235</v>
      </c>
      <c r="BD18">
        <v>3101</v>
      </c>
      <c r="BE18" t="s">
        <v>405</v>
      </c>
      <c r="BF18" t="s">
        <v>405</v>
      </c>
      <c r="BG18" t="s">
        <v>405</v>
      </c>
      <c r="BH18">
        <v>9880</v>
      </c>
    </row>
    <row r="19" spans="1:60" x14ac:dyDescent="0.25">
      <c r="A19">
        <v>774076</v>
      </c>
      <c r="B19">
        <v>19861766</v>
      </c>
      <c r="C19">
        <v>2023</v>
      </c>
      <c r="D19" s="62">
        <v>45240</v>
      </c>
      <c r="E19">
        <v>8</v>
      </c>
      <c r="F19" t="s">
        <v>415</v>
      </c>
      <c r="G19" t="s">
        <v>319</v>
      </c>
      <c r="H19" t="s">
        <v>456</v>
      </c>
      <c r="I19" t="s">
        <v>427</v>
      </c>
      <c r="J19">
        <v>29.819574790000001</v>
      </c>
      <c r="K19">
        <v>-95.24059312</v>
      </c>
      <c r="L19" t="s">
        <v>321</v>
      </c>
      <c r="M19" t="s">
        <v>322</v>
      </c>
      <c r="N19" t="s">
        <v>422</v>
      </c>
      <c r="O19" t="s">
        <v>324</v>
      </c>
      <c r="P19" t="s">
        <v>411</v>
      </c>
      <c r="Q19" t="s">
        <v>329</v>
      </c>
      <c r="R19" t="s">
        <v>404</v>
      </c>
      <c r="S19">
        <v>0</v>
      </c>
      <c r="T19">
        <v>0</v>
      </c>
      <c r="U19">
        <v>0</v>
      </c>
      <c r="V19">
        <v>0</v>
      </c>
      <c r="W19">
        <v>0</v>
      </c>
      <c r="X19">
        <v>3</v>
      </c>
      <c r="Y19">
        <v>1</v>
      </c>
      <c r="Z19">
        <v>0</v>
      </c>
      <c r="AA19">
        <v>0</v>
      </c>
      <c r="AB19">
        <v>0</v>
      </c>
      <c r="AC19">
        <v>0</v>
      </c>
      <c r="AD19">
        <v>3</v>
      </c>
      <c r="AE19">
        <v>0</v>
      </c>
      <c r="AF19">
        <v>1</v>
      </c>
      <c r="AG19">
        <v>0</v>
      </c>
      <c r="AH19">
        <v>0</v>
      </c>
      <c r="AI19">
        <v>0</v>
      </c>
      <c r="AJ19">
        <v>0</v>
      </c>
      <c r="AK19">
        <v>0</v>
      </c>
      <c r="AL19">
        <v>0</v>
      </c>
      <c r="AM19">
        <v>0</v>
      </c>
      <c r="AN19">
        <v>0</v>
      </c>
      <c r="AO19">
        <v>0</v>
      </c>
      <c r="AP19">
        <v>0</v>
      </c>
      <c r="AQ19">
        <v>0</v>
      </c>
      <c r="AR19">
        <v>0</v>
      </c>
      <c r="AS19">
        <v>0</v>
      </c>
      <c r="AT19">
        <v>0</v>
      </c>
      <c r="AU19" t="s">
        <v>242</v>
      </c>
      <c r="AV19" t="s">
        <v>435</v>
      </c>
      <c r="AW19" t="s">
        <v>326</v>
      </c>
      <c r="AX19" t="s">
        <v>436</v>
      </c>
      <c r="AY19">
        <v>77013</v>
      </c>
      <c r="AZ19">
        <v>48201232500</v>
      </c>
      <c r="BA19" t="s">
        <v>327</v>
      </c>
      <c r="BB19" t="s">
        <v>328</v>
      </c>
      <c r="BC19">
        <v>115534</v>
      </c>
      <c r="BD19">
        <v>3101</v>
      </c>
      <c r="BE19" t="s">
        <v>442</v>
      </c>
      <c r="BF19" t="s">
        <v>405</v>
      </c>
      <c r="BG19" t="s">
        <v>405</v>
      </c>
      <c r="BH19">
        <v>10028</v>
      </c>
    </row>
    <row r="1328" customFormat="1" ht="13.9"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16"/>
  <sheetViews>
    <sheetView workbookViewId="0">
      <selection activeCell="A2" sqref="A2:XFD2"/>
    </sheetView>
  </sheetViews>
  <sheetFormatPr defaultRowHeight="15" x14ac:dyDescent="0.25"/>
  <cols>
    <col min="24" max="24" width="13.7109375" customWidth="1"/>
    <col min="25" max="25" width="18.85546875" customWidth="1"/>
    <col min="26" max="26" width="17.7109375" customWidth="1"/>
  </cols>
  <sheetData>
    <row r="1" spans="1:27" x14ac:dyDescent="0.25">
      <c r="A1" t="s">
        <v>262</v>
      </c>
      <c r="B1" t="s">
        <v>316</v>
      </c>
      <c r="C1" t="s">
        <v>355</v>
      </c>
      <c r="D1" t="s">
        <v>356</v>
      </c>
      <c r="E1" t="s">
        <v>357</v>
      </c>
      <c r="F1" t="s">
        <v>371</v>
      </c>
      <c r="G1" t="s">
        <v>372</v>
      </c>
      <c r="H1" t="s">
        <v>373</v>
      </c>
      <c r="I1" t="s">
        <v>374</v>
      </c>
      <c r="J1" t="s">
        <v>375</v>
      </c>
      <c r="K1" t="s">
        <v>351</v>
      </c>
      <c r="L1" t="s">
        <v>352</v>
      </c>
      <c r="M1" t="s">
        <v>353</v>
      </c>
      <c r="N1" t="s">
        <v>354</v>
      </c>
      <c r="O1" t="s">
        <v>358</v>
      </c>
      <c r="P1" t="s">
        <v>359</v>
      </c>
      <c r="Q1" t="s">
        <v>360</v>
      </c>
      <c r="R1" t="s">
        <v>361</v>
      </c>
      <c r="S1" t="s">
        <v>362</v>
      </c>
      <c r="T1" t="s">
        <v>363</v>
      </c>
      <c r="U1" t="s">
        <v>364</v>
      </c>
      <c r="V1" t="s">
        <v>365</v>
      </c>
      <c r="W1" t="s">
        <v>366</v>
      </c>
      <c r="X1" t="s">
        <v>367</v>
      </c>
      <c r="Y1" t="s">
        <v>368</v>
      </c>
      <c r="Z1" t="s">
        <v>369</v>
      </c>
      <c r="AA1" t="s">
        <v>370</v>
      </c>
    </row>
    <row r="2" spans="1:27" x14ac:dyDescent="0.25">
      <c r="A2">
        <v>1933</v>
      </c>
      <c r="B2">
        <v>58882</v>
      </c>
      <c r="C2">
        <v>1</v>
      </c>
      <c r="D2">
        <v>0</v>
      </c>
      <c r="E2">
        <v>0</v>
      </c>
      <c r="F2" s="229" t="s">
        <v>463</v>
      </c>
      <c r="G2" s="229" t="s">
        <v>464</v>
      </c>
      <c r="H2" s="229" t="s">
        <v>465</v>
      </c>
      <c r="I2" s="229" t="s">
        <v>466</v>
      </c>
      <c r="J2" s="229" t="s">
        <v>467</v>
      </c>
      <c r="K2">
        <v>20</v>
      </c>
      <c r="L2">
        <v>20</v>
      </c>
      <c r="M2">
        <v>0</v>
      </c>
      <c r="N2">
        <v>0</v>
      </c>
      <c r="O2">
        <v>1</v>
      </c>
      <c r="P2">
        <v>1</v>
      </c>
      <c r="Q2">
        <v>1</v>
      </c>
      <c r="R2">
        <v>1</v>
      </c>
      <c r="S2">
        <v>1</v>
      </c>
      <c r="T2">
        <v>1</v>
      </c>
      <c r="U2">
        <v>1</v>
      </c>
      <c r="V2">
        <v>1</v>
      </c>
      <c r="W2">
        <v>1</v>
      </c>
      <c r="X2">
        <v>2</v>
      </c>
      <c r="Y2">
        <v>2</v>
      </c>
      <c r="Z2">
        <v>2</v>
      </c>
      <c r="AA2">
        <v>2</v>
      </c>
    </row>
    <row r="3" spans="1:27" x14ac:dyDescent="0.25">
      <c r="A3">
        <v>8177</v>
      </c>
      <c r="B3">
        <v>58002</v>
      </c>
      <c r="C3">
        <v>1</v>
      </c>
      <c r="D3">
        <v>0</v>
      </c>
      <c r="E3">
        <v>0</v>
      </c>
      <c r="F3" s="229" t="s">
        <v>468</v>
      </c>
      <c r="G3" s="229" t="s">
        <v>469</v>
      </c>
      <c r="H3" s="229" t="s">
        <v>470</v>
      </c>
      <c r="I3" s="229" t="s">
        <v>471</v>
      </c>
      <c r="J3" s="229" t="s">
        <v>472</v>
      </c>
      <c r="K3">
        <v>13</v>
      </c>
      <c r="L3">
        <v>13</v>
      </c>
      <c r="M3">
        <v>0</v>
      </c>
      <c r="N3">
        <v>0</v>
      </c>
      <c r="O3">
        <v>1</v>
      </c>
      <c r="P3">
        <v>1</v>
      </c>
      <c r="Q3">
        <v>1</v>
      </c>
      <c r="R3">
        <v>1</v>
      </c>
      <c r="S3">
        <v>1</v>
      </c>
      <c r="T3">
        <v>1</v>
      </c>
      <c r="U3">
        <v>1</v>
      </c>
      <c r="V3">
        <v>1</v>
      </c>
      <c r="W3">
        <v>1</v>
      </c>
      <c r="X3">
        <v>2</v>
      </c>
      <c r="Y3">
        <v>2</v>
      </c>
      <c r="Z3">
        <v>2</v>
      </c>
      <c r="AA3">
        <v>2</v>
      </c>
    </row>
    <row r="4" spans="1:27" x14ac:dyDescent="0.25">
      <c r="A4">
        <v>8386</v>
      </c>
      <c r="B4">
        <v>58442</v>
      </c>
      <c r="C4">
        <v>1</v>
      </c>
      <c r="D4">
        <v>0</v>
      </c>
      <c r="E4">
        <v>0</v>
      </c>
      <c r="F4" s="229" t="s">
        <v>473</v>
      </c>
      <c r="G4">
        <v>9.5305204055197006</v>
      </c>
      <c r="H4" s="229" t="s">
        <v>474</v>
      </c>
      <c r="I4" s="229" t="s">
        <v>475</v>
      </c>
      <c r="J4" s="229" t="s">
        <v>476</v>
      </c>
      <c r="K4">
        <v>130</v>
      </c>
      <c r="L4">
        <v>130</v>
      </c>
      <c r="M4">
        <v>0</v>
      </c>
      <c r="N4">
        <v>0</v>
      </c>
      <c r="O4">
        <v>4</v>
      </c>
      <c r="P4">
        <v>5</v>
      </c>
      <c r="Q4">
        <v>5</v>
      </c>
      <c r="R4">
        <v>3</v>
      </c>
      <c r="S4">
        <v>3</v>
      </c>
      <c r="T4">
        <v>3</v>
      </c>
      <c r="U4">
        <v>3</v>
      </c>
      <c r="V4">
        <v>3</v>
      </c>
      <c r="W4">
        <v>3</v>
      </c>
      <c r="X4">
        <v>6</v>
      </c>
      <c r="Y4">
        <v>6</v>
      </c>
      <c r="Z4">
        <v>6</v>
      </c>
      <c r="AA4">
        <v>6</v>
      </c>
    </row>
    <row r="5" spans="1:27" x14ac:dyDescent="0.25">
      <c r="A5">
        <v>8387</v>
      </c>
      <c r="B5">
        <v>58441</v>
      </c>
      <c r="C5">
        <v>1</v>
      </c>
      <c r="D5">
        <v>0</v>
      </c>
      <c r="E5">
        <v>0</v>
      </c>
      <c r="F5" s="229" t="s">
        <v>477</v>
      </c>
      <c r="G5" s="229" t="s">
        <v>478</v>
      </c>
      <c r="H5" s="229" t="s">
        <v>479</v>
      </c>
      <c r="I5">
        <v>7428.6599382928998</v>
      </c>
      <c r="J5" s="229" t="s">
        <v>480</v>
      </c>
      <c r="K5">
        <v>8</v>
      </c>
      <c r="L5">
        <v>8</v>
      </c>
      <c r="M5">
        <v>0</v>
      </c>
      <c r="N5">
        <v>0</v>
      </c>
      <c r="O5">
        <v>1</v>
      </c>
      <c r="P5">
        <v>1</v>
      </c>
      <c r="Q5">
        <v>1</v>
      </c>
      <c r="R5">
        <v>1</v>
      </c>
      <c r="S5">
        <v>1</v>
      </c>
      <c r="T5">
        <v>1</v>
      </c>
      <c r="U5">
        <v>1</v>
      </c>
      <c r="V5">
        <v>1</v>
      </c>
      <c r="W5">
        <v>1</v>
      </c>
      <c r="X5">
        <v>2</v>
      </c>
      <c r="Y5">
        <v>2</v>
      </c>
      <c r="Z5">
        <v>2</v>
      </c>
      <c r="AA5">
        <v>2</v>
      </c>
    </row>
    <row r="6" spans="1:27" x14ac:dyDescent="0.25">
      <c r="A6">
        <v>8475</v>
      </c>
      <c r="B6">
        <v>58881</v>
      </c>
      <c r="C6">
        <v>1</v>
      </c>
      <c r="D6">
        <v>0</v>
      </c>
      <c r="E6">
        <v>0</v>
      </c>
      <c r="F6">
        <v>2.2953335372568599E-2</v>
      </c>
      <c r="G6" s="229" t="s">
        <v>481</v>
      </c>
      <c r="H6" s="229" t="s">
        <v>482</v>
      </c>
      <c r="I6" s="229" t="s">
        <v>483</v>
      </c>
      <c r="J6" s="229" t="s">
        <v>484</v>
      </c>
      <c r="K6">
        <v>1</v>
      </c>
      <c r="L6">
        <v>1</v>
      </c>
      <c r="M6">
        <v>0</v>
      </c>
      <c r="N6">
        <v>0</v>
      </c>
      <c r="O6">
        <v>1</v>
      </c>
      <c r="P6">
        <v>1</v>
      </c>
      <c r="Q6">
        <v>1</v>
      </c>
      <c r="R6">
        <v>1</v>
      </c>
      <c r="S6">
        <v>1</v>
      </c>
      <c r="T6">
        <v>1</v>
      </c>
      <c r="U6">
        <v>1</v>
      </c>
      <c r="V6">
        <v>1</v>
      </c>
      <c r="W6">
        <v>1</v>
      </c>
      <c r="X6">
        <v>2</v>
      </c>
      <c r="Y6">
        <v>2</v>
      </c>
      <c r="Z6">
        <v>2</v>
      </c>
      <c r="AA6">
        <v>2</v>
      </c>
    </row>
    <row r="7" spans="1:27" x14ac:dyDescent="0.25">
      <c r="A7">
        <v>38945</v>
      </c>
      <c r="B7">
        <v>58001</v>
      </c>
      <c r="C7">
        <v>1</v>
      </c>
      <c r="D7">
        <v>0</v>
      </c>
      <c r="E7">
        <v>0</v>
      </c>
      <c r="F7">
        <v>0.16799143239199499</v>
      </c>
      <c r="G7" s="229" t="s">
        <v>485</v>
      </c>
      <c r="H7" s="229" t="s">
        <v>486</v>
      </c>
      <c r="I7" s="229" t="s">
        <v>487</v>
      </c>
      <c r="J7" s="229" t="s">
        <v>488</v>
      </c>
      <c r="K7">
        <v>13</v>
      </c>
      <c r="L7">
        <v>13</v>
      </c>
      <c r="M7">
        <v>0</v>
      </c>
      <c r="N7">
        <v>0</v>
      </c>
      <c r="O7">
        <v>1</v>
      </c>
      <c r="P7">
        <v>1</v>
      </c>
      <c r="Q7">
        <v>1</v>
      </c>
      <c r="R7">
        <v>1</v>
      </c>
      <c r="S7">
        <v>1</v>
      </c>
      <c r="T7">
        <v>1</v>
      </c>
      <c r="U7">
        <v>1</v>
      </c>
      <c r="V7">
        <v>1</v>
      </c>
      <c r="W7">
        <v>1</v>
      </c>
      <c r="X7">
        <v>2</v>
      </c>
      <c r="Y7">
        <v>2</v>
      </c>
      <c r="Z7">
        <v>2</v>
      </c>
      <c r="AA7">
        <v>2</v>
      </c>
    </row>
    <row r="8" spans="1:27" x14ac:dyDescent="0.25">
      <c r="A8">
        <v>38948</v>
      </c>
      <c r="B8">
        <v>163381</v>
      </c>
      <c r="C8">
        <v>1</v>
      </c>
      <c r="D8">
        <v>0</v>
      </c>
      <c r="E8">
        <v>0</v>
      </c>
      <c r="F8" s="229" t="s">
        <v>489</v>
      </c>
      <c r="G8" s="229" t="s">
        <v>490</v>
      </c>
      <c r="H8" s="229" t="s">
        <v>491</v>
      </c>
      <c r="I8" s="229" t="s">
        <v>492</v>
      </c>
      <c r="J8" s="229" t="s">
        <v>493</v>
      </c>
      <c r="K8">
        <v>13</v>
      </c>
      <c r="L8">
        <v>13</v>
      </c>
      <c r="M8">
        <v>0</v>
      </c>
      <c r="N8">
        <v>0</v>
      </c>
      <c r="O8">
        <v>1</v>
      </c>
      <c r="P8">
        <v>1</v>
      </c>
      <c r="Q8">
        <v>1</v>
      </c>
      <c r="R8">
        <v>1</v>
      </c>
      <c r="S8">
        <v>1</v>
      </c>
      <c r="T8">
        <v>1</v>
      </c>
      <c r="U8">
        <v>1</v>
      </c>
      <c r="V8">
        <v>1</v>
      </c>
      <c r="W8">
        <v>1</v>
      </c>
      <c r="X8">
        <v>2</v>
      </c>
      <c r="Y8">
        <v>2</v>
      </c>
      <c r="Z8">
        <v>2</v>
      </c>
      <c r="AA8">
        <v>2</v>
      </c>
    </row>
    <row r="9" spans="1:27" x14ac:dyDescent="0.25">
      <c r="A9">
        <v>38950</v>
      </c>
      <c r="B9">
        <v>163161</v>
      </c>
      <c r="C9">
        <v>1</v>
      </c>
      <c r="D9">
        <v>0</v>
      </c>
      <c r="E9">
        <v>0</v>
      </c>
      <c r="F9" s="229" t="s">
        <v>494</v>
      </c>
      <c r="G9" s="229" t="s">
        <v>495</v>
      </c>
      <c r="H9" s="229" t="s">
        <v>496</v>
      </c>
      <c r="I9" s="229" t="s">
        <v>497</v>
      </c>
      <c r="J9" s="229" t="s">
        <v>498</v>
      </c>
      <c r="K9">
        <v>11</v>
      </c>
      <c r="L9">
        <v>11</v>
      </c>
      <c r="M9">
        <v>0</v>
      </c>
      <c r="N9">
        <v>0</v>
      </c>
      <c r="O9">
        <v>2</v>
      </c>
      <c r="P9">
        <v>1</v>
      </c>
      <c r="Q9">
        <v>1</v>
      </c>
      <c r="R9">
        <v>1</v>
      </c>
      <c r="S9">
        <v>1</v>
      </c>
      <c r="T9">
        <v>1</v>
      </c>
      <c r="U9">
        <v>1</v>
      </c>
      <c r="V9">
        <v>1</v>
      </c>
      <c r="W9">
        <v>1</v>
      </c>
      <c r="X9">
        <v>2</v>
      </c>
      <c r="Y9">
        <v>2</v>
      </c>
      <c r="Z9">
        <v>2</v>
      </c>
      <c r="AA9">
        <v>2</v>
      </c>
    </row>
    <row r="10" spans="1:27" x14ac:dyDescent="0.25">
      <c r="A10">
        <v>39426</v>
      </c>
      <c r="B10">
        <v>163821</v>
      </c>
      <c r="C10">
        <v>1</v>
      </c>
      <c r="D10">
        <v>0</v>
      </c>
      <c r="E10">
        <v>0</v>
      </c>
      <c r="F10" s="229" t="s">
        <v>499</v>
      </c>
      <c r="G10" s="229" t="s">
        <v>500</v>
      </c>
      <c r="H10" s="229" t="s">
        <v>501</v>
      </c>
      <c r="I10" s="229" t="s">
        <v>502</v>
      </c>
      <c r="J10">
        <v>3982633.6946644499</v>
      </c>
      <c r="K10">
        <v>54</v>
      </c>
      <c r="L10">
        <v>54</v>
      </c>
      <c r="M10">
        <v>0</v>
      </c>
      <c r="N10">
        <v>0</v>
      </c>
      <c r="O10">
        <v>2</v>
      </c>
      <c r="P10">
        <v>3</v>
      </c>
      <c r="Q10">
        <v>3</v>
      </c>
      <c r="R10">
        <v>1</v>
      </c>
      <c r="S10">
        <v>1</v>
      </c>
      <c r="T10">
        <v>1</v>
      </c>
      <c r="U10">
        <v>2</v>
      </c>
      <c r="V10">
        <v>1</v>
      </c>
      <c r="W10">
        <v>2</v>
      </c>
      <c r="X10">
        <v>2</v>
      </c>
      <c r="Y10">
        <v>4</v>
      </c>
      <c r="Z10">
        <v>2</v>
      </c>
      <c r="AA10">
        <v>4</v>
      </c>
    </row>
    <row r="11" spans="1:27" x14ac:dyDescent="0.25">
      <c r="A11">
        <v>39428</v>
      </c>
      <c r="B11">
        <v>163601</v>
      </c>
      <c r="C11">
        <v>1</v>
      </c>
      <c r="D11">
        <v>0</v>
      </c>
      <c r="E11">
        <v>0</v>
      </c>
      <c r="F11" s="229" t="s">
        <v>503</v>
      </c>
      <c r="G11" s="229" t="s">
        <v>504</v>
      </c>
      <c r="H11" s="229" t="s">
        <v>505</v>
      </c>
      <c r="I11" s="229" t="s">
        <v>506</v>
      </c>
      <c r="J11" s="229" t="s">
        <v>507</v>
      </c>
      <c r="K11">
        <v>10</v>
      </c>
      <c r="L11">
        <v>10</v>
      </c>
      <c r="M11">
        <v>0</v>
      </c>
      <c r="N11">
        <v>0</v>
      </c>
      <c r="O11">
        <v>1</v>
      </c>
      <c r="P11">
        <v>1</v>
      </c>
      <c r="Q11">
        <v>1</v>
      </c>
      <c r="R11">
        <v>1</v>
      </c>
      <c r="S11">
        <v>1</v>
      </c>
      <c r="T11">
        <v>1</v>
      </c>
      <c r="U11">
        <v>1</v>
      </c>
      <c r="V11">
        <v>1</v>
      </c>
      <c r="W11">
        <v>1</v>
      </c>
      <c r="X11">
        <v>2</v>
      </c>
      <c r="Y11">
        <v>2</v>
      </c>
      <c r="Z11">
        <v>2</v>
      </c>
      <c r="AA11">
        <v>2</v>
      </c>
    </row>
    <row r="12" spans="1:27" x14ac:dyDescent="0.25">
      <c r="A12">
        <v>39429</v>
      </c>
      <c r="B12">
        <v>58222</v>
      </c>
      <c r="C12">
        <v>1</v>
      </c>
      <c r="D12">
        <v>0</v>
      </c>
      <c r="E12">
        <v>0</v>
      </c>
      <c r="F12" s="229" t="s">
        <v>508</v>
      </c>
      <c r="G12" s="229" t="s">
        <v>509</v>
      </c>
      <c r="H12" s="229" t="s">
        <v>510</v>
      </c>
      <c r="I12" s="229" t="s">
        <v>511</v>
      </c>
      <c r="J12" s="229" t="s">
        <v>512</v>
      </c>
      <c r="K12">
        <v>20</v>
      </c>
      <c r="L12">
        <v>20</v>
      </c>
      <c r="M12">
        <v>0</v>
      </c>
      <c r="N12">
        <v>0</v>
      </c>
      <c r="O12">
        <v>1</v>
      </c>
      <c r="P12">
        <v>1</v>
      </c>
      <c r="Q12">
        <v>1</v>
      </c>
      <c r="R12">
        <v>1</v>
      </c>
      <c r="S12">
        <v>1</v>
      </c>
      <c r="T12">
        <v>1</v>
      </c>
      <c r="U12">
        <v>1</v>
      </c>
      <c r="V12">
        <v>1</v>
      </c>
      <c r="W12">
        <v>1</v>
      </c>
      <c r="X12">
        <v>2</v>
      </c>
      <c r="Y12">
        <v>2</v>
      </c>
      <c r="Z12">
        <v>2</v>
      </c>
      <c r="AA12">
        <v>2</v>
      </c>
    </row>
    <row r="13" spans="1:27" x14ac:dyDescent="0.25">
      <c r="A13">
        <v>39902</v>
      </c>
      <c r="B13">
        <v>58661</v>
      </c>
      <c r="C13">
        <v>1</v>
      </c>
      <c r="D13">
        <v>0</v>
      </c>
      <c r="E13">
        <v>0</v>
      </c>
      <c r="F13" s="229" t="s">
        <v>513</v>
      </c>
      <c r="G13" s="229" t="s">
        <v>514</v>
      </c>
      <c r="H13" s="229" t="s">
        <v>515</v>
      </c>
      <c r="I13" s="229" t="s">
        <v>516</v>
      </c>
      <c r="J13" s="229" t="s">
        <v>517</v>
      </c>
      <c r="K13">
        <v>8</v>
      </c>
      <c r="L13">
        <v>8</v>
      </c>
      <c r="M13">
        <v>0</v>
      </c>
      <c r="N13">
        <v>0</v>
      </c>
      <c r="O13">
        <v>1</v>
      </c>
      <c r="P13">
        <v>1</v>
      </c>
      <c r="Q13">
        <v>1</v>
      </c>
      <c r="R13">
        <v>1</v>
      </c>
      <c r="S13">
        <v>1</v>
      </c>
      <c r="T13">
        <v>1</v>
      </c>
      <c r="U13">
        <v>1</v>
      </c>
      <c r="V13">
        <v>1</v>
      </c>
      <c r="W13">
        <v>1</v>
      </c>
      <c r="X13">
        <v>2</v>
      </c>
      <c r="Y13">
        <v>2</v>
      </c>
      <c r="Z13">
        <v>2</v>
      </c>
      <c r="AA13">
        <v>2</v>
      </c>
    </row>
    <row r="14" spans="1:27" x14ac:dyDescent="0.25">
      <c r="A14">
        <v>39904</v>
      </c>
      <c r="B14">
        <v>164261</v>
      </c>
      <c r="C14">
        <v>1</v>
      </c>
      <c r="D14">
        <v>0</v>
      </c>
      <c r="E14">
        <v>0</v>
      </c>
      <c r="F14" s="229" t="s">
        <v>518</v>
      </c>
      <c r="G14" s="229" t="s">
        <v>519</v>
      </c>
      <c r="H14" s="229" t="s">
        <v>520</v>
      </c>
      <c r="I14" s="229" t="s">
        <v>521</v>
      </c>
      <c r="J14" s="229" t="s">
        <v>522</v>
      </c>
      <c r="K14">
        <v>2</v>
      </c>
      <c r="L14">
        <v>2</v>
      </c>
      <c r="M14">
        <v>0</v>
      </c>
      <c r="N14">
        <v>0</v>
      </c>
      <c r="O14">
        <v>1</v>
      </c>
      <c r="P14">
        <v>1</v>
      </c>
      <c r="Q14">
        <v>1</v>
      </c>
      <c r="R14">
        <v>1</v>
      </c>
      <c r="S14">
        <v>1</v>
      </c>
      <c r="T14">
        <v>1</v>
      </c>
      <c r="U14">
        <v>1</v>
      </c>
      <c r="V14">
        <v>1</v>
      </c>
      <c r="W14">
        <v>1</v>
      </c>
      <c r="X14">
        <v>2</v>
      </c>
      <c r="Y14">
        <v>2</v>
      </c>
      <c r="Z14">
        <v>2</v>
      </c>
      <c r="AA14">
        <v>2</v>
      </c>
    </row>
    <row r="15" spans="1:27" x14ac:dyDescent="0.25">
      <c r="A15">
        <v>39906</v>
      </c>
      <c r="B15">
        <v>164041</v>
      </c>
      <c r="C15">
        <v>1</v>
      </c>
      <c r="D15">
        <v>0</v>
      </c>
      <c r="E15">
        <v>0</v>
      </c>
      <c r="F15" s="229" t="s">
        <v>523</v>
      </c>
      <c r="G15" s="229" t="s">
        <v>524</v>
      </c>
      <c r="H15" s="229" t="s">
        <v>525</v>
      </c>
      <c r="I15" s="229" t="s">
        <v>526</v>
      </c>
      <c r="J15" s="229" t="s">
        <v>527</v>
      </c>
      <c r="K15">
        <v>12</v>
      </c>
      <c r="L15">
        <v>12</v>
      </c>
      <c r="M15">
        <v>0</v>
      </c>
      <c r="N15">
        <v>0</v>
      </c>
      <c r="O15">
        <v>1</v>
      </c>
      <c r="P15">
        <v>1</v>
      </c>
      <c r="Q15">
        <v>1</v>
      </c>
      <c r="R15">
        <v>1</v>
      </c>
      <c r="S15">
        <v>1</v>
      </c>
      <c r="T15">
        <v>1</v>
      </c>
      <c r="U15">
        <v>1</v>
      </c>
      <c r="V15">
        <v>1</v>
      </c>
      <c r="W15">
        <v>1</v>
      </c>
      <c r="X15">
        <v>2</v>
      </c>
      <c r="Y15">
        <v>2</v>
      </c>
      <c r="Z15">
        <v>2</v>
      </c>
      <c r="AA15">
        <v>2</v>
      </c>
    </row>
    <row r="16" spans="1:27" x14ac:dyDescent="0.25">
      <c r="A16">
        <v>39907</v>
      </c>
      <c r="B16">
        <v>58662</v>
      </c>
      <c r="C16">
        <v>1</v>
      </c>
      <c r="D16">
        <v>0</v>
      </c>
      <c r="E16">
        <v>0</v>
      </c>
      <c r="F16" s="229" t="s">
        <v>528</v>
      </c>
      <c r="G16" s="229" t="s">
        <v>529</v>
      </c>
      <c r="H16" s="229" t="s">
        <v>530</v>
      </c>
      <c r="I16" s="229" t="s">
        <v>531</v>
      </c>
      <c r="J16" s="229" t="s">
        <v>532</v>
      </c>
      <c r="K16">
        <v>34</v>
      </c>
      <c r="L16">
        <v>34</v>
      </c>
      <c r="M16">
        <v>0</v>
      </c>
      <c r="N16">
        <v>0</v>
      </c>
      <c r="O16">
        <v>2</v>
      </c>
      <c r="P16">
        <v>1</v>
      </c>
      <c r="Q16">
        <v>1</v>
      </c>
      <c r="R16">
        <v>1</v>
      </c>
      <c r="S16">
        <v>1</v>
      </c>
      <c r="T16">
        <v>1</v>
      </c>
      <c r="U16">
        <v>1</v>
      </c>
      <c r="V16">
        <v>1</v>
      </c>
      <c r="W16">
        <v>1</v>
      </c>
      <c r="X16">
        <v>2</v>
      </c>
      <c r="Y16">
        <v>2</v>
      </c>
      <c r="Z16">
        <v>2</v>
      </c>
      <c r="AA16">
        <v>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L11" sqref="L11"/>
    </sheetView>
  </sheetViews>
  <sheetFormatPr defaultRowHeight="15" x14ac:dyDescent="0.25"/>
  <cols>
    <col min="1" max="1" width="3.140625" customWidth="1"/>
    <col min="2" max="2" width="13.7109375" customWidth="1"/>
    <col min="3" max="3" width="12" bestFit="1" customWidth="1"/>
    <col min="4" max="4" width="11.28515625" bestFit="1" customWidth="1"/>
  </cols>
  <sheetData>
    <row r="2" spans="2:13" x14ac:dyDescent="0.25">
      <c r="C2" s="63" t="s">
        <v>380</v>
      </c>
      <c r="D2" s="63" t="s">
        <v>380</v>
      </c>
    </row>
    <row r="3" spans="2:13" x14ac:dyDescent="0.25">
      <c r="B3" s="61" t="s">
        <v>245</v>
      </c>
      <c r="C3" s="63" t="s">
        <v>381</v>
      </c>
      <c r="D3" s="64" t="s">
        <v>382</v>
      </c>
      <c r="E3" s="60"/>
      <c r="M3" s="60"/>
    </row>
    <row r="4" spans="2:13" x14ac:dyDescent="0.25">
      <c r="B4" s="40" t="s">
        <v>246</v>
      </c>
      <c r="C4" s="63">
        <v>1.6465250156540216E-2</v>
      </c>
      <c r="D4" s="64">
        <v>3.5990313013993261E-2</v>
      </c>
      <c r="E4" s="60"/>
    </row>
    <row r="5" spans="2:13" x14ac:dyDescent="0.25">
      <c r="B5" s="40" t="s">
        <v>247</v>
      </c>
      <c r="C5" s="63">
        <v>1.5615221198574572E-2</v>
      </c>
      <c r="D5" s="64">
        <v>2.4287640268739003E-2</v>
      </c>
      <c r="E5" s="60"/>
    </row>
    <row r="6" spans="2:13" x14ac:dyDescent="0.25">
      <c r="B6" s="40" t="s">
        <v>248</v>
      </c>
      <c r="C6" s="63">
        <v>3.195266160252231E-2</v>
      </c>
      <c r="D6" s="64">
        <v>2.6990658283985388E-2</v>
      </c>
      <c r="E6" s="60"/>
    </row>
    <row r="7" spans="2:13" x14ac:dyDescent="0.25">
      <c r="B7" s="40" t="s">
        <v>249</v>
      </c>
      <c r="C7" s="63">
        <v>1.9699867662153519E-2</v>
      </c>
      <c r="D7" s="64">
        <v>1.3066379160471426E-2</v>
      </c>
      <c r="E7" s="60"/>
    </row>
    <row r="8" spans="2:13" x14ac:dyDescent="0.25">
      <c r="B8" s="40" t="s">
        <v>242</v>
      </c>
      <c r="C8" s="63">
        <v>1.9512302850000194E-2</v>
      </c>
      <c r="D8" s="64">
        <v>1.2024674308902259E-2</v>
      </c>
      <c r="E8" s="60"/>
    </row>
    <row r="9" spans="2:13" x14ac:dyDescent="0.25">
      <c r="B9" s="40" t="s">
        <v>250</v>
      </c>
      <c r="C9" s="63">
        <v>1.782356260884985E-2</v>
      </c>
      <c r="D9" s="64">
        <v>2.9745043736646361E-2</v>
      </c>
      <c r="E9" s="60"/>
    </row>
    <row r="10" spans="2:13" x14ac:dyDescent="0.25">
      <c r="B10" s="40" t="s">
        <v>254</v>
      </c>
      <c r="C10" s="63">
        <v>2.508906394952868E-2</v>
      </c>
      <c r="D10" s="64">
        <v>2.4222517026481549E-2</v>
      </c>
      <c r="E10" s="60"/>
    </row>
    <row r="11" spans="2:13" x14ac:dyDescent="0.25">
      <c r="B11" s="40" t="s">
        <v>251</v>
      </c>
      <c r="C11" s="63">
        <v>2.4045854892342022E-2</v>
      </c>
      <c r="D11" s="64">
        <v>4.1038431317052267E-2</v>
      </c>
      <c r="E11" s="60"/>
    </row>
    <row r="12" spans="2:13" x14ac:dyDescent="0.25">
      <c r="C12" s="113"/>
      <c r="D12" s="50"/>
      <c r="E12" s="60"/>
    </row>
    <row r="13" spans="2:13" x14ac:dyDescent="0.25">
      <c r="B13" s="228" t="s">
        <v>380</v>
      </c>
      <c r="C13" s="228"/>
    </row>
    <row r="14" spans="2:13" x14ac:dyDescent="0.25">
      <c r="B14" s="40" t="s">
        <v>433</v>
      </c>
      <c r="C14" s="191">
        <f>'Inputs &amp; Outputs'!$C$40</f>
        <v>27211</v>
      </c>
    </row>
    <row r="15" spans="2:13" ht="45" x14ac:dyDescent="0.25">
      <c r="B15" s="53" t="s">
        <v>434</v>
      </c>
      <c r="C15" s="191">
        <f>'Inputs &amp; Outputs'!$C$41</f>
        <v>31285</v>
      </c>
    </row>
    <row r="16" spans="2:13" x14ac:dyDescent="0.25">
      <c r="B16" s="40" t="s">
        <v>380</v>
      </c>
      <c r="C16" s="192">
        <f>(($C$15/$C$14)^(1/(Year_Open_to_Traffic?-2021))-1)</f>
        <v>2.0131013579573587E-2</v>
      </c>
    </row>
  </sheetData>
  <sheetProtection algorithmName="SHA-512" hashValue="wlFcUr8ruXMBofbTe9TJidHrioQLa11IcRq/27ZKrFCQ5hW/JicCUlJCIb4H9p3QSiUiRJzRBMg+XGc9DFxL/g==" saltValue="xHfYryPlJOc+1rDgk+mzBQ==" spinCount="100000" sheet="1" objects="1" scenarios="1"/>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5" x14ac:dyDescent="0.25"/>
  <cols>
    <col min="1" max="1" width="38.85546875" customWidth="1"/>
    <col min="2" max="2" width="12.5703125" customWidth="1"/>
    <col min="3" max="3" width="5.28515625" customWidth="1"/>
    <col min="4" max="4" width="33.5703125" bestFit="1" customWidth="1"/>
    <col min="5" max="5" width="13.28515625" customWidth="1"/>
    <col min="6" max="6" width="4.5703125" customWidth="1"/>
    <col min="8" max="8" width="2.140625" hidden="1" customWidth="1"/>
    <col min="9" max="9" width="18.7109375" bestFit="1" customWidth="1"/>
    <col min="10" max="10" width="38.28515625" bestFit="1" customWidth="1"/>
  </cols>
  <sheetData>
    <row r="3" spans="1:10" x14ac:dyDescent="0.25">
      <c r="A3" s="5" t="s">
        <v>0</v>
      </c>
      <c r="D3" s="5" t="s">
        <v>19</v>
      </c>
      <c r="E3" s="6" t="s">
        <v>9</v>
      </c>
      <c r="G3" s="12" t="s">
        <v>13</v>
      </c>
      <c r="H3" s="12"/>
      <c r="I3" s="12" t="s">
        <v>20</v>
      </c>
      <c r="J3" s="12" t="s">
        <v>49</v>
      </c>
    </row>
    <row r="4" spans="1:10" x14ac:dyDescent="0.25">
      <c r="A4" s="3" t="s">
        <v>5</v>
      </c>
      <c r="B4" s="4"/>
      <c r="D4" s="3" t="s">
        <v>46</v>
      </c>
      <c r="E4" s="4">
        <v>2015</v>
      </c>
      <c r="G4" s="10">
        <f>E4</f>
        <v>2015</v>
      </c>
      <c r="H4" s="10">
        <f>IF(G4&lt;2041,1,0)</f>
        <v>1</v>
      </c>
      <c r="I4" s="19">
        <f>IF($G4&lt;($G$4+$E$5),$E$17,0)*H4</f>
        <v>0</v>
      </c>
      <c r="J4" s="28" t="e">
        <f>I4*$B$18*$B$19/10^3</f>
        <v>#REF!</v>
      </c>
    </row>
    <row r="5" spans="1:10" x14ac:dyDescent="0.25">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25">
      <c r="A6" s="3" t="s">
        <v>7</v>
      </c>
      <c r="B6" s="4">
        <v>1</v>
      </c>
      <c r="D6" s="193" t="s">
        <v>34</v>
      </c>
      <c r="E6" s="194"/>
      <c r="G6" s="10">
        <f t="shared" si="0"/>
        <v>2017</v>
      </c>
      <c r="H6" s="10">
        <f t="shared" si="1"/>
        <v>1</v>
      </c>
      <c r="I6" s="19">
        <f t="shared" si="2"/>
        <v>0</v>
      </c>
      <c r="J6" s="28" t="e">
        <f t="shared" si="3"/>
        <v>#REF!</v>
      </c>
    </row>
    <row r="7" spans="1:10" x14ac:dyDescent="0.25">
      <c r="A7" s="3" t="s">
        <v>47</v>
      </c>
      <c r="B7" s="20"/>
      <c r="D7" s="3" t="s">
        <v>44</v>
      </c>
      <c r="E7" s="7"/>
      <c r="G7" s="11">
        <f t="shared" si="0"/>
        <v>2018</v>
      </c>
      <c r="H7" s="11">
        <f t="shared" si="1"/>
        <v>1</v>
      </c>
      <c r="I7" s="19">
        <f t="shared" si="2"/>
        <v>0</v>
      </c>
      <c r="J7" s="35" t="e">
        <f t="shared" si="3"/>
        <v>#REF!</v>
      </c>
    </row>
    <row r="8" spans="1:10" x14ac:dyDescent="0.25">
      <c r="A8" s="3" t="s">
        <v>48</v>
      </c>
      <c r="B8" s="20"/>
      <c r="D8" s="3" t="s">
        <v>42</v>
      </c>
      <c r="E8" s="38">
        <v>1.1499999999999999</v>
      </c>
      <c r="G8" s="10">
        <f t="shared" si="0"/>
        <v>2019</v>
      </c>
      <c r="H8" s="10">
        <f t="shared" si="1"/>
        <v>1</v>
      </c>
      <c r="I8" s="19">
        <f t="shared" si="2"/>
        <v>0</v>
      </c>
      <c r="J8" s="28" t="e">
        <f t="shared" si="3"/>
        <v>#REF!</v>
      </c>
    </row>
    <row r="9" spans="1:10" x14ac:dyDescent="0.25">
      <c r="G9" s="11">
        <f t="shared" si="0"/>
        <v>2020</v>
      </c>
      <c r="H9" s="11">
        <f t="shared" si="1"/>
        <v>1</v>
      </c>
      <c r="I9" s="19">
        <f t="shared" si="2"/>
        <v>0</v>
      </c>
      <c r="J9" s="35" t="e">
        <f t="shared" si="3"/>
        <v>#REF!</v>
      </c>
    </row>
    <row r="10" spans="1:10" x14ac:dyDescent="0.25">
      <c r="A10" s="9" t="s">
        <v>18</v>
      </c>
      <c r="G10" s="10">
        <f t="shared" si="0"/>
        <v>2021</v>
      </c>
      <c r="H10" s="10">
        <f t="shared" si="1"/>
        <v>1</v>
      </c>
      <c r="I10" s="19">
        <f t="shared" si="2"/>
        <v>0</v>
      </c>
      <c r="J10" s="28" t="e">
        <f t="shared" si="3"/>
        <v>#REF!</v>
      </c>
    </row>
    <row r="11" spans="1:10" x14ac:dyDescent="0.25">
      <c r="A11" s="8" t="s">
        <v>45</v>
      </c>
      <c r="B11" s="36" t="e">
        <f>NPV($B$17,J4:J29)/(1+$B$17)^(E4-B16+1)</f>
        <v>#REF!</v>
      </c>
      <c r="G11" s="11">
        <f t="shared" si="0"/>
        <v>2022</v>
      </c>
      <c r="H11" s="11">
        <f t="shared" si="1"/>
        <v>1</v>
      </c>
      <c r="I11" s="19">
        <f t="shared" si="2"/>
        <v>0</v>
      </c>
      <c r="J11" s="35" t="e">
        <f t="shared" si="3"/>
        <v>#REF!</v>
      </c>
    </row>
    <row r="12" spans="1:10" x14ac:dyDescent="0.25">
      <c r="A12" s="8" t="s">
        <v>17</v>
      </c>
      <c r="B12" s="34" t="e">
        <f>B11/B7</f>
        <v>#REF!</v>
      </c>
      <c r="G12" s="10">
        <f t="shared" si="0"/>
        <v>2023</v>
      </c>
      <c r="H12" s="10">
        <f t="shared" si="1"/>
        <v>1</v>
      </c>
      <c r="I12" s="19">
        <f t="shared" si="2"/>
        <v>0</v>
      </c>
      <c r="J12" s="28" t="e">
        <f t="shared" si="3"/>
        <v>#REF!</v>
      </c>
    </row>
    <row r="13" spans="1:10" x14ac:dyDescent="0.25">
      <c r="G13" s="11">
        <f t="shared" si="0"/>
        <v>2024</v>
      </c>
      <c r="H13" s="11">
        <f t="shared" si="1"/>
        <v>1</v>
      </c>
      <c r="I13" s="19">
        <f t="shared" si="2"/>
        <v>0</v>
      </c>
      <c r="J13" s="35" t="e">
        <f t="shared" si="3"/>
        <v>#REF!</v>
      </c>
    </row>
    <row r="14" spans="1:10" x14ac:dyDescent="0.25">
      <c r="G14" s="10">
        <f>G13+1</f>
        <v>2025</v>
      </c>
      <c r="H14" s="10">
        <f t="shared" si="1"/>
        <v>1</v>
      </c>
      <c r="I14" s="19">
        <f t="shared" si="2"/>
        <v>0</v>
      </c>
      <c r="J14" s="28" t="e">
        <f t="shared" si="3"/>
        <v>#REF!</v>
      </c>
    </row>
    <row r="15" spans="1:10" x14ac:dyDescent="0.25">
      <c r="A15" s="13" t="s">
        <v>1</v>
      </c>
      <c r="G15" s="11">
        <f t="shared" si="0"/>
        <v>2026</v>
      </c>
      <c r="H15" s="11">
        <f t="shared" si="1"/>
        <v>1</v>
      </c>
      <c r="I15" s="19">
        <f t="shared" si="2"/>
        <v>0</v>
      </c>
      <c r="J15" s="35" t="e">
        <f t="shared" si="3"/>
        <v>#REF!</v>
      </c>
    </row>
    <row r="16" spans="1:10" x14ac:dyDescent="0.25">
      <c r="A16" s="14" t="s">
        <v>2</v>
      </c>
      <c r="B16" s="14">
        <f>'Assumed Values'!C5</f>
        <v>2022</v>
      </c>
      <c r="D16" s="13" t="s">
        <v>15</v>
      </c>
      <c r="E16" s="21" t="s">
        <v>9</v>
      </c>
      <c r="G16" s="10">
        <f t="shared" si="0"/>
        <v>2027</v>
      </c>
      <c r="H16" s="10">
        <f t="shared" si="1"/>
        <v>1</v>
      </c>
      <c r="I16" s="19">
        <f t="shared" si="2"/>
        <v>0</v>
      </c>
      <c r="J16" s="28" t="e">
        <f t="shared" si="3"/>
        <v>#REF!</v>
      </c>
    </row>
    <row r="17" spans="1:10" x14ac:dyDescent="0.25">
      <c r="A17" s="14" t="s">
        <v>3</v>
      </c>
      <c r="B17" s="15">
        <f>'Assumed Values'!C6</f>
        <v>3.1E-2</v>
      </c>
      <c r="D17" s="17" t="s">
        <v>43</v>
      </c>
      <c r="E17" s="18">
        <f>E7/E8</f>
        <v>0</v>
      </c>
      <c r="G17" s="11">
        <f t="shared" si="0"/>
        <v>2028</v>
      </c>
      <c r="H17" s="11">
        <f t="shared" si="1"/>
        <v>1</v>
      </c>
      <c r="I17" s="19">
        <f t="shared" si="2"/>
        <v>0</v>
      </c>
      <c r="J17" s="35" t="e">
        <f t="shared" si="3"/>
        <v>#REF!</v>
      </c>
    </row>
    <row r="18" spans="1:10" x14ac:dyDescent="0.25">
      <c r="A18" s="14" t="s">
        <v>4</v>
      </c>
      <c r="B18" s="14">
        <f>IF(B6=2,2.1, 1.1)</f>
        <v>1.1000000000000001</v>
      </c>
      <c r="G18" s="10">
        <f t="shared" si="0"/>
        <v>2029</v>
      </c>
      <c r="H18" s="10">
        <f t="shared" si="1"/>
        <v>1</v>
      </c>
      <c r="I18" s="19">
        <f t="shared" si="2"/>
        <v>0</v>
      </c>
      <c r="J18" s="28" t="e">
        <f t="shared" si="3"/>
        <v>#REF!</v>
      </c>
    </row>
    <row r="19" spans="1:10" x14ac:dyDescent="0.25">
      <c r="A19" s="14" t="s">
        <v>8</v>
      </c>
      <c r="B19" s="16" t="e">
        <f>'Assumed Values'!C15</f>
        <v>#REF!</v>
      </c>
      <c r="G19" s="11">
        <f t="shared" si="0"/>
        <v>2030</v>
      </c>
      <c r="H19" s="11">
        <f t="shared" si="1"/>
        <v>1</v>
      </c>
      <c r="I19" s="19">
        <f t="shared" si="2"/>
        <v>0</v>
      </c>
      <c r="J19" s="35" t="e">
        <f t="shared" si="3"/>
        <v>#REF!</v>
      </c>
    </row>
    <row r="20" spans="1:10" x14ac:dyDescent="0.25">
      <c r="A20" s="14" t="s">
        <v>16</v>
      </c>
      <c r="B20" s="14">
        <v>260</v>
      </c>
      <c r="G20" s="10">
        <f t="shared" si="0"/>
        <v>2031</v>
      </c>
      <c r="H20" s="10">
        <f t="shared" si="1"/>
        <v>1</v>
      </c>
      <c r="I20" s="19">
        <f t="shared" si="2"/>
        <v>0</v>
      </c>
      <c r="J20" s="28" t="e">
        <f t="shared" si="3"/>
        <v>#REF!</v>
      </c>
    </row>
    <row r="21" spans="1:10" x14ac:dyDescent="0.25">
      <c r="G21" s="11">
        <f t="shared" si="0"/>
        <v>2032</v>
      </c>
      <c r="H21" s="11">
        <f t="shared" si="1"/>
        <v>1</v>
      </c>
      <c r="I21" s="19">
        <f t="shared" si="2"/>
        <v>0</v>
      </c>
      <c r="J21" s="35" t="e">
        <f t="shared" si="3"/>
        <v>#REF!</v>
      </c>
    </row>
    <row r="22" spans="1:10" x14ac:dyDescent="0.25">
      <c r="G22" s="10">
        <f t="shared" si="0"/>
        <v>2033</v>
      </c>
      <c r="H22" s="10">
        <f t="shared" si="1"/>
        <v>1</v>
      </c>
      <c r="I22" s="19">
        <f t="shared" si="2"/>
        <v>0</v>
      </c>
      <c r="J22" s="28" t="e">
        <f t="shared" si="3"/>
        <v>#REF!</v>
      </c>
    </row>
    <row r="23" spans="1:10" x14ac:dyDescent="0.25">
      <c r="G23" s="11">
        <f t="shared" si="0"/>
        <v>2034</v>
      </c>
      <c r="H23" s="11">
        <f t="shared" si="1"/>
        <v>1</v>
      </c>
      <c r="I23" s="19">
        <f t="shared" si="2"/>
        <v>0</v>
      </c>
      <c r="J23" s="35" t="e">
        <f t="shared" si="3"/>
        <v>#REF!</v>
      </c>
    </row>
    <row r="24" spans="1:10" x14ac:dyDescent="0.25">
      <c r="G24" s="10">
        <f t="shared" si="0"/>
        <v>2035</v>
      </c>
      <c r="H24" s="10">
        <f t="shared" si="1"/>
        <v>1</v>
      </c>
      <c r="I24" s="19">
        <f t="shared" si="2"/>
        <v>0</v>
      </c>
      <c r="J24" s="28" t="e">
        <f t="shared" si="3"/>
        <v>#REF!</v>
      </c>
    </row>
    <row r="25" spans="1:10" x14ac:dyDescent="0.25">
      <c r="G25" s="11">
        <f t="shared" si="0"/>
        <v>2036</v>
      </c>
      <c r="H25" s="11">
        <f t="shared" si="1"/>
        <v>1</v>
      </c>
      <c r="I25" s="19">
        <f t="shared" si="2"/>
        <v>0</v>
      </c>
      <c r="J25" s="35" t="e">
        <f t="shared" ref="J25:J29" si="4">I25*$B$18*$B$19/10^3</f>
        <v>#REF!</v>
      </c>
    </row>
    <row r="26" spans="1:10" x14ac:dyDescent="0.25">
      <c r="G26" s="10">
        <f t="shared" si="0"/>
        <v>2037</v>
      </c>
      <c r="H26" s="10">
        <f t="shared" si="1"/>
        <v>1</v>
      </c>
      <c r="I26" s="19">
        <f t="shared" si="2"/>
        <v>0</v>
      </c>
      <c r="J26" s="28" t="e">
        <f t="shared" si="4"/>
        <v>#REF!</v>
      </c>
    </row>
    <row r="27" spans="1:10" x14ac:dyDescent="0.25">
      <c r="G27" s="11">
        <f t="shared" si="0"/>
        <v>2038</v>
      </c>
      <c r="H27" s="11">
        <f t="shared" si="1"/>
        <v>1</v>
      </c>
      <c r="I27" s="19">
        <f t="shared" si="2"/>
        <v>0</v>
      </c>
      <c r="J27" s="35" t="e">
        <f t="shared" si="4"/>
        <v>#REF!</v>
      </c>
    </row>
    <row r="28" spans="1:10" x14ac:dyDescent="0.25">
      <c r="G28" s="10">
        <f t="shared" si="0"/>
        <v>2039</v>
      </c>
      <c r="H28" s="10">
        <f t="shared" si="1"/>
        <v>1</v>
      </c>
      <c r="I28" s="19">
        <f t="shared" si="2"/>
        <v>0</v>
      </c>
      <c r="J28" s="28" t="e">
        <f t="shared" si="4"/>
        <v>#REF!</v>
      </c>
    </row>
    <row r="29" spans="1:10" x14ac:dyDescent="0.25">
      <c r="A29" s="22"/>
      <c r="G29" s="11">
        <f t="shared" si="0"/>
        <v>2040</v>
      </c>
      <c r="H29" s="11">
        <f t="shared" si="1"/>
        <v>1</v>
      </c>
      <c r="I29" s="19">
        <f t="shared" si="2"/>
        <v>0</v>
      </c>
      <c r="J29" s="35" t="e">
        <f t="shared" si="4"/>
        <v>#REF!</v>
      </c>
    </row>
    <row r="51" spans="1:1" x14ac:dyDescent="0.25">
      <c r="A51" t="s">
        <v>10</v>
      </c>
    </row>
    <row r="52" spans="1:1" x14ac:dyDescent="0.25">
      <c r="A52" t="s">
        <v>12</v>
      </c>
    </row>
    <row r="53" spans="1:1" x14ac:dyDescent="0.25">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5" x14ac:dyDescent="0.25"/>
  <cols>
    <col min="1" max="1" width="54.28515625" customWidth="1"/>
    <col min="2" max="2" width="12.5703125" customWidth="1"/>
    <col min="3" max="3" width="5.28515625" customWidth="1"/>
    <col min="4" max="4" width="37.42578125" bestFit="1" customWidth="1"/>
    <col min="5" max="5" width="13.28515625" customWidth="1"/>
    <col min="6" max="6" width="4.5703125" customWidth="1"/>
    <col min="8" max="8" width="26.42578125" bestFit="1" customWidth="1"/>
    <col min="9" max="9" width="34.5703125" bestFit="1" customWidth="1"/>
    <col min="10" max="10" width="24.140625" bestFit="1" customWidth="1"/>
    <col min="11" max="11" width="33.42578125" bestFit="1" customWidth="1"/>
  </cols>
  <sheetData>
    <row r="3" spans="1:11" x14ac:dyDescent="0.25">
      <c r="A3" s="5" t="s">
        <v>0</v>
      </c>
      <c r="D3" s="5" t="s">
        <v>32</v>
      </c>
      <c r="E3" s="6" t="s">
        <v>9</v>
      </c>
      <c r="G3" s="12" t="s">
        <v>13</v>
      </c>
      <c r="H3" s="12" t="s">
        <v>41</v>
      </c>
      <c r="I3" s="12" t="s">
        <v>50</v>
      </c>
      <c r="J3" s="12" t="s">
        <v>40</v>
      </c>
      <c r="K3" s="12" t="s">
        <v>51</v>
      </c>
    </row>
    <row r="4" spans="1:11" x14ac:dyDescent="0.25">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25">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25">
      <c r="A6" s="3" t="s">
        <v>37</v>
      </c>
      <c r="B6" s="4">
        <v>2</v>
      </c>
      <c r="D6" s="193" t="s">
        <v>34</v>
      </c>
      <c r="E6" s="194"/>
      <c r="G6" s="10">
        <f t="shared" si="2"/>
        <v>2017</v>
      </c>
      <c r="H6" s="31">
        <f t="shared" si="0"/>
        <v>0</v>
      </c>
      <c r="I6" s="30" t="e">
        <f t="shared" si="3"/>
        <v>#REF!</v>
      </c>
      <c r="J6" s="31">
        <f t="shared" si="1"/>
        <v>0</v>
      </c>
      <c r="K6" s="30" t="e">
        <f t="shared" si="4"/>
        <v>#REF!</v>
      </c>
    </row>
    <row r="7" spans="1:11" x14ac:dyDescent="0.25">
      <c r="A7" s="3" t="s">
        <v>47</v>
      </c>
      <c r="B7" s="20"/>
      <c r="D7" s="3" t="s">
        <v>33</v>
      </c>
      <c r="E7" s="7"/>
      <c r="G7" s="11">
        <f t="shared" si="2"/>
        <v>2018</v>
      </c>
      <c r="H7" s="31">
        <f t="shared" si="0"/>
        <v>0</v>
      </c>
      <c r="I7" s="32" t="e">
        <f t="shared" si="3"/>
        <v>#REF!</v>
      </c>
      <c r="J7" s="31">
        <f t="shared" si="1"/>
        <v>0</v>
      </c>
      <c r="K7" s="32" t="e">
        <f t="shared" si="4"/>
        <v>#REF!</v>
      </c>
    </row>
    <row r="8" spans="1:11" x14ac:dyDescent="0.25">
      <c r="A8" s="3" t="s">
        <v>48</v>
      </c>
      <c r="B8" s="20"/>
      <c r="D8" s="193" t="s">
        <v>35</v>
      </c>
      <c r="E8" s="194"/>
      <c r="G8" s="10">
        <f t="shared" si="2"/>
        <v>2019</v>
      </c>
      <c r="H8" s="31">
        <f t="shared" si="0"/>
        <v>0</v>
      </c>
      <c r="I8" s="30" t="e">
        <f t="shared" si="3"/>
        <v>#REF!</v>
      </c>
      <c r="J8" s="31">
        <f t="shared" si="1"/>
        <v>0</v>
      </c>
      <c r="K8" s="30" t="e">
        <f t="shared" si="4"/>
        <v>#REF!</v>
      </c>
    </row>
    <row r="9" spans="1:11" x14ac:dyDescent="0.25">
      <c r="D9" s="3" t="s">
        <v>38</v>
      </c>
      <c r="E9" s="7"/>
      <c r="G9" s="11">
        <f t="shared" si="2"/>
        <v>2020</v>
      </c>
      <c r="H9" s="31">
        <f t="shared" si="0"/>
        <v>0</v>
      </c>
      <c r="I9" s="32" t="e">
        <f t="shared" si="3"/>
        <v>#REF!</v>
      </c>
      <c r="J9" s="31">
        <f t="shared" si="1"/>
        <v>0</v>
      </c>
      <c r="K9" s="32" t="e">
        <f t="shared" si="4"/>
        <v>#REF!</v>
      </c>
    </row>
    <row r="10" spans="1:11" x14ac:dyDescent="0.25">
      <c r="A10" s="9" t="s">
        <v>18</v>
      </c>
      <c r="D10" s="3" t="s">
        <v>39</v>
      </c>
      <c r="E10" s="7"/>
      <c r="G10" s="10">
        <f t="shared" si="2"/>
        <v>2021</v>
      </c>
      <c r="H10" s="31">
        <f t="shared" si="0"/>
        <v>0</v>
      </c>
      <c r="I10" s="30" t="e">
        <f t="shared" si="3"/>
        <v>#REF!</v>
      </c>
      <c r="J10" s="31">
        <f t="shared" si="1"/>
        <v>0</v>
      </c>
      <c r="K10" s="30" t="e">
        <f t="shared" si="4"/>
        <v>#REF!</v>
      </c>
    </row>
    <row r="11" spans="1:11" x14ac:dyDescent="0.25">
      <c r="A11" s="8" t="s">
        <v>52</v>
      </c>
      <c r="B11" s="33" t="e">
        <f>(NPV($B$17,K4:K24)+NPV($B$17,I4:I24))/(1+$B$17)^2</f>
        <v>#REF!</v>
      </c>
      <c r="G11" s="11">
        <f t="shared" si="2"/>
        <v>2022</v>
      </c>
      <c r="H11" s="31">
        <f t="shared" si="0"/>
        <v>0</v>
      </c>
      <c r="I11" s="32" t="e">
        <f t="shared" si="3"/>
        <v>#REF!</v>
      </c>
      <c r="J11" s="31">
        <f t="shared" si="1"/>
        <v>0</v>
      </c>
      <c r="K11" s="32" t="e">
        <f t="shared" si="4"/>
        <v>#REF!</v>
      </c>
    </row>
    <row r="12" spans="1:11" x14ac:dyDescent="0.25">
      <c r="A12" s="8" t="s">
        <v>17</v>
      </c>
      <c r="B12" s="34" t="e">
        <f>B11/B7</f>
        <v>#REF!</v>
      </c>
      <c r="G12" s="10">
        <f t="shared" si="2"/>
        <v>2023</v>
      </c>
      <c r="H12" s="31">
        <f t="shared" si="0"/>
        <v>0</v>
      </c>
      <c r="I12" s="30" t="e">
        <f t="shared" si="3"/>
        <v>#REF!</v>
      </c>
      <c r="J12" s="31">
        <f t="shared" si="1"/>
        <v>0</v>
      </c>
      <c r="K12" s="30" t="e">
        <f t="shared" si="4"/>
        <v>#REF!</v>
      </c>
    </row>
    <row r="13" spans="1:11" x14ac:dyDescent="0.25">
      <c r="A13" s="8" t="s">
        <v>53</v>
      </c>
      <c r="B13" s="33" t="e">
        <f>B7*(B17/(1-(1+B17)^(-E5))/(SUM(H4:H29)+SUM(J4:J29)))</f>
        <v>#DIV/0!</v>
      </c>
      <c r="G13" s="11">
        <f t="shared" si="2"/>
        <v>2024</v>
      </c>
      <c r="H13" s="31">
        <f t="shared" si="0"/>
        <v>0</v>
      </c>
      <c r="I13" s="32" t="e">
        <f t="shared" si="3"/>
        <v>#REF!</v>
      </c>
      <c r="J13" s="31">
        <f t="shared" si="1"/>
        <v>0</v>
      </c>
      <c r="K13" s="32" t="e">
        <f t="shared" si="4"/>
        <v>#REF!</v>
      </c>
    </row>
    <row r="14" spans="1:11" x14ac:dyDescent="0.25">
      <c r="G14" s="10">
        <f>G13+1</f>
        <v>2025</v>
      </c>
      <c r="H14" s="31">
        <f t="shared" si="0"/>
        <v>0</v>
      </c>
      <c r="I14" s="30" t="e">
        <f t="shared" si="3"/>
        <v>#REF!</v>
      </c>
      <c r="J14" s="31">
        <f t="shared" si="1"/>
        <v>0</v>
      </c>
      <c r="K14" s="30" t="e">
        <f t="shared" si="4"/>
        <v>#REF!</v>
      </c>
    </row>
    <row r="15" spans="1:11" x14ac:dyDescent="0.25">
      <c r="A15" s="13" t="s">
        <v>1</v>
      </c>
      <c r="G15" s="11">
        <f t="shared" si="2"/>
        <v>2026</v>
      </c>
      <c r="H15" s="31">
        <f t="shared" si="0"/>
        <v>0</v>
      </c>
      <c r="I15" s="32" t="e">
        <f t="shared" si="3"/>
        <v>#REF!</v>
      </c>
      <c r="J15" s="31">
        <f t="shared" si="1"/>
        <v>0</v>
      </c>
      <c r="K15" s="32" t="e">
        <f t="shared" si="4"/>
        <v>#REF!</v>
      </c>
    </row>
    <row r="16" spans="1:11" x14ac:dyDescent="0.25">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25">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25">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25">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25">
      <c r="A20" s="14" t="s">
        <v>54</v>
      </c>
      <c r="B20" s="29" t="e">
        <f>'Assumed Values'!C19</f>
        <v>#REF!</v>
      </c>
      <c r="G20" s="10">
        <f t="shared" si="2"/>
        <v>2031</v>
      </c>
      <c r="H20" s="31">
        <f t="shared" si="0"/>
        <v>0</v>
      </c>
      <c r="I20" s="30" t="e">
        <f t="shared" si="3"/>
        <v>#REF!</v>
      </c>
      <c r="J20" s="31">
        <f t="shared" si="1"/>
        <v>0</v>
      </c>
      <c r="K20" s="30" t="e">
        <f t="shared" si="4"/>
        <v>#REF!</v>
      </c>
    </row>
    <row r="21" spans="1:11" x14ac:dyDescent="0.25">
      <c r="A21" s="14" t="s">
        <v>55</v>
      </c>
      <c r="B21" s="29" t="e">
        <f>'Assumed Values'!C20</f>
        <v>#REF!</v>
      </c>
      <c r="G21" s="11">
        <f t="shared" si="2"/>
        <v>2032</v>
      </c>
      <c r="H21" s="31">
        <f t="shared" si="0"/>
        <v>0</v>
      </c>
      <c r="I21" s="32" t="e">
        <f t="shared" si="3"/>
        <v>#REF!</v>
      </c>
      <c r="J21" s="31">
        <f t="shared" si="1"/>
        <v>0</v>
      </c>
      <c r="K21" s="32" t="e">
        <f t="shared" si="4"/>
        <v>#REF!</v>
      </c>
    </row>
    <row r="22" spans="1:11" x14ac:dyDescent="0.25">
      <c r="A22" s="14" t="s">
        <v>16</v>
      </c>
      <c r="B22" s="14">
        <v>260</v>
      </c>
      <c r="G22" s="10">
        <f t="shared" si="2"/>
        <v>2033</v>
      </c>
      <c r="H22" s="31">
        <f t="shared" si="0"/>
        <v>0</v>
      </c>
      <c r="I22" s="30" t="e">
        <f t="shared" si="3"/>
        <v>#REF!</v>
      </c>
      <c r="J22" s="31">
        <f t="shared" si="1"/>
        <v>0</v>
      </c>
      <c r="K22" s="30" t="e">
        <f t="shared" si="4"/>
        <v>#REF!</v>
      </c>
    </row>
    <row r="23" spans="1:11" x14ac:dyDescent="0.25">
      <c r="G23" s="11">
        <f t="shared" si="2"/>
        <v>2034</v>
      </c>
      <c r="H23" s="31">
        <f t="shared" si="0"/>
        <v>0</v>
      </c>
      <c r="I23" s="32" t="e">
        <f t="shared" si="3"/>
        <v>#REF!</v>
      </c>
      <c r="J23" s="31">
        <f t="shared" si="1"/>
        <v>0</v>
      </c>
      <c r="K23" s="32" t="e">
        <f t="shared" si="4"/>
        <v>#REF!</v>
      </c>
    </row>
    <row r="24" spans="1:11" x14ac:dyDescent="0.25">
      <c r="G24" s="10">
        <f t="shared" si="2"/>
        <v>2035</v>
      </c>
      <c r="H24" s="31">
        <f t="shared" si="0"/>
        <v>0</v>
      </c>
      <c r="I24" s="30" t="e">
        <f t="shared" si="3"/>
        <v>#REF!</v>
      </c>
      <c r="J24" s="31">
        <f t="shared" si="1"/>
        <v>0</v>
      </c>
      <c r="K24" s="30" t="e">
        <f t="shared" si="4"/>
        <v>#REF!</v>
      </c>
    </row>
    <row r="25" spans="1:11" x14ac:dyDescent="0.25">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25">
      <c r="G26" s="10">
        <f t="shared" si="2"/>
        <v>2037</v>
      </c>
      <c r="H26" s="31">
        <f t="shared" si="5"/>
        <v>0</v>
      </c>
      <c r="I26" s="30" t="e">
        <f t="shared" si="6"/>
        <v>#REF!</v>
      </c>
      <c r="J26" s="31">
        <f t="shared" si="7"/>
        <v>0</v>
      </c>
      <c r="K26" s="30" t="e">
        <f t="shared" si="8"/>
        <v>#REF!</v>
      </c>
    </row>
    <row r="27" spans="1:11" x14ac:dyDescent="0.25">
      <c r="G27" s="11">
        <f t="shared" si="2"/>
        <v>2038</v>
      </c>
      <c r="H27" s="31">
        <f t="shared" si="5"/>
        <v>0</v>
      </c>
      <c r="I27" s="32" t="e">
        <f t="shared" si="6"/>
        <v>#REF!</v>
      </c>
      <c r="J27" s="31">
        <f t="shared" si="7"/>
        <v>0</v>
      </c>
      <c r="K27" s="32" t="e">
        <f t="shared" si="8"/>
        <v>#REF!</v>
      </c>
    </row>
    <row r="28" spans="1:11" x14ac:dyDescent="0.25">
      <c r="G28" s="10">
        <f t="shared" si="2"/>
        <v>2039</v>
      </c>
      <c r="H28" s="31">
        <f t="shared" si="5"/>
        <v>0</v>
      </c>
      <c r="I28" s="30" t="e">
        <f t="shared" si="6"/>
        <v>#REF!</v>
      </c>
      <c r="J28" s="31">
        <f t="shared" si="7"/>
        <v>0</v>
      </c>
      <c r="K28" s="30" t="e">
        <f t="shared" si="8"/>
        <v>#REF!</v>
      </c>
    </row>
    <row r="29" spans="1:11" x14ac:dyDescent="0.25">
      <c r="G29" s="11">
        <f t="shared" si="2"/>
        <v>2040</v>
      </c>
      <c r="H29" s="31">
        <f>IF($G29&lt;($G$4+$E$5),$E$17,0)</f>
        <v>0</v>
      </c>
      <c r="I29" s="32" t="e">
        <f t="shared" si="6"/>
        <v>#REF!</v>
      </c>
      <c r="J29" s="31">
        <f>IF($G29&lt;($G$4+$E$5),$E$18,0)</f>
        <v>0</v>
      </c>
      <c r="K29" s="32" t="e">
        <f t="shared" si="8"/>
        <v>#REF!</v>
      </c>
    </row>
    <row r="31" spans="1:11" x14ac:dyDescent="0.25">
      <c r="A31" s="22"/>
    </row>
    <row r="53" spans="1:1" x14ac:dyDescent="0.25">
      <c r="A53" t="s">
        <v>10</v>
      </c>
    </row>
    <row r="54" spans="1:1" x14ac:dyDescent="0.25">
      <c r="A54" t="s">
        <v>12</v>
      </c>
    </row>
    <row r="55" spans="1:1" x14ac:dyDescent="0.25">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2:S49"/>
  <sheetViews>
    <sheetView tabSelected="1" zoomScale="90" zoomScaleNormal="90" workbookViewId="0">
      <selection activeCell="H19" sqref="H19"/>
    </sheetView>
  </sheetViews>
  <sheetFormatPr defaultColWidth="9.140625" defaultRowHeight="15" x14ac:dyDescent="0.25"/>
  <cols>
    <col min="1" max="1" width="9.140625" style="88"/>
    <col min="2" max="2" width="46.7109375" style="88" customWidth="1"/>
    <col min="3" max="3" width="25.5703125" style="88" customWidth="1"/>
    <col min="4" max="4" width="6" style="88" customWidth="1"/>
    <col min="5" max="5" width="5.85546875" style="88" customWidth="1"/>
    <col min="6" max="6" width="23.85546875" style="88" customWidth="1"/>
    <col min="7" max="7" width="19.140625" style="88" customWidth="1"/>
    <col min="8" max="8" width="14.140625" style="88" customWidth="1"/>
    <col min="9" max="9" width="13.7109375" style="88" customWidth="1"/>
    <col min="10" max="10" width="12" style="88" customWidth="1"/>
    <col min="11" max="12" width="9.140625" style="88"/>
    <col min="13" max="13" width="11.5703125" style="88" bestFit="1" customWidth="1"/>
    <col min="14" max="16384" width="9.140625" style="88"/>
  </cols>
  <sheetData>
    <row r="2" spans="2:19" ht="18.75" x14ac:dyDescent="0.25">
      <c r="B2" s="114" t="s">
        <v>64</v>
      </c>
      <c r="C2" s="115"/>
      <c r="D2" s="115"/>
      <c r="E2" s="115"/>
      <c r="F2" s="115"/>
    </row>
    <row r="4" spans="2:19" x14ac:dyDescent="0.25">
      <c r="B4" s="198" t="s">
        <v>0</v>
      </c>
      <c r="C4" s="199"/>
      <c r="E4" s="116"/>
      <c r="F4" s="88" t="s">
        <v>142</v>
      </c>
    </row>
    <row r="5" spans="2:19" x14ac:dyDescent="0.25">
      <c r="B5" s="116" t="s">
        <v>81</v>
      </c>
      <c r="C5" s="117" t="s">
        <v>533</v>
      </c>
      <c r="D5" s="118"/>
      <c r="E5" s="119"/>
      <c r="F5" s="88" t="s">
        <v>224</v>
      </c>
    </row>
    <row r="6" spans="2:19" x14ac:dyDescent="0.25">
      <c r="B6" s="116" t="s">
        <v>74</v>
      </c>
      <c r="C6" s="120" t="s">
        <v>242</v>
      </c>
      <c r="E6" s="121"/>
      <c r="F6" s="88" t="s">
        <v>143</v>
      </c>
    </row>
    <row r="7" spans="2:19" x14ac:dyDescent="0.25">
      <c r="B7" s="116" t="s">
        <v>75</v>
      </c>
      <c r="C7" s="120" t="s">
        <v>243</v>
      </c>
    </row>
    <row r="8" spans="2:19" x14ac:dyDescent="0.25">
      <c r="B8" s="116" t="s">
        <v>82</v>
      </c>
      <c r="C8" s="120" t="s">
        <v>533</v>
      </c>
    </row>
    <row r="9" spans="2:19" x14ac:dyDescent="0.25">
      <c r="B9" s="116" t="s">
        <v>71</v>
      </c>
      <c r="C9" s="120" t="s">
        <v>534</v>
      </c>
      <c r="E9" s="122" t="s">
        <v>225</v>
      </c>
    </row>
    <row r="10" spans="2:19" x14ac:dyDescent="0.25">
      <c r="B10" s="116" t="s">
        <v>72</v>
      </c>
      <c r="C10" s="120" t="s">
        <v>535</v>
      </c>
    </row>
    <row r="11" spans="2:19" x14ac:dyDescent="0.25">
      <c r="B11" s="116" t="s">
        <v>73</v>
      </c>
      <c r="C11" s="120">
        <v>1.76</v>
      </c>
      <c r="D11" s="123"/>
      <c r="N11" s="197"/>
      <c r="O11" s="197"/>
      <c r="P11" s="197"/>
      <c r="Q11" s="197"/>
      <c r="R11" s="197"/>
      <c r="S11" s="197"/>
    </row>
    <row r="12" spans="2:19" ht="30" x14ac:dyDescent="0.25">
      <c r="B12" s="124" t="s">
        <v>233</v>
      </c>
      <c r="C12" s="120">
        <v>1201</v>
      </c>
    </row>
    <row r="13" spans="2:19" x14ac:dyDescent="0.25">
      <c r="B13" s="116" t="s">
        <v>232</v>
      </c>
      <c r="C13" s="120"/>
    </row>
    <row r="15" spans="2:19" x14ac:dyDescent="0.25">
      <c r="B15" s="198" t="s">
        <v>141</v>
      </c>
      <c r="C15" s="199"/>
    </row>
    <row r="16" spans="2:19" x14ac:dyDescent="0.25">
      <c r="B16" s="116" t="s">
        <v>176</v>
      </c>
      <c r="C16" s="138">
        <v>2028</v>
      </c>
      <c r="D16" s="118"/>
      <c r="F16" s="125"/>
      <c r="M16" s="123"/>
    </row>
    <row r="17" spans="2:14" ht="30" x14ac:dyDescent="0.25">
      <c r="B17" s="126" t="s">
        <v>333</v>
      </c>
      <c r="C17" s="127" t="s">
        <v>127</v>
      </c>
    </row>
    <row r="18" spans="2:14" x14ac:dyDescent="0.25">
      <c r="B18" s="119" t="s">
        <v>140</v>
      </c>
      <c r="C18" s="135">
        <f>VLOOKUP($C$17,'CRF Lookup Table'!$B$3:$F$74,2,FALSE)</f>
        <v>101</v>
      </c>
    </row>
    <row r="19" spans="2:14" s="89" customFormat="1" ht="30" x14ac:dyDescent="0.25">
      <c r="B19" s="128" t="s">
        <v>151</v>
      </c>
      <c r="C19" s="136" t="str">
        <f>VLOOKUP($C$17,'CRF Lookup Table'!$B$3:$F$74,5,FALSE)</f>
        <v>Non-Intersection related (Roadway Related)</v>
      </c>
      <c r="D19" s="129"/>
      <c r="M19" s="88"/>
      <c r="N19" s="88"/>
    </row>
    <row r="20" spans="2:14" x14ac:dyDescent="0.25">
      <c r="B20" s="119" t="s">
        <v>67</v>
      </c>
      <c r="C20" s="141">
        <f>VLOOKUP($C$17,'CRF Lookup Table'!$B$3:$F$74,3,FALSE)</f>
        <v>0.2</v>
      </c>
    </row>
    <row r="21" spans="2:14" x14ac:dyDescent="0.25">
      <c r="B21" s="119" t="s">
        <v>66</v>
      </c>
      <c r="C21" s="135">
        <f>VLOOKUP($C$17,'CRF Lookup Table'!$B$3:$F$74,4,FALSE)</f>
        <v>6</v>
      </c>
    </row>
    <row r="22" spans="2:14" ht="45" x14ac:dyDescent="0.25">
      <c r="B22" s="126" t="s">
        <v>334</v>
      </c>
      <c r="C22" s="127" t="s">
        <v>110</v>
      </c>
    </row>
    <row r="23" spans="2:14" x14ac:dyDescent="0.25">
      <c r="B23" s="119" t="s">
        <v>140</v>
      </c>
      <c r="C23" s="135">
        <f>VLOOKUP(C22,'CRF Lookup Table'!$B$3:$F$74,2,FALSE)</f>
        <v>130</v>
      </c>
    </row>
    <row r="24" spans="2:14" s="89" customFormat="1" x14ac:dyDescent="0.25">
      <c r="B24" s="128" t="s">
        <v>151</v>
      </c>
      <c r="C24" s="136" t="str">
        <f>VLOOKUP($C$22,'CRF Lookup Table'!$B$3:$F$74,5,FALSE)</f>
        <v>Non-Intersection related (Roadway Related)</v>
      </c>
      <c r="D24" s="129"/>
      <c r="M24" s="88"/>
      <c r="N24" s="88"/>
    </row>
    <row r="25" spans="2:14" x14ac:dyDescent="0.25">
      <c r="B25" s="119" t="s">
        <v>67</v>
      </c>
      <c r="C25" s="141">
        <f>VLOOKUP($C$22,'CRF Lookup Table'!$B$3:$F$74,3,FALSE)</f>
        <v>0.05</v>
      </c>
    </row>
    <row r="26" spans="2:14" x14ac:dyDescent="0.25">
      <c r="B26" s="119" t="s">
        <v>66</v>
      </c>
      <c r="C26" s="135">
        <f>VLOOKUP($C$22,'CRF Lookup Table'!$B$3:$F$74,4,FALSE)</f>
        <v>6</v>
      </c>
    </row>
    <row r="27" spans="2:14" ht="30" x14ac:dyDescent="0.25">
      <c r="B27" s="126" t="s">
        <v>335</v>
      </c>
      <c r="C27" s="127" t="s">
        <v>187</v>
      </c>
    </row>
    <row r="28" spans="2:14" x14ac:dyDescent="0.25">
      <c r="B28" s="119" t="s">
        <v>140</v>
      </c>
      <c r="C28" s="135">
        <f>VLOOKUP($C$27,'CRF Lookup Table'!$B$3:$F$74,2,FALSE)</f>
        <v>541</v>
      </c>
    </row>
    <row r="29" spans="2:14" s="89" customFormat="1" ht="30" x14ac:dyDescent="0.25">
      <c r="B29" s="128" t="s">
        <v>151</v>
      </c>
      <c r="C29" s="136" t="str">
        <f>VLOOKUP($C$27,'CRF Lookup Table'!$B$3:$F$74,5,FALSE)</f>
        <v>Non-Intersection related (Roadway Related)</v>
      </c>
      <c r="D29" s="129"/>
      <c r="F29" s="130"/>
      <c r="M29" s="88"/>
      <c r="N29" s="88"/>
    </row>
    <row r="30" spans="2:14" x14ac:dyDescent="0.25">
      <c r="B30" s="119" t="s">
        <v>67</v>
      </c>
      <c r="C30" s="141">
        <f>VLOOKUP($C$27,'CRF Lookup Table'!$B$3:$F$74,3,FALSE)</f>
        <v>0.3</v>
      </c>
    </row>
    <row r="31" spans="2:14" x14ac:dyDescent="0.25">
      <c r="B31" s="119" t="s">
        <v>66</v>
      </c>
      <c r="C31" s="135">
        <f>VLOOKUP($C$27,'CRF Lookup Table'!$B$3:$F$74,4,FALSE)</f>
        <v>20</v>
      </c>
    </row>
    <row r="32" spans="2:14" x14ac:dyDescent="0.25">
      <c r="B32" s="126" t="s">
        <v>385</v>
      </c>
      <c r="C32" s="127" t="s">
        <v>432</v>
      </c>
    </row>
    <row r="33" spans="2:14" x14ac:dyDescent="0.25">
      <c r="B33" s="119" t="s">
        <v>140</v>
      </c>
      <c r="C33" s="135">
        <f>VLOOKUP($C$32,'CRF Lookup Table'!B4:G75,2,FALSE)</f>
        <v>0</v>
      </c>
    </row>
    <row r="34" spans="2:14" s="89" customFormat="1" ht="26.25" x14ac:dyDescent="0.25">
      <c r="B34" s="128" t="s">
        <v>151</v>
      </c>
      <c r="C34" s="136" t="str">
        <f>VLOOKUP($C$32,'CRF Lookup Table'!B4:G75,5,FALSE)</f>
        <v>Blank</v>
      </c>
      <c r="D34" s="129"/>
      <c r="F34" s="130"/>
      <c r="M34" s="88"/>
      <c r="N34" s="88"/>
    </row>
    <row r="35" spans="2:14" x14ac:dyDescent="0.25">
      <c r="B35" s="119" t="s">
        <v>67</v>
      </c>
      <c r="C35" s="141">
        <f>VLOOKUP($C$32,'CRF Lookup Table'!$B$3:$F$74,3,FALSE)</f>
        <v>0</v>
      </c>
    </row>
    <row r="36" spans="2:14" x14ac:dyDescent="0.25">
      <c r="B36" s="119" t="s">
        <v>66</v>
      </c>
      <c r="C36" s="135">
        <f>VLOOKUP($C$32,'CRF Lookup Table'!B4:G74,4,FALSE)</f>
        <v>0</v>
      </c>
    </row>
    <row r="39" spans="2:14" x14ac:dyDescent="0.25">
      <c r="B39" s="198" t="s">
        <v>58</v>
      </c>
      <c r="C39" s="199"/>
      <c r="D39" s="131"/>
    </row>
    <row r="40" spans="2:14" x14ac:dyDescent="0.25">
      <c r="B40" s="116" t="s">
        <v>448</v>
      </c>
      <c r="C40" s="134">
        <v>27211</v>
      </c>
      <c r="H40" s="123"/>
    </row>
    <row r="41" spans="2:14" x14ac:dyDescent="0.25">
      <c r="B41" s="116" t="s">
        <v>259</v>
      </c>
      <c r="C41" s="134">
        <v>31285</v>
      </c>
    </row>
    <row r="42" spans="2:14" x14ac:dyDescent="0.25">
      <c r="B42" s="119" t="s">
        <v>449</v>
      </c>
      <c r="C42" s="137">
        <f>SUM('Ped bike commuter analysis data'!$X:$X,'Ped bike commuter analysis data'!$Y:$Y)</f>
        <v>70</v>
      </c>
    </row>
    <row r="43" spans="2:14" ht="30" x14ac:dyDescent="0.25">
      <c r="B43" s="132" t="s">
        <v>376</v>
      </c>
      <c r="C43" s="137">
        <f>VLOOKUP(Year_Open_to_Traffic?,Calculations!I2:X36,3)</f>
        <v>78.892141683094039</v>
      </c>
    </row>
    <row r="44" spans="2:14" x14ac:dyDescent="0.25">
      <c r="H44" s="123"/>
    </row>
    <row r="46" spans="2:14" ht="18.75" x14ac:dyDescent="0.25">
      <c r="B46" s="114" t="s">
        <v>65</v>
      </c>
      <c r="C46" s="115"/>
      <c r="D46" s="115"/>
      <c r="E46" s="115"/>
      <c r="F46" s="115"/>
    </row>
    <row r="48" spans="2:14" x14ac:dyDescent="0.25">
      <c r="B48" s="195" t="s">
        <v>63</v>
      </c>
      <c r="C48" s="196"/>
    </row>
    <row r="49" spans="2:4" x14ac:dyDescent="0.25">
      <c r="B49" s="121" t="s">
        <v>220</v>
      </c>
      <c r="C49" s="69">
        <f>Calculations!X38</f>
        <v>1377.1508375116036</v>
      </c>
      <c r="D49" s="133"/>
    </row>
  </sheetData>
  <sheetProtection algorithmName="SHA-512" hashValue="b+oJH7XeV+MVTWQBwwLZo7GB23sQOQgTkjpvcBYe5c4nC5ln9SS+/0GFuTQSkRsivXuDRaKKa0qbAp5juFNX4A==" saltValue="M9HowdJPFIlkk9L0orIQRQ==" spinCount="100000" sheet="1" objects="1" scenarios="1"/>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 type="list" allowBlank="1" showInputMessage="1" showErrorMessage="1" xr:uid="{E82BF87A-3ACB-499E-B14A-B2D01385F60A}">
          <x14:formula1>
            <xm:f>Calculations!$I$7:$I$139</xm:f>
          </x14:formula1>
          <xm:sqref>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zoomScale="55" zoomScaleNormal="55" workbookViewId="0">
      <selection activeCell="K15" sqref="K15"/>
    </sheetView>
  </sheetViews>
  <sheetFormatPr defaultColWidth="8.85546875" defaultRowHeight="15" x14ac:dyDescent="0.25"/>
  <cols>
    <col min="1" max="1" width="8.85546875" style="77"/>
    <col min="2" max="2" width="27.7109375" style="77" bestFit="1" customWidth="1"/>
    <col min="3" max="3" width="15" style="77" customWidth="1"/>
    <col min="4" max="4" width="17.140625" style="77" customWidth="1"/>
    <col min="5" max="5" width="16.42578125" style="77" bestFit="1" customWidth="1"/>
    <col min="6" max="6" width="21.5703125" style="77" customWidth="1"/>
    <col min="7" max="7" width="2.85546875" style="77" customWidth="1"/>
    <col min="8" max="8" width="27.5703125" style="77" customWidth="1"/>
    <col min="9" max="9" width="14.140625" style="77" customWidth="1"/>
    <col min="10" max="10" width="15.140625" style="77" bestFit="1" customWidth="1"/>
    <col min="11" max="11" width="16.42578125" style="77" bestFit="1" customWidth="1"/>
    <col min="12" max="12" width="23.140625" style="77" customWidth="1"/>
    <col min="13" max="13" width="9.7109375" style="77" customWidth="1"/>
    <col min="14" max="14" width="30.140625" style="77" customWidth="1"/>
    <col min="15" max="15" width="12" style="77" customWidth="1"/>
    <col min="16" max="17" width="15.28515625" style="77" customWidth="1"/>
    <col min="18" max="18" width="26.85546875" style="77" customWidth="1"/>
    <col min="19" max="19" width="5.140625" style="77" customWidth="1"/>
    <col min="20" max="20" width="4.85546875" style="77" customWidth="1"/>
    <col min="21" max="21" width="23.5703125" style="77" bestFit="1" customWidth="1"/>
    <col min="22" max="22" width="19.42578125" style="77" bestFit="1" customWidth="1"/>
    <col min="23" max="16384" width="8.85546875" style="77"/>
  </cols>
  <sheetData>
    <row r="1" spans="1:22" ht="33.75" customHeight="1" x14ac:dyDescent="0.25">
      <c r="A1"/>
      <c r="B1" s="92"/>
      <c r="C1" s="204" t="s">
        <v>226</v>
      </c>
      <c r="D1" s="204"/>
      <c r="E1" s="87"/>
      <c r="F1" s="205" t="s">
        <v>224</v>
      </c>
      <c r="G1" s="205"/>
      <c r="H1" s="205"/>
      <c r="I1"/>
      <c r="J1"/>
      <c r="K1"/>
      <c r="L1"/>
      <c r="M1"/>
      <c r="N1"/>
      <c r="O1"/>
      <c r="P1"/>
      <c r="Q1"/>
      <c r="R1"/>
      <c r="S1"/>
      <c r="T1"/>
      <c r="U1"/>
      <c r="V1"/>
    </row>
    <row r="2" spans="1:22" x14ac:dyDescent="0.25">
      <c r="A2"/>
      <c r="B2"/>
      <c r="C2"/>
      <c r="D2"/>
      <c r="E2"/>
      <c r="F2"/>
      <c r="G2"/>
      <c r="H2"/>
      <c r="I2"/>
      <c r="J2"/>
      <c r="K2"/>
      <c r="L2"/>
      <c r="M2"/>
      <c r="N2"/>
      <c r="O2"/>
      <c r="P2"/>
      <c r="Q2"/>
      <c r="R2"/>
      <c r="S2"/>
      <c r="T2"/>
      <c r="U2"/>
      <c r="V2"/>
    </row>
    <row r="3" spans="1:22" x14ac:dyDescent="0.25">
      <c r="A3"/>
      <c r="B3" s="200" t="s">
        <v>223</v>
      </c>
      <c r="C3" s="201"/>
      <c r="D3" s="201"/>
      <c r="E3" s="201"/>
      <c r="F3" s="202"/>
      <c r="G3"/>
      <c r="H3" s="200" t="s">
        <v>196</v>
      </c>
      <c r="I3" s="201"/>
      <c r="J3" s="201"/>
      <c r="K3" s="201"/>
      <c r="L3" s="202"/>
      <c r="M3"/>
      <c r="N3" s="200" t="s">
        <v>240</v>
      </c>
      <c r="O3" s="201"/>
      <c r="P3" s="201"/>
      <c r="Q3" s="201"/>
      <c r="R3" s="202"/>
      <c r="S3"/>
      <c r="T3"/>
      <c r="U3"/>
      <c r="V3"/>
    </row>
    <row r="4" spans="1:22" s="90" customFormat="1" ht="75" x14ac:dyDescent="0.25">
      <c r="A4" s="93"/>
      <c r="B4" s="94" t="s">
        <v>450</v>
      </c>
      <c r="C4" s="95" t="s">
        <v>222</v>
      </c>
      <c r="D4" s="94" t="s">
        <v>206</v>
      </c>
      <c r="E4" s="94" t="s">
        <v>445</v>
      </c>
      <c r="F4" s="94" t="s">
        <v>228</v>
      </c>
      <c r="G4" s="93"/>
      <c r="H4" s="94" t="s">
        <v>450</v>
      </c>
      <c r="I4" s="95" t="s">
        <v>221</v>
      </c>
      <c r="J4" s="94" t="s">
        <v>206</v>
      </c>
      <c r="K4" s="94" t="s">
        <v>445</v>
      </c>
      <c r="L4" s="94" t="s">
        <v>228</v>
      </c>
      <c r="M4" s="93"/>
      <c r="N4" s="94" t="s">
        <v>450</v>
      </c>
      <c r="O4" s="95" t="s">
        <v>241</v>
      </c>
      <c r="P4" s="94" t="s">
        <v>206</v>
      </c>
      <c r="Q4" s="94" t="s">
        <v>445</v>
      </c>
      <c r="R4" s="94" t="s">
        <v>229</v>
      </c>
      <c r="S4" s="93"/>
      <c r="T4" s="93"/>
      <c r="U4" s="94" t="s">
        <v>332</v>
      </c>
      <c r="V4" s="94" t="s">
        <v>331</v>
      </c>
    </row>
    <row r="5" spans="1:22" x14ac:dyDescent="0.25">
      <c r="A5"/>
      <c r="B5" s="92" t="s">
        <v>148</v>
      </c>
      <c r="C5" s="68">
        <f>(SUMIFS('Raw Crash data'!Z:Z,'Raw Crash data'!Q:Q,$U$5)+SUMIFS('Raw Crash data'!Z:Z,'Raw Crash data'!Q:Q,$U$6))</f>
        <v>0</v>
      </c>
      <c r="D5" s="70">
        <f>C5/5</f>
        <v>0</v>
      </c>
      <c r="E5" s="71">
        <f>(100000000*$C5)/(365*5*'Inputs &amp; Outputs'!$C$40*'Inputs &amp; Outputs'!$C$11)</f>
        <v>0</v>
      </c>
      <c r="F5" s="71">
        <f>(E5*('Inputs &amp; Outputs'!$C$41*'Inputs &amp; Outputs'!$C$11*365))/100000000</f>
        <v>0</v>
      </c>
      <c r="G5"/>
      <c r="H5" s="92" t="s">
        <v>148</v>
      </c>
      <c r="I5" s="68">
        <f>SUMIFS('Raw Crash data'!Z:Z,'Raw Crash data'!Q:Q,$V$5)+SUMIFS('Raw Crash data'!Z:Z,'Raw Crash data'!Q:Q,$V$6)</f>
        <v>0</v>
      </c>
      <c r="J5" s="70">
        <f>I5/5</f>
        <v>0</v>
      </c>
      <c r="K5" s="71">
        <f>(100000000*$I5)/(365*5*'Inputs &amp; Outputs'!$C$40*'Inputs &amp; Outputs'!$C$11)</f>
        <v>0</v>
      </c>
      <c r="L5" s="71">
        <f>($K5*(('Inputs &amp; Outputs'!$C$41*'Inputs &amp; Outputs'!$C$11*365)/100000000))</f>
        <v>0</v>
      </c>
      <c r="M5"/>
      <c r="N5" s="92" t="s">
        <v>148</v>
      </c>
      <c r="O5" s="68">
        <f>C5+I5</f>
        <v>0</v>
      </c>
      <c r="P5" s="70">
        <f>O5/5</f>
        <v>0</v>
      </c>
      <c r="Q5" s="71">
        <f>(100000000*$O5)/(365*5*'Inputs &amp; Outputs'!$C$40*'Inputs &amp; Outputs'!$C$11)</f>
        <v>0</v>
      </c>
      <c r="R5" s="71">
        <f>($Q5*(('Inputs &amp; Outputs'!$C$41*'Inputs &amp; Outputs'!$C$11*365)/100000000))</f>
        <v>0</v>
      </c>
      <c r="S5"/>
      <c r="T5"/>
      <c r="U5" s="40" t="s">
        <v>330</v>
      </c>
      <c r="V5" s="40" t="s">
        <v>329</v>
      </c>
    </row>
    <row r="6" spans="1:22" x14ac:dyDescent="0.25">
      <c r="A6"/>
      <c r="B6" s="92" t="s">
        <v>197</v>
      </c>
      <c r="C6" s="68">
        <f>(SUMIFS('Raw Crash data'!AA:AA,'Raw Crash data'!Q:Q,$U$5)+SUMIFS('Raw Crash data'!AA:AA,'Raw Crash data'!Q:Q,$U$6))</f>
        <v>1</v>
      </c>
      <c r="D6" s="70">
        <f>C6/5</f>
        <v>0.2</v>
      </c>
      <c r="E6" s="71">
        <f>(100000000*$C6)/(365*5*'Inputs &amp; Outputs'!$C$40*'Inputs &amp; Outputs'!$C$11)</f>
        <v>1.1441420863376026</v>
      </c>
      <c r="F6" s="71">
        <f>(E6*('Inputs &amp; Outputs'!$C$41*'Inputs &amp; Outputs'!$C$11*365))/100000000</f>
        <v>0.22994377273896585</v>
      </c>
      <c r="G6"/>
      <c r="H6" s="92" t="s">
        <v>197</v>
      </c>
      <c r="I6" s="68">
        <f>(SUMIFS('Raw Crash data'!AA:AA,'Raw Crash data'!Q:Q,$V$5)+SUMIFS('Raw Crash data'!AA:AA,'Raw Crash data'!Q:Q,$V$8))</f>
        <v>0</v>
      </c>
      <c r="J6" s="70">
        <f>I6/5</f>
        <v>0</v>
      </c>
      <c r="K6" s="71">
        <f>(100000000*$I6)/(365*5*'Inputs &amp; Outputs'!$C$40*'Inputs &amp; Outputs'!$C$11)</f>
        <v>0</v>
      </c>
      <c r="L6" s="71">
        <f>($K6*(('Inputs &amp; Outputs'!$C$41*'Inputs &amp; Outputs'!$C$11*365)/100000000))</f>
        <v>0</v>
      </c>
      <c r="M6"/>
      <c r="N6" s="92" t="s">
        <v>197</v>
      </c>
      <c r="O6" s="68">
        <f t="shared" ref="O6:O30" si="0">C6+I6</f>
        <v>1</v>
      </c>
      <c r="P6" s="70">
        <f>O6/5</f>
        <v>0.2</v>
      </c>
      <c r="Q6" s="71">
        <f>(100000000*$O6)/(365*5*'Inputs &amp; Outputs'!$C$40*'Inputs &amp; Outputs'!$C$11)</f>
        <v>1.1441420863376026</v>
      </c>
      <c r="R6" s="71">
        <f>($Q6*(('Inputs &amp; Outputs'!$C$41*'Inputs &amp; Outputs'!$C$11*365)/100000000))</f>
        <v>0.22994377273896585</v>
      </c>
      <c r="S6"/>
      <c r="T6"/>
      <c r="U6" s="40" t="s">
        <v>325</v>
      </c>
      <c r="V6" s="40" t="s">
        <v>278</v>
      </c>
    </row>
    <row r="7" spans="1:22" x14ac:dyDescent="0.25">
      <c r="A7"/>
      <c r="B7" s="92" t="s">
        <v>198</v>
      </c>
      <c r="C7" s="68">
        <f>(SUMIFS('Raw Crash data'!AB:AB,'Raw Crash data'!Q:Q,$U$5)+SUMIFS('Raw Crash data'!AB:AB,'Raw Crash data'!Q:Q,$U$6))</f>
        <v>0</v>
      </c>
      <c r="D7" s="70">
        <f t="shared" ref="D7:D8" si="1">C7/5</f>
        <v>0</v>
      </c>
      <c r="E7" s="71">
        <f>(100000000*$C7)/(365*5*'Inputs &amp; Outputs'!$C$40*'Inputs &amp; Outputs'!$C$11)</f>
        <v>0</v>
      </c>
      <c r="F7" s="71">
        <f>(E7*('Inputs &amp; Outputs'!$C$41*'Inputs &amp; Outputs'!$C$11*365))/100000000</f>
        <v>0</v>
      </c>
      <c r="G7"/>
      <c r="H7" s="92" t="s">
        <v>198</v>
      </c>
      <c r="I7" s="68">
        <f>(SUMIFS('Raw Crash data'!AB:AB,'Raw Crash data'!Q:Q,$V$5)+SUMIFS('Raw Crash data'!AB:AB,'Raw Crash data'!Q:Q,$V$6))</f>
        <v>1</v>
      </c>
      <c r="J7" s="70">
        <f t="shared" ref="J7:J8" si="2">I7/5</f>
        <v>0.2</v>
      </c>
      <c r="K7" s="71">
        <f>(100000000*$I7)/(365*5*'Inputs &amp; Outputs'!$C$40*'Inputs &amp; Outputs'!$C$11)</f>
        <v>1.1441420863376026</v>
      </c>
      <c r="L7" s="71">
        <f>($K7*(('Inputs &amp; Outputs'!$C$41*'Inputs &amp; Outputs'!$C$11*365)/100000000))</f>
        <v>0.22994377273896585</v>
      </c>
      <c r="M7"/>
      <c r="N7" s="92" t="s">
        <v>198</v>
      </c>
      <c r="O7" s="68">
        <f t="shared" si="0"/>
        <v>1</v>
      </c>
      <c r="P7" s="70">
        <f t="shared" ref="P7:P8" si="3">O7/5</f>
        <v>0.2</v>
      </c>
      <c r="Q7" s="71">
        <f>(100000000*$O7)/(365*5*'Inputs &amp; Outputs'!$C$40*'Inputs &amp; Outputs'!$C$11)</f>
        <v>1.1441420863376026</v>
      </c>
      <c r="R7" s="71">
        <f>($Q7*(('Inputs &amp; Outputs'!$C$41*'Inputs &amp; Outputs'!$C$11*365)/100000000))</f>
        <v>0.22994377273896585</v>
      </c>
      <c r="S7"/>
      <c r="T7"/>
      <c r="U7"/>
      <c r="V7"/>
    </row>
    <row r="8" spans="1:22" x14ac:dyDescent="0.25">
      <c r="A8"/>
      <c r="B8" s="92" t="s">
        <v>199</v>
      </c>
      <c r="C8" s="68">
        <f>(SUMIFS('Raw Crash data'!AC:AC,'Raw Crash data'!Q:Q,$U$5)+SUMIFS('Raw Crash data'!AC:AC,'Raw Crash data'!Q:Q,$U$6))</f>
        <v>1</v>
      </c>
      <c r="D8" s="70">
        <f t="shared" si="1"/>
        <v>0.2</v>
      </c>
      <c r="E8" s="71">
        <f>(100000000*$C8)/(365*5*'Inputs &amp; Outputs'!$C$40*'Inputs &amp; Outputs'!$C$11)</f>
        <v>1.1441420863376026</v>
      </c>
      <c r="F8" s="71">
        <f>(E8*('Inputs &amp; Outputs'!$C$41*'Inputs &amp; Outputs'!$C$11*365))/100000000</f>
        <v>0.22994377273896585</v>
      </c>
      <c r="G8"/>
      <c r="H8" s="92" t="s">
        <v>199</v>
      </c>
      <c r="I8" s="68">
        <f>(SUMIFS('Raw Crash data'!AC:AC,'Raw Crash data'!Q:Q,$V$5)+SUMIFS('Raw Crash data'!AC:AC,'Raw Crash data'!Q:Q,$V$6))</f>
        <v>2</v>
      </c>
      <c r="J8" s="70">
        <f t="shared" si="2"/>
        <v>0.4</v>
      </c>
      <c r="K8" s="71">
        <f>(100000000*$I8)/(365*5*'Inputs &amp; Outputs'!$C$40*'Inputs &amp; Outputs'!$C$11)</f>
        <v>2.2882841726752052</v>
      </c>
      <c r="L8" s="71">
        <f>($K8*(('Inputs &amp; Outputs'!$C$41*'Inputs &amp; Outputs'!$C$11*365)/100000000))</f>
        <v>0.4598875454779317</v>
      </c>
      <c r="M8"/>
      <c r="N8" s="92" t="s">
        <v>199</v>
      </c>
      <c r="O8" s="68">
        <f>C8+I8</f>
        <v>3</v>
      </c>
      <c r="P8" s="70">
        <f t="shared" si="3"/>
        <v>0.6</v>
      </c>
      <c r="Q8" s="71">
        <f>(100000000*$O8)/(365*5*'Inputs &amp; Outputs'!$C$40*'Inputs &amp; Outputs'!$C$11)</f>
        <v>3.4324262590128076</v>
      </c>
      <c r="R8" s="71">
        <f>($Q8*(('Inputs &amp; Outputs'!$C$41*'Inputs &amp; Outputs'!$C$11*365)/100000000))</f>
        <v>0.68983131821689758</v>
      </c>
      <c r="S8"/>
      <c r="T8"/>
      <c r="U8"/>
      <c r="V8"/>
    </row>
    <row r="9" spans="1:22" x14ac:dyDescent="0.25">
      <c r="A9"/>
      <c r="B9" s="92"/>
      <c r="C9" s="68"/>
      <c r="D9" s="70"/>
      <c r="E9" s="71"/>
      <c r="F9" s="71"/>
      <c r="G9"/>
      <c r="H9" s="92"/>
      <c r="I9" s="68"/>
      <c r="J9" s="70"/>
      <c r="K9" s="71"/>
      <c r="L9" s="71"/>
      <c r="M9"/>
      <c r="N9" s="92"/>
      <c r="O9" s="68"/>
      <c r="P9" s="70"/>
      <c r="Q9" s="71"/>
      <c r="R9" s="71"/>
      <c r="S9"/>
      <c r="T9"/>
      <c r="U9"/>
      <c r="V9"/>
    </row>
    <row r="10" spans="1:22" x14ac:dyDescent="0.25">
      <c r="A10"/>
      <c r="B10"/>
      <c r="C10"/>
      <c r="D10"/>
      <c r="E10" s="74"/>
      <c r="F10" s="74"/>
      <c r="G10"/>
      <c r="H10"/>
      <c r="I10"/>
      <c r="J10"/>
      <c r="K10" s="74"/>
      <c r="L10" s="74"/>
      <c r="M10"/>
      <c r="N10"/>
      <c r="O10"/>
      <c r="P10"/>
      <c r="Q10"/>
      <c r="R10"/>
      <c r="S10"/>
      <c r="T10"/>
      <c r="U10"/>
      <c r="V10"/>
    </row>
    <row r="11" spans="1:22" s="90" customFormat="1" ht="15" customHeight="1" x14ac:dyDescent="0.25">
      <c r="A11" s="93"/>
      <c r="B11" s="203" t="s">
        <v>230</v>
      </c>
      <c r="C11" s="203"/>
      <c r="D11" s="203"/>
      <c r="E11" s="203"/>
      <c r="F11" s="203"/>
      <c r="G11" s="93"/>
      <c r="H11" s="96"/>
      <c r="I11" s="76"/>
      <c r="J11" s="76"/>
      <c r="K11" s="97"/>
      <c r="L11" s="97"/>
      <c r="M11" s="93"/>
      <c r="N11" s="93"/>
      <c r="O11" s="93"/>
      <c r="P11" s="93"/>
      <c r="Q11" s="93"/>
      <c r="R11" s="93"/>
      <c r="S11" s="93"/>
      <c r="T11" s="93"/>
      <c r="U11" s="93"/>
      <c r="V11" s="93"/>
    </row>
    <row r="12" spans="1:22" ht="30" x14ac:dyDescent="0.25">
      <c r="A12"/>
      <c r="B12" s="94"/>
      <c r="C12" s="94" t="s">
        <v>146</v>
      </c>
      <c r="D12" s="94" t="s">
        <v>207</v>
      </c>
      <c r="E12" s="94" t="s">
        <v>208</v>
      </c>
      <c r="F12" s="94" t="s">
        <v>209</v>
      </c>
      <c r="G12"/>
      <c r="H12" s="98"/>
      <c r="I12" s="99"/>
      <c r="J12" s="100"/>
      <c r="K12" s="101"/>
      <c r="L12" s="97"/>
      <c r="M12"/>
      <c r="N12"/>
      <c r="O12"/>
      <c r="P12"/>
      <c r="Q12"/>
      <c r="R12"/>
      <c r="S12"/>
      <c r="T12"/>
      <c r="U12"/>
      <c r="V12"/>
    </row>
    <row r="13" spans="1:22" ht="30" x14ac:dyDescent="0.25">
      <c r="A13"/>
      <c r="B13" s="94" t="s">
        <v>231</v>
      </c>
      <c r="C13" s="72">
        <f>$F$5</f>
        <v>0</v>
      </c>
      <c r="D13" s="72">
        <f>$F$6</f>
        <v>0.22994377273896585</v>
      </c>
      <c r="E13" s="72">
        <f>$F$7</f>
        <v>0</v>
      </c>
      <c r="F13" s="72">
        <f>$F$8</f>
        <v>0.22994377273896585</v>
      </c>
      <c r="G13"/>
      <c r="H13" s="102"/>
      <c r="I13" s="76"/>
      <c r="J13" s="76"/>
      <c r="K13" s="76"/>
      <c r="L13" s="76"/>
      <c r="M13"/>
      <c r="N13"/>
      <c r="O13"/>
      <c r="P13"/>
      <c r="Q13"/>
      <c r="R13"/>
      <c r="S13"/>
      <c r="T13"/>
      <c r="U13"/>
      <c r="V13"/>
    </row>
    <row r="14" spans="1:22" x14ac:dyDescent="0.25">
      <c r="A14"/>
      <c r="B14" s="94" t="s">
        <v>155</v>
      </c>
      <c r="C14" s="72">
        <f>$L$5</f>
        <v>0</v>
      </c>
      <c r="D14" s="72">
        <f>$L$6</f>
        <v>0</v>
      </c>
      <c r="E14" s="72">
        <f>$L$7</f>
        <v>0.22994377273896585</v>
      </c>
      <c r="F14" s="72">
        <f>$L$8</f>
        <v>0.4598875454779317</v>
      </c>
      <c r="G14"/>
      <c r="H14" s="76"/>
      <c r="I14" s="76"/>
      <c r="J14" s="76"/>
      <c r="K14" s="76"/>
      <c r="L14" s="76"/>
      <c r="M14"/>
      <c r="N14"/>
      <c r="O14"/>
      <c r="P14"/>
      <c r="Q14"/>
      <c r="R14"/>
      <c r="S14"/>
      <c r="T14"/>
      <c r="U14"/>
      <c r="V14"/>
    </row>
    <row r="15" spans="1:22" x14ac:dyDescent="0.25">
      <c r="A15"/>
      <c r="B15" s="94" t="s">
        <v>432</v>
      </c>
      <c r="C15" s="72">
        <v>0</v>
      </c>
      <c r="D15" s="72">
        <v>0</v>
      </c>
      <c r="E15" s="72">
        <v>0</v>
      </c>
      <c r="F15" s="72">
        <v>0</v>
      </c>
      <c r="G15"/>
      <c r="H15" s="76"/>
      <c r="I15" s="76"/>
      <c r="J15" s="76"/>
      <c r="K15" s="76"/>
      <c r="L15" s="76"/>
      <c r="M15"/>
      <c r="N15"/>
      <c r="O15"/>
      <c r="P15"/>
      <c r="Q15"/>
      <c r="R15"/>
      <c r="S15"/>
      <c r="T15"/>
      <c r="U15"/>
      <c r="V15"/>
    </row>
    <row r="16" spans="1:22" x14ac:dyDescent="0.25">
      <c r="A16"/>
      <c r="B16" s="94" t="s">
        <v>351</v>
      </c>
      <c r="C16" s="72">
        <f>C13+C14</f>
        <v>0</v>
      </c>
      <c r="D16" s="72">
        <f t="shared" ref="D16:F16" si="4">D13+D14</f>
        <v>0.22994377273896585</v>
      </c>
      <c r="E16" s="72">
        <f t="shared" si="4"/>
        <v>0.22994377273896585</v>
      </c>
      <c r="F16" s="72">
        <f t="shared" si="4"/>
        <v>0.68983131821689758</v>
      </c>
      <c r="G16"/>
      <c r="H16" s="76"/>
      <c r="I16" s="76"/>
      <c r="J16" s="76"/>
      <c r="K16" s="76"/>
      <c r="L16" s="76"/>
      <c r="M16"/>
      <c r="N16"/>
      <c r="O16"/>
      <c r="P16"/>
      <c r="Q16"/>
      <c r="R16"/>
      <c r="S16"/>
      <c r="T16"/>
      <c r="U16"/>
      <c r="V16"/>
    </row>
    <row r="17" spans="1:22" x14ac:dyDescent="0.25">
      <c r="A17"/>
      <c r="B17" s="103"/>
      <c r="C17" s="73"/>
      <c r="D17" s="73"/>
      <c r="E17" s="73"/>
      <c r="F17" s="73"/>
      <c r="G17"/>
      <c r="H17" s="76"/>
      <c r="I17" s="76"/>
      <c r="J17" s="76"/>
      <c r="K17" s="76"/>
      <c r="L17" s="76"/>
      <c r="M17"/>
      <c r="N17"/>
      <c r="O17"/>
      <c r="P17"/>
      <c r="Q17"/>
      <c r="R17"/>
      <c r="S17"/>
      <c r="T17"/>
      <c r="U17"/>
      <c r="V17"/>
    </row>
    <row r="18" spans="1:22" s="90" customFormat="1" ht="105" x14ac:dyDescent="0.25">
      <c r="A18" s="93"/>
      <c r="B18" s="94" t="s">
        <v>450</v>
      </c>
      <c r="C18" s="95" t="s">
        <v>222</v>
      </c>
      <c r="D18" s="94" t="s">
        <v>206</v>
      </c>
      <c r="E18" s="94" t="s">
        <v>386</v>
      </c>
      <c r="F18" s="94" t="s">
        <v>228</v>
      </c>
      <c r="G18" s="93"/>
      <c r="H18" s="94" t="s">
        <v>450</v>
      </c>
      <c r="I18" s="95" t="s">
        <v>221</v>
      </c>
      <c r="J18" s="94" t="s">
        <v>206</v>
      </c>
      <c r="K18" s="94" t="s">
        <v>446</v>
      </c>
      <c r="L18" s="94" t="s">
        <v>229</v>
      </c>
      <c r="M18" s="93"/>
      <c r="N18" s="94" t="s">
        <v>450</v>
      </c>
      <c r="O18" s="95" t="s">
        <v>241</v>
      </c>
      <c r="P18" s="94" t="s">
        <v>206</v>
      </c>
      <c r="Q18" s="94" t="s">
        <v>446</v>
      </c>
      <c r="R18" s="94" t="s">
        <v>229</v>
      </c>
      <c r="S18" s="93"/>
      <c r="T18" s="93"/>
      <c r="U18" s="94" t="s">
        <v>332</v>
      </c>
      <c r="V18" s="94" t="s">
        <v>331</v>
      </c>
    </row>
    <row r="19" spans="1:22" x14ac:dyDescent="0.25">
      <c r="A19"/>
      <c r="B19" s="92" t="s">
        <v>149</v>
      </c>
      <c r="C19" s="68">
        <f>(SUMIFS('Raw Crash data'!AG:AG,'Raw Crash data'!Q:Q,$U$5)+SUMIFS('Raw Crash data'!AG:AG,'Raw Crash data'!Q:Q,$U$6))</f>
        <v>0</v>
      </c>
      <c r="D19" s="70" t="s">
        <v>391</v>
      </c>
      <c r="E19" s="70" t="s">
        <v>391</v>
      </c>
      <c r="F19" s="70" t="s">
        <v>391</v>
      </c>
      <c r="G19"/>
      <c r="H19" s="92" t="s">
        <v>149</v>
      </c>
      <c r="I19" s="68">
        <f>(SUMIFS('Raw Crash data'!AG:AG,'Raw Crash data'!Q:Q,$V$5)+SUMIFS('Raw Crash data'!AG:AG,'Raw Crash data'!Q:Q,$V$6))</f>
        <v>0</v>
      </c>
      <c r="J19" s="70" t="s">
        <v>391</v>
      </c>
      <c r="K19" s="70" t="s">
        <v>391</v>
      </c>
      <c r="L19" s="70" t="s">
        <v>391</v>
      </c>
      <c r="M19"/>
      <c r="N19" s="92" t="s">
        <v>149</v>
      </c>
      <c r="O19" s="68">
        <f t="shared" si="0"/>
        <v>0</v>
      </c>
      <c r="P19" s="70" t="s">
        <v>391</v>
      </c>
      <c r="Q19" s="70" t="s">
        <v>391</v>
      </c>
      <c r="R19" s="70" t="s">
        <v>391</v>
      </c>
      <c r="S19"/>
      <c r="T19"/>
      <c r="U19"/>
      <c r="V19"/>
    </row>
    <row r="20" spans="1:22" x14ac:dyDescent="0.25">
      <c r="A20"/>
      <c r="B20" s="92" t="s">
        <v>201</v>
      </c>
      <c r="C20" s="68">
        <f>(SUMIFS('Raw Crash data'!AH:AH,'Raw Crash data'!Q:Q,$U$5)+SUMIFS('Raw Crash data'!AH:AH,'Raw Crash data'!Q:Q,$U$6))</f>
        <v>0</v>
      </c>
      <c r="D20" s="70" t="s">
        <v>391</v>
      </c>
      <c r="E20" s="70" t="s">
        <v>391</v>
      </c>
      <c r="F20" s="70" t="s">
        <v>391</v>
      </c>
      <c r="G20"/>
      <c r="H20" s="92" t="s">
        <v>201</v>
      </c>
      <c r="I20" s="68">
        <f>(SUMIFS('Raw Crash data'!AH:AH,'Raw Crash data'!Q:Q,$V$5)+SUMIFS('Raw Crash data'!AH:AH,'Raw Crash data'!Q:Q,$V$6))</f>
        <v>0</v>
      </c>
      <c r="J20" s="70" t="s">
        <v>391</v>
      </c>
      <c r="K20" s="70" t="s">
        <v>391</v>
      </c>
      <c r="L20" s="70" t="s">
        <v>391</v>
      </c>
      <c r="M20"/>
      <c r="N20" s="92" t="s">
        <v>201</v>
      </c>
      <c r="O20" s="68">
        <f t="shared" si="0"/>
        <v>0</v>
      </c>
      <c r="P20" s="70" t="s">
        <v>391</v>
      </c>
      <c r="Q20" s="70" t="s">
        <v>391</v>
      </c>
      <c r="R20" s="70" t="s">
        <v>391</v>
      </c>
      <c r="S20"/>
      <c r="T20"/>
      <c r="U20"/>
      <c r="V20"/>
    </row>
    <row r="21" spans="1:22" x14ac:dyDescent="0.25">
      <c r="A21"/>
      <c r="B21" s="92" t="s">
        <v>200</v>
      </c>
      <c r="C21" s="68">
        <f>(SUMIFS('Raw Crash data'!AI:AI,'Raw Crash data'!Q:Q,$U$5)+SUMIFS('Raw Crash data'!AI:AI,'Raw Crash data'!Q:Q,$U$6))</f>
        <v>0</v>
      </c>
      <c r="D21" s="70" t="s">
        <v>391</v>
      </c>
      <c r="E21" s="70" t="s">
        <v>391</v>
      </c>
      <c r="F21" s="70" t="s">
        <v>391</v>
      </c>
      <c r="G21"/>
      <c r="H21" s="92" t="s">
        <v>200</v>
      </c>
      <c r="I21" s="68">
        <f>(SUMIFS('Raw Crash data'!AI:AI,'Raw Crash data'!Q:Q,$V$5)+SUMIFS('Raw Crash data'!AI:AI,'Raw Crash data'!Q:Q,$V$6))</f>
        <v>0</v>
      </c>
      <c r="J21" s="70" t="s">
        <v>391</v>
      </c>
      <c r="K21" s="70" t="s">
        <v>391</v>
      </c>
      <c r="L21" s="70" t="s">
        <v>391</v>
      </c>
      <c r="M21"/>
      <c r="N21" s="92" t="s">
        <v>200</v>
      </c>
      <c r="O21" s="68">
        <f t="shared" si="0"/>
        <v>0</v>
      </c>
      <c r="P21" s="70" t="s">
        <v>391</v>
      </c>
      <c r="Q21" s="70" t="s">
        <v>391</v>
      </c>
      <c r="R21" s="70" t="s">
        <v>391</v>
      </c>
      <c r="S21"/>
      <c r="T21"/>
      <c r="U21"/>
      <c r="V21"/>
    </row>
    <row r="22" spans="1:22" x14ac:dyDescent="0.25">
      <c r="A22"/>
      <c r="B22" s="92" t="s">
        <v>202</v>
      </c>
      <c r="C22" s="68">
        <f>(SUMIFS('Raw Crash data'!AJ:AJ,'Raw Crash data'!Q:Q,$U$5)+SUMIFS('Raw Crash data'!AJ:AJ,'Raw Crash data'!Q:Q,$U$6))</f>
        <v>0</v>
      </c>
      <c r="D22" s="70" t="s">
        <v>391</v>
      </c>
      <c r="E22" s="70" t="s">
        <v>391</v>
      </c>
      <c r="F22" s="70" t="s">
        <v>391</v>
      </c>
      <c r="G22"/>
      <c r="H22" s="92" t="s">
        <v>202</v>
      </c>
      <c r="I22" s="68">
        <f>(SUMIFS('Raw Crash data'!AJ:AJ,'Raw Crash data'!Q:Q,$V$5)+SUMIFS('Raw Crash data'!AJ:AJ,'Raw Crash data'!Q:Q,$V$6))</f>
        <v>0</v>
      </c>
      <c r="J22" s="70" t="s">
        <v>391</v>
      </c>
      <c r="K22" s="70" t="s">
        <v>391</v>
      </c>
      <c r="L22" s="70" t="s">
        <v>391</v>
      </c>
      <c r="M22"/>
      <c r="N22" s="92" t="s">
        <v>202</v>
      </c>
      <c r="O22" s="68">
        <f t="shared" si="0"/>
        <v>0</v>
      </c>
      <c r="P22" s="70" t="s">
        <v>391</v>
      </c>
      <c r="Q22" s="70" t="s">
        <v>391</v>
      </c>
      <c r="R22" s="70" t="s">
        <v>391</v>
      </c>
      <c r="S22"/>
      <c r="T22"/>
      <c r="U22"/>
      <c r="V22"/>
    </row>
    <row r="23" spans="1:22" x14ac:dyDescent="0.25">
      <c r="A23"/>
      <c r="B23" s="92" t="s">
        <v>150</v>
      </c>
      <c r="C23" s="68">
        <f>(SUMIFS('Raw Crash data'!AN:AN,'Raw Crash data'!Q:Q,$U$5)+SUMIFS('Raw Crash data'!AN:AN,'Raw Crash data'!Q:Q,$U$6))</f>
        <v>0</v>
      </c>
      <c r="D23" s="70" t="s">
        <v>391</v>
      </c>
      <c r="E23" s="70" t="s">
        <v>391</v>
      </c>
      <c r="F23" s="70" t="s">
        <v>391</v>
      </c>
      <c r="G23"/>
      <c r="H23" s="92" t="s">
        <v>150</v>
      </c>
      <c r="I23" s="68">
        <f>(SUMIFS('Raw Crash data'!AN:AN,'Raw Crash data'!Q:Q,$V$5)+SUMIFS('Raw Crash data'!AN:AN,'Raw Crash data'!Q:Q,$V$6))</f>
        <v>0</v>
      </c>
      <c r="J23" s="70" t="s">
        <v>391</v>
      </c>
      <c r="K23" s="70" t="s">
        <v>391</v>
      </c>
      <c r="L23" s="70" t="s">
        <v>391</v>
      </c>
      <c r="M23"/>
      <c r="N23" s="92" t="s">
        <v>150</v>
      </c>
      <c r="O23" s="68">
        <f t="shared" si="0"/>
        <v>0</v>
      </c>
      <c r="P23" s="70" t="s">
        <v>391</v>
      </c>
      <c r="Q23" s="70" t="s">
        <v>391</v>
      </c>
      <c r="R23" s="70" t="s">
        <v>391</v>
      </c>
      <c r="S23"/>
      <c r="T23"/>
      <c r="U23"/>
      <c r="V23"/>
    </row>
    <row r="24" spans="1:22" x14ac:dyDescent="0.25">
      <c r="A24"/>
      <c r="B24" s="92" t="s">
        <v>203</v>
      </c>
      <c r="C24" s="68">
        <f>(SUMIFS('Raw Crash data'!AO:AO,'Raw Crash data'!Q:Q,$U$5)+SUMIFS('Raw Crash data'!AO:AO,'Raw Crash data'!Q:Q,$U$6))</f>
        <v>0</v>
      </c>
      <c r="D24" s="70" t="s">
        <v>391</v>
      </c>
      <c r="E24" s="70" t="s">
        <v>391</v>
      </c>
      <c r="F24" s="70" t="s">
        <v>391</v>
      </c>
      <c r="G24"/>
      <c r="H24" s="92" t="s">
        <v>203</v>
      </c>
      <c r="I24" s="68">
        <f>(SUMIFS('Raw Crash data'!AO:AO,'Raw Crash data'!Q:Q,$V$5)+SUMIFS('Raw Crash data'!AO:AO,'Raw Crash data'!Q:Q,$V$6))</f>
        <v>0</v>
      </c>
      <c r="J24" s="70" t="s">
        <v>391</v>
      </c>
      <c r="K24" s="70" t="s">
        <v>391</v>
      </c>
      <c r="L24" s="70" t="s">
        <v>391</v>
      </c>
      <c r="M24"/>
      <c r="N24" s="92" t="s">
        <v>203</v>
      </c>
      <c r="O24" s="68">
        <f t="shared" si="0"/>
        <v>0</v>
      </c>
      <c r="P24" s="70" t="s">
        <v>391</v>
      </c>
      <c r="Q24" s="70" t="s">
        <v>391</v>
      </c>
      <c r="R24" s="70" t="s">
        <v>391</v>
      </c>
      <c r="S24"/>
      <c r="T24"/>
      <c r="U24"/>
      <c r="V24"/>
    </row>
    <row r="25" spans="1:22" x14ac:dyDescent="0.25">
      <c r="A25"/>
      <c r="B25" s="92" t="s">
        <v>204</v>
      </c>
      <c r="C25" s="68">
        <f>(SUMIFS('Raw Crash data'!AP:AP,'Raw Crash data'!Q:Q,$U$5)+SUMIFS('Raw Crash data'!AP:AP,'Raw Crash data'!Q:Q,$U$6))</f>
        <v>0</v>
      </c>
      <c r="D25" s="70" t="s">
        <v>391</v>
      </c>
      <c r="E25" s="70" t="s">
        <v>391</v>
      </c>
      <c r="F25" s="70" t="s">
        <v>391</v>
      </c>
      <c r="G25"/>
      <c r="H25" s="92" t="s">
        <v>204</v>
      </c>
      <c r="I25" s="68">
        <f>(SUMIFS('Raw Crash data'!AP:AP,'Raw Crash data'!Q:Q,$V$5)+SUMIFS('Raw Crash data'!AP:AP,'Raw Crash data'!Q:Q,$V$6))</f>
        <v>0</v>
      </c>
      <c r="J25" s="70" t="s">
        <v>391</v>
      </c>
      <c r="K25" s="70" t="s">
        <v>391</v>
      </c>
      <c r="L25" s="70" t="s">
        <v>391</v>
      </c>
      <c r="M25"/>
      <c r="N25" s="92" t="s">
        <v>204</v>
      </c>
      <c r="O25" s="68">
        <f t="shared" si="0"/>
        <v>0</v>
      </c>
      <c r="P25" s="70" t="s">
        <v>391</v>
      </c>
      <c r="Q25" s="70" t="s">
        <v>391</v>
      </c>
      <c r="R25" s="70" t="s">
        <v>391</v>
      </c>
      <c r="S25"/>
      <c r="T25"/>
      <c r="U25"/>
      <c r="V25"/>
    </row>
    <row r="26" spans="1:22" x14ac:dyDescent="0.25">
      <c r="A26"/>
      <c r="B26" s="92" t="s">
        <v>205</v>
      </c>
      <c r="C26" s="68">
        <f>(SUMIFS('Raw Crash data'!AQ:AQ,'Raw Crash data'!Q:Q,$U$5)+SUMIFS('Raw Crash data'!AQ:AQ,'Raw Crash data'!Q:Q,$U$6))</f>
        <v>0</v>
      </c>
      <c r="D26" s="70" t="s">
        <v>391</v>
      </c>
      <c r="E26" s="70" t="s">
        <v>391</v>
      </c>
      <c r="F26" s="70" t="s">
        <v>391</v>
      </c>
      <c r="G26"/>
      <c r="H26" s="92" t="s">
        <v>205</v>
      </c>
      <c r="I26" s="68">
        <f>(SUMIFS('Raw Crash data'!AQ:AQ,'Raw Crash data'!Q:Q,$V$5)+SUMIFS('Raw Crash data'!AQ:AQ,'Raw Crash data'!Q:Q,$V$6))</f>
        <v>0</v>
      </c>
      <c r="J26" s="70" t="s">
        <v>391</v>
      </c>
      <c r="K26" s="70" t="s">
        <v>391</v>
      </c>
      <c r="L26" s="70" t="s">
        <v>391</v>
      </c>
      <c r="M26"/>
      <c r="N26" s="92" t="s">
        <v>205</v>
      </c>
      <c r="O26" s="68">
        <f t="shared" si="0"/>
        <v>0</v>
      </c>
      <c r="P26" s="70" t="s">
        <v>391</v>
      </c>
      <c r="Q26" s="70" t="s">
        <v>391</v>
      </c>
      <c r="R26" s="70" t="s">
        <v>391</v>
      </c>
      <c r="S26"/>
      <c r="T26"/>
      <c r="U26"/>
      <c r="V26"/>
    </row>
    <row r="27" spans="1:22" x14ac:dyDescent="0.25">
      <c r="A27"/>
      <c r="B27" s="92" t="s">
        <v>387</v>
      </c>
      <c r="C27" s="68">
        <f>C19+C23</f>
        <v>0</v>
      </c>
      <c r="D27" s="70">
        <f>C27/5</f>
        <v>0</v>
      </c>
      <c r="E27" s="71">
        <f>($D27*1000000)/(365*5*'Inputs &amp; Outputs'!$C$42)</f>
        <v>0</v>
      </c>
      <c r="F27" s="71">
        <f>$E27*(('Inputs &amp; Outputs'!$C$43*365)/1000000)</f>
        <v>0</v>
      </c>
      <c r="G27"/>
      <c r="H27" s="92" t="s">
        <v>146</v>
      </c>
      <c r="I27" s="68">
        <f>I19+I23</f>
        <v>0</v>
      </c>
      <c r="J27" s="70">
        <f>I27/5</f>
        <v>0</v>
      </c>
      <c r="K27" s="71">
        <f>(($I27*1000000)/(365*5*'Inputs &amp; Outputs'!$C$42))</f>
        <v>0</v>
      </c>
      <c r="L27" s="71">
        <f>$K27*(('Inputs &amp; Outputs'!C42*365)/1000000)</f>
        <v>0</v>
      </c>
      <c r="M27"/>
      <c r="N27" s="92" t="s">
        <v>146</v>
      </c>
      <c r="O27" s="68">
        <f t="shared" si="0"/>
        <v>0</v>
      </c>
      <c r="P27" s="70">
        <f>O27/5</f>
        <v>0</v>
      </c>
      <c r="Q27" s="71">
        <f>(($O27*1000000)/(365*5*'Inputs &amp; Outputs'!$C$42))</f>
        <v>0</v>
      </c>
      <c r="R27" s="71">
        <f>$Q27*((365*'Inputs &amp; Outputs'!$C$43)/1000000)</f>
        <v>0</v>
      </c>
      <c r="S27"/>
      <c r="T27"/>
      <c r="U27"/>
      <c r="V27"/>
    </row>
    <row r="28" spans="1:22" x14ac:dyDescent="0.25">
      <c r="A28"/>
      <c r="B28" s="92" t="s">
        <v>389</v>
      </c>
      <c r="C28" s="68">
        <f t="shared" ref="C28:C30" si="5">C20+C24</f>
        <v>0</v>
      </c>
      <c r="D28" s="70">
        <f>C28/5</f>
        <v>0</v>
      </c>
      <c r="E28" s="71">
        <f>($D28*1000000)/(365*5*'Inputs &amp; Outputs'!$C$42)</f>
        <v>0</v>
      </c>
      <c r="F28" s="71">
        <f>$E28*(('Inputs &amp; Outputs'!$C$43*365)/1000000)</f>
        <v>0</v>
      </c>
      <c r="G28"/>
      <c r="H28" s="92" t="s">
        <v>147</v>
      </c>
      <c r="I28" s="68">
        <f t="shared" ref="I28:I30" si="6">I20+I24</f>
        <v>0</v>
      </c>
      <c r="J28" s="70">
        <f>I28/5</f>
        <v>0</v>
      </c>
      <c r="K28" s="71">
        <f>(($I28*1000000)/(365*5*'Inputs &amp; Outputs'!$C$42))</f>
        <v>0</v>
      </c>
      <c r="L28" s="71">
        <f>$K28*(('Inputs &amp; Outputs'!C43*365)/1000000)</f>
        <v>0</v>
      </c>
      <c r="M28"/>
      <c r="N28" s="92" t="s">
        <v>147</v>
      </c>
      <c r="O28" s="68">
        <f t="shared" si="0"/>
        <v>0</v>
      </c>
      <c r="P28" s="70">
        <f>O28/5</f>
        <v>0</v>
      </c>
      <c r="Q28" s="71">
        <f>(($O28*1000000)/(365*5*'Inputs &amp; Outputs'!$C$42))</f>
        <v>0</v>
      </c>
      <c r="R28" s="71">
        <f>$Q28*((365*'Inputs &amp; Outputs'!$C$43)/1000000)</f>
        <v>0</v>
      </c>
      <c r="S28"/>
      <c r="T28"/>
      <c r="U28"/>
      <c r="V28"/>
    </row>
    <row r="29" spans="1:22" x14ac:dyDescent="0.25">
      <c r="A29"/>
      <c r="B29" s="92" t="s">
        <v>388</v>
      </c>
      <c r="C29" s="68">
        <f t="shared" si="5"/>
        <v>0</v>
      </c>
      <c r="D29" s="70">
        <f>C29/5</f>
        <v>0</v>
      </c>
      <c r="E29" s="71">
        <f>($D29*1000000)/(365*5*'Inputs &amp; Outputs'!$C$42)</f>
        <v>0</v>
      </c>
      <c r="F29" s="71">
        <f>$E29*(('Inputs &amp; Outputs'!$C$43*365)/1000000)</f>
        <v>0</v>
      </c>
      <c r="G29"/>
      <c r="H29" s="92" t="s">
        <v>147</v>
      </c>
      <c r="I29" s="68">
        <f t="shared" si="6"/>
        <v>0</v>
      </c>
      <c r="J29" s="70">
        <f>I29/5</f>
        <v>0</v>
      </c>
      <c r="K29" s="71">
        <f>(($I29*1000000)/(365*5*'Inputs &amp; Outputs'!$C$42))</f>
        <v>0</v>
      </c>
      <c r="L29" s="71">
        <f>$K29*(('Inputs &amp; Outputs'!C44*365)/1000000)</f>
        <v>0</v>
      </c>
      <c r="M29"/>
      <c r="N29" s="92" t="s">
        <v>147</v>
      </c>
      <c r="O29" s="68">
        <f t="shared" si="0"/>
        <v>0</v>
      </c>
      <c r="P29" s="70">
        <f>O29/5</f>
        <v>0</v>
      </c>
      <c r="Q29" s="71">
        <f>(($O29*1000000)/(365*5*'Inputs &amp; Outputs'!$C$42))</f>
        <v>0</v>
      </c>
      <c r="R29" s="71">
        <f>$Q29*((365*'Inputs &amp; Outputs'!$C$43)/1000000)</f>
        <v>0</v>
      </c>
      <c r="S29"/>
      <c r="T29"/>
      <c r="U29"/>
      <c r="V29"/>
    </row>
    <row r="30" spans="1:22" x14ac:dyDescent="0.25">
      <c r="A30"/>
      <c r="B30" s="92" t="s">
        <v>390</v>
      </c>
      <c r="C30" s="68">
        <f t="shared" si="5"/>
        <v>0</v>
      </c>
      <c r="D30" s="70">
        <f>C30/5</f>
        <v>0</v>
      </c>
      <c r="E30" s="71">
        <f>($D30*1000000)/(365*5*'Inputs &amp; Outputs'!$C$42)</f>
        <v>0</v>
      </c>
      <c r="F30" s="71">
        <f>$E30*(('Inputs &amp; Outputs'!$C$43*365)/1000000)</f>
        <v>0</v>
      </c>
      <c r="G30"/>
      <c r="H30" s="92" t="s">
        <v>147</v>
      </c>
      <c r="I30" s="68">
        <f t="shared" si="6"/>
        <v>0</v>
      </c>
      <c r="J30" s="70">
        <f>I30/5</f>
        <v>0</v>
      </c>
      <c r="K30" s="71">
        <f>(($I30*1000000)/(365*5*'Inputs &amp; Outputs'!$C$42))</f>
        <v>0</v>
      </c>
      <c r="L30" s="71">
        <f>$K30*(('Inputs &amp; Outputs'!C45*365)/1000000)</f>
        <v>0</v>
      </c>
      <c r="M30"/>
      <c r="N30" s="92" t="s">
        <v>147</v>
      </c>
      <c r="O30" s="68">
        <f t="shared" si="0"/>
        <v>0</v>
      </c>
      <c r="P30" s="70">
        <f>O30/5</f>
        <v>0</v>
      </c>
      <c r="Q30" s="71">
        <f>(($O30*1000000)/(365*5*'Inputs &amp; Outputs'!$C$42))</f>
        <v>0</v>
      </c>
      <c r="R30" s="71">
        <f>$Q30*((365*'Inputs &amp; Outputs'!$C$43)/1000000)</f>
        <v>0</v>
      </c>
      <c r="S30"/>
      <c r="T30"/>
      <c r="U30"/>
      <c r="V30"/>
    </row>
    <row r="31" spans="1:22" x14ac:dyDescent="0.25">
      <c r="A31"/>
      <c r="B31"/>
      <c r="C31"/>
      <c r="D31"/>
      <c r="E31" s="74"/>
      <c r="F31" s="74"/>
      <c r="G31"/>
      <c r="H31"/>
      <c r="I31"/>
      <c r="J31"/>
      <c r="K31" s="74"/>
      <c r="L31" s="74"/>
      <c r="M31"/>
      <c r="N31"/>
      <c r="O31"/>
      <c r="P31"/>
      <c r="Q31"/>
      <c r="R31"/>
      <c r="S31"/>
      <c r="T31"/>
      <c r="U31"/>
      <c r="V31"/>
    </row>
    <row r="32" spans="1:22" s="90" customFormat="1" ht="15" customHeight="1" x14ac:dyDescent="0.25">
      <c r="A32" s="93"/>
      <c r="B32" s="203" t="s">
        <v>230</v>
      </c>
      <c r="C32" s="203"/>
      <c r="D32" s="203"/>
      <c r="E32" s="203"/>
      <c r="F32" s="203"/>
      <c r="G32" s="93"/>
      <c r="H32" s="100"/>
      <c r="I32" s="76"/>
      <c r="J32" s="76"/>
      <c r="K32" s="97"/>
      <c r="L32" s="97"/>
      <c r="M32" s="93"/>
      <c r="N32" s="93"/>
      <c r="O32" s="93"/>
      <c r="P32" s="93"/>
      <c r="Q32" s="93"/>
      <c r="R32" s="93"/>
      <c r="S32" s="93"/>
      <c r="T32" s="93"/>
      <c r="U32" s="93"/>
      <c r="V32" s="93"/>
    </row>
    <row r="33" spans="1:22" ht="30" x14ac:dyDescent="0.25">
      <c r="A33"/>
      <c r="B33" s="94"/>
      <c r="C33" s="94" t="s">
        <v>146</v>
      </c>
      <c r="D33" s="94" t="s">
        <v>207</v>
      </c>
      <c r="E33" s="94" t="s">
        <v>208</v>
      </c>
      <c r="F33" s="94" t="s">
        <v>209</v>
      </c>
      <c r="G33"/>
      <c r="H33" s="98"/>
      <c r="I33" s="99"/>
      <c r="J33" s="100"/>
      <c r="K33" s="101"/>
      <c r="L33" s="97"/>
      <c r="M33"/>
      <c r="N33"/>
      <c r="O33"/>
      <c r="P33"/>
      <c r="Q33"/>
      <c r="R33"/>
      <c r="S33"/>
      <c r="T33"/>
      <c r="U33"/>
      <c r="V33"/>
    </row>
    <row r="34" spans="1:22" x14ac:dyDescent="0.25">
      <c r="A34"/>
      <c r="B34" s="94" t="s">
        <v>157</v>
      </c>
      <c r="C34" s="72">
        <f>F27+L27</f>
        <v>0</v>
      </c>
      <c r="D34" s="72">
        <f>F28+L28</f>
        <v>0</v>
      </c>
      <c r="E34" s="72">
        <f>F29*L29</f>
        <v>0</v>
      </c>
      <c r="F34" s="72">
        <f>F30*L30</f>
        <v>0</v>
      </c>
      <c r="G34"/>
      <c r="H34" s="76"/>
      <c r="I34" s="76"/>
      <c r="J34" s="76"/>
      <c r="K34" s="76"/>
      <c r="L34" s="76"/>
      <c r="M34"/>
      <c r="N34"/>
      <c r="O34"/>
      <c r="P34"/>
      <c r="Q34"/>
      <c r="R34"/>
      <c r="S34"/>
      <c r="T34"/>
      <c r="U34"/>
      <c r="V34"/>
    </row>
    <row r="35" spans="1:22" x14ac:dyDescent="0.25">
      <c r="A35"/>
      <c r="B35" s="94" t="s">
        <v>432</v>
      </c>
      <c r="C35" s="72">
        <v>0</v>
      </c>
      <c r="D35" s="72">
        <v>0</v>
      </c>
      <c r="E35" s="72">
        <v>0</v>
      </c>
      <c r="F35" s="72">
        <v>0</v>
      </c>
      <c r="G35"/>
      <c r="H35" s="98"/>
      <c r="I35" s="99"/>
      <c r="J35" s="76"/>
      <c r="K35" s="98"/>
      <c r="L35" s="76"/>
      <c r="M35"/>
      <c r="N35"/>
      <c r="O35"/>
      <c r="P35"/>
      <c r="Q35"/>
      <c r="R35"/>
      <c r="S35"/>
      <c r="T35"/>
      <c r="U35"/>
      <c r="V35"/>
    </row>
    <row r="36" spans="1:22" x14ac:dyDescent="0.25">
      <c r="A36"/>
      <c r="B36"/>
      <c r="C36"/>
      <c r="D36"/>
      <c r="E36"/>
      <c r="F36"/>
      <c r="G36"/>
      <c r="H36" s="102"/>
      <c r="I36" s="76"/>
      <c r="J36" s="76"/>
      <c r="K36" s="102"/>
      <c r="L36" s="76"/>
      <c r="M36"/>
      <c r="N36"/>
      <c r="O36"/>
      <c r="P36"/>
      <c r="Q36"/>
      <c r="R36"/>
      <c r="S36"/>
      <c r="T36"/>
      <c r="U36"/>
      <c r="V36"/>
    </row>
    <row r="37" spans="1:22" x14ac:dyDescent="0.25">
      <c r="A37"/>
      <c r="B37"/>
      <c r="C37"/>
      <c r="D37" s="60"/>
      <c r="E37" s="104"/>
      <c r="F37"/>
      <c r="G37"/>
      <c r="H37" s="76"/>
      <c r="I37" s="76"/>
      <c r="J37" s="76"/>
      <c r="K37" s="76"/>
      <c r="L37" s="76"/>
      <c r="M37"/>
      <c r="N37"/>
      <c r="O37"/>
      <c r="P37"/>
      <c r="Q37"/>
      <c r="R37"/>
      <c r="S37"/>
      <c r="T37"/>
      <c r="U37"/>
      <c r="V37"/>
    </row>
    <row r="38" spans="1:22" x14ac:dyDescent="0.25">
      <c r="A38"/>
      <c r="B38"/>
      <c r="C38" s="105"/>
      <c r="D38"/>
      <c r="E38"/>
      <c r="F38"/>
      <c r="G38"/>
      <c r="H38"/>
      <c r="I38"/>
      <c r="J38"/>
      <c r="K38"/>
      <c r="L38"/>
      <c r="M38"/>
      <c r="N38"/>
      <c r="O38"/>
      <c r="P38"/>
      <c r="Q38"/>
      <c r="R38"/>
      <c r="S38"/>
      <c r="T38"/>
      <c r="U38"/>
      <c r="V38"/>
    </row>
    <row r="39" spans="1:22" x14ac:dyDescent="0.25">
      <c r="A39"/>
      <c r="B39"/>
      <c r="C39"/>
      <c r="D39"/>
      <c r="E39"/>
      <c r="F39"/>
      <c r="G39"/>
      <c r="H39"/>
      <c r="I39"/>
      <c r="J39"/>
      <c r="K39"/>
      <c r="L39"/>
      <c r="M39"/>
      <c r="N39"/>
      <c r="O39"/>
      <c r="P39"/>
      <c r="Q39"/>
      <c r="R39"/>
      <c r="S39"/>
      <c r="T39"/>
      <c r="U39"/>
      <c r="V39"/>
    </row>
    <row r="42" spans="1:22" x14ac:dyDescent="0.25">
      <c r="C42" s="65"/>
      <c r="D42" s="66"/>
      <c r="E42" s="67"/>
      <c r="F42" s="67"/>
    </row>
    <row r="44" spans="1:22" x14ac:dyDescent="0.25">
      <c r="C44" s="65"/>
      <c r="E44" s="91"/>
      <c r="F44" s="91"/>
    </row>
  </sheetData>
  <sheetProtection algorithmName="SHA-512" hashValue="5sSelmUFk8cw/vpYdy4NhEkkw3L3KpCmi1DJF2QCddfkh9zeZ9O1BryrVdD2JNUydRd5PqOSMh8Nn59+RMPN3A==" saltValue="ife0z/cuPt6UXT1tit30sQ==" spinCount="100000" sheet="1" objects="1" scenarios="1"/>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I17" zoomScale="85" zoomScaleNormal="85" workbookViewId="0">
      <selection activeCell="X10" sqref="X10"/>
    </sheetView>
  </sheetViews>
  <sheetFormatPr defaultColWidth="9.140625" defaultRowHeight="15" x14ac:dyDescent="0.25"/>
  <cols>
    <col min="1" max="1" width="26.7109375" style="77" customWidth="1"/>
    <col min="2" max="2" width="13.85546875" style="77" customWidth="1"/>
    <col min="3" max="3" width="5.28515625" style="77" customWidth="1"/>
    <col min="4" max="4" width="29.140625" style="77" customWidth="1"/>
    <col min="5" max="5" width="28.7109375" style="77" customWidth="1"/>
    <col min="6" max="6" width="29.28515625" style="77" customWidth="1"/>
    <col min="7" max="7" width="5.5703125" style="77" customWidth="1"/>
    <col min="8" max="8" width="5.7109375" style="77" customWidth="1"/>
    <col min="9" max="9" width="7.140625" style="77" customWidth="1"/>
    <col min="10" max="10" width="9.28515625" style="77" customWidth="1"/>
    <col min="11" max="11" width="13.85546875" style="77" customWidth="1"/>
    <col min="12" max="12" width="10.140625" style="82" customWidth="1"/>
    <col min="13" max="13" width="16.85546875" style="83" hidden="1" customWidth="1"/>
    <col min="14" max="14" width="7.85546875" style="77" customWidth="1"/>
    <col min="15" max="15" width="17.28515625" style="77" customWidth="1"/>
    <col min="16" max="16" width="10.28515625" style="77" customWidth="1"/>
    <col min="17" max="17" width="19.140625" style="77" customWidth="1"/>
    <col min="18" max="18" width="10.28515625" style="77" customWidth="1"/>
    <col min="19" max="19" width="19.140625" style="77" customWidth="1"/>
    <col min="20" max="20" width="10.28515625" style="77" customWidth="1"/>
    <col min="21" max="21" width="17.5703125" style="77" customWidth="1"/>
    <col min="22" max="22" width="10.28515625" style="77" customWidth="1"/>
    <col min="23" max="23" width="14.42578125" style="77" customWidth="1"/>
    <col min="24" max="24" width="20.28515625" style="77" customWidth="1"/>
    <col min="25" max="16384" width="9.140625" style="77"/>
  </cols>
  <sheetData>
    <row r="1" spans="1:25" x14ac:dyDescent="0.25">
      <c r="A1"/>
      <c r="B1"/>
      <c r="C1"/>
      <c r="D1"/>
      <c r="E1"/>
      <c r="F1"/>
      <c r="G1"/>
      <c r="H1"/>
      <c r="I1" s="215" t="s">
        <v>261</v>
      </c>
      <c r="J1" s="216"/>
      <c r="K1" s="216"/>
      <c r="L1" s="216"/>
      <c r="M1" s="216"/>
      <c r="N1" s="216"/>
      <c r="O1" s="216"/>
      <c r="P1" s="216"/>
      <c r="Q1" s="216"/>
      <c r="R1" s="216"/>
      <c r="S1" s="216"/>
      <c r="T1" s="216"/>
      <c r="U1" s="216"/>
      <c r="V1" s="216"/>
      <c r="W1" s="216"/>
      <c r="X1" s="217"/>
      <c r="Y1"/>
    </row>
    <row r="2" spans="1:25" x14ac:dyDescent="0.25">
      <c r="A2"/>
      <c r="B2"/>
      <c r="C2"/>
      <c r="D2"/>
      <c r="E2"/>
      <c r="F2"/>
      <c r="G2"/>
      <c r="H2"/>
      <c r="I2" s="218" t="s">
        <v>13</v>
      </c>
      <c r="J2" s="218" t="s">
        <v>80</v>
      </c>
      <c r="K2" s="207" t="s">
        <v>377</v>
      </c>
      <c r="L2" s="220" t="s">
        <v>59</v>
      </c>
      <c r="M2" s="142"/>
      <c r="N2" s="207" t="s">
        <v>60</v>
      </c>
      <c r="O2" s="207" t="s">
        <v>346</v>
      </c>
      <c r="P2" s="207" t="s">
        <v>347</v>
      </c>
      <c r="Q2" s="207" t="s">
        <v>348</v>
      </c>
      <c r="R2" s="207" t="s">
        <v>349</v>
      </c>
      <c r="S2" s="207" t="s">
        <v>383</v>
      </c>
      <c r="T2" s="207" t="s">
        <v>384</v>
      </c>
      <c r="U2" s="207" t="s">
        <v>396</v>
      </c>
      <c r="V2" s="207" t="s">
        <v>395</v>
      </c>
      <c r="W2" s="207" t="s">
        <v>193</v>
      </c>
      <c r="X2" s="207" t="s">
        <v>452</v>
      </c>
      <c r="Y2"/>
    </row>
    <row r="3" spans="1:25" x14ac:dyDescent="0.25">
      <c r="A3" s="143" t="s">
        <v>1</v>
      </c>
      <c r="B3" s="144"/>
      <c r="C3" s="145"/>
      <c r="D3" s="146" t="s">
        <v>234</v>
      </c>
      <c r="E3" s="147">
        <v>2022</v>
      </c>
      <c r="F3" s="146" t="s">
        <v>235</v>
      </c>
      <c r="G3" s="74"/>
      <c r="H3" s="74"/>
      <c r="I3" s="219"/>
      <c r="J3" s="219"/>
      <c r="K3" s="207"/>
      <c r="L3" s="220"/>
      <c r="M3" s="148" t="s">
        <v>14</v>
      </c>
      <c r="N3" s="207"/>
      <c r="O3" s="207"/>
      <c r="P3" s="207"/>
      <c r="Q3" s="207"/>
      <c r="R3" s="207"/>
      <c r="S3" s="207"/>
      <c r="T3" s="207"/>
      <c r="U3" s="207"/>
      <c r="V3" s="207"/>
      <c r="W3" s="207"/>
      <c r="X3" s="207"/>
      <c r="Y3"/>
    </row>
    <row r="4" spans="1:25" ht="15.75" x14ac:dyDescent="0.25">
      <c r="A4" s="149" t="s">
        <v>2</v>
      </c>
      <c r="B4" s="47">
        <v>2022</v>
      </c>
      <c r="C4" s="145"/>
      <c r="D4" s="75" t="s">
        <v>238</v>
      </c>
      <c r="E4" s="150">
        <f>'Inputs &amp; Outputs'!$C$40</f>
        <v>27211</v>
      </c>
      <c r="F4" s="150">
        <f>VLOOKUP(Year_Open_to_Traffic?,Calculations!I4:J36,2,Calculations!J4:J36)</f>
        <v>30667.629533409596</v>
      </c>
      <c r="G4" s="74"/>
      <c r="H4" s="151"/>
      <c r="I4" s="152">
        <v>2022</v>
      </c>
      <c r="J4" s="153">
        <f>'Inputs &amp; Outputs'!$C$40</f>
        <v>27211</v>
      </c>
      <c r="K4" s="153">
        <f>'Inputs &amp; Outputs'!C42</f>
        <v>70</v>
      </c>
      <c r="L4" s="154" t="s">
        <v>62</v>
      </c>
      <c r="M4" s="155">
        <f>MIN(B15,1)</f>
        <v>1</v>
      </c>
      <c r="N4" s="152">
        <f>-(ROUNDUP(M4,0)-2)</f>
        <v>1</v>
      </c>
      <c r="O4" s="156">
        <f>IF($I4=Year_Open_to_Traffic?,Calculations!$E$50,0)</f>
        <v>0</v>
      </c>
      <c r="P4" s="153">
        <f t="shared" ref="P4:P37" si="0">IF(AND($I4&gt;=Year_Open_to_Traffic?,$I4&lt;Year_Open_to_Traffic?+Years_to_include_in_BCA_Analysis1),1,0)</f>
        <v>0</v>
      </c>
      <c r="Q4" s="156">
        <f>IF($I4=Year_Open_to_Traffic?,$E$51,0)</f>
        <v>0</v>
      </c>
      <c r="R4" s="153">
        <f t="shared" ref="R4:R37" si="1">IF(AND($I4&gt;=Year_Open_to_Traffic?,$I4&lt;Year_Open_to_Traffic?+Years_to_include_in_BCA_Analysis2),1,0)</f>
        <v>0</v>
      </c>
      <c r="S4" s="156">
        <f>IF($I4=Year_Open_to_Traffic?,$E$52,0)</f>
        <v>0</v>
      </c>
      <c r="T4" s="153">
        <f t="shared" ref="T4:T37" si="2">IF(AND($I4&gt;=Year_Open_to_Traffic?,$I4&lt;Year_Open_to_Traffic?+Years_to_include_in_BCA_Analysis3),1,0)</f>
        <v>0</v>
      </c>
      <c r="U4" s="156">
        <f>IF($I4=Year_Open_to_Traffic?,$E$53,0)</f>
        <v>0</v>
      </c>
      <c r="V4" s="153">
        <f t="shared" ref="V4:V37" si="3">IF(AND($I4&gt;=Year_Open_to_Traffic?,$I4&lt;Year_Open_to_Traffic?+$B$8),1,0)</f>
        <v>0</v>
      </c>
      <c r="W4" s="156">
        <f>((O4*P4)+(Q4*R4)+(S4*T4)+(U4*V4))/10^3</f>
        <v>0</v>
      </c>
      <c r="X4" s="157">
        <f>W4/(1+Real_Discount_Rate)^(Calculations!I4-'Assumed Values'!$C$5)</f>
        <v>0</v>
      </c>
      <c r="Y4"/>
    </row>
    <row r="5" spans="1:25" ht="30" x14ac:dyDescent="0.25">
      <c r="A5" s="149" t="s">
        <v>350</v>
      </c>
      <c r="B5" s="149">
        <f>Service_Life1</f>
        <v>6</v>
      </c>
      <c r="C5" s="145"/>
      <c r="D5" s="75" t="s">
        <v>236</v>
      </c>
      <c r="E5" s="150">
        <f>'Inputs &amp; Outputs'!$C$40*'Inputs &amp; Outputs'!$C$11</f>
        <v>47891.360000000001</v>
      </c>
      <c r="F5" s="150">
        <f>$F$4*'Inputs &amp; Outputs'!$C$11</f>
        <v>53975.027978800892</v>
      </c>
      <c r="G5" s="74"/>
      <c r="H5" s="151"/>
      <c r="I5" s="158">
        <f t="shared" ref="I5:I37" si="4">I4+1</f>
        <v>2023</v>
      </c>
      <c r="J5" s="159">
        <f>J4+J4*L5</f>
        <v>27758.785010513777</v>
      </c>
      <c r="K5" s="159">
        <f>K4+K4*L5</f>
        <v>71.409170950570157</v>
      </c>
      <c r="L5" s="160">
        <f t="shared" ref="L5:L12" si="5">_2030_2030_Demand_Growth</f>
        <v>2.0131013579573587E-2</v>
      </c>
      <c r="M5" s="161">
        <f t="shared" ref="M5:M11" si="6">M4*(1+IFERROR(_2021_2030_V_C_Growth,_2021_2045_V_C_Growth))</f>
        <v>1</v>
      </c>
      <c r="N5" s="162">
        <f t="shared" ref="N5:N36" si="7">-(ROUNDUP(M5,0)-2)</f>
        <v>1</v>
      </c>
      <c r="O5" s="156">
        <f>IF($I5=Year_Open_to_Traffic?,Calculations!$E$50,Calculations!O4+(Calculations!O4*Calculations!$L5*N5))</f>
        <v>0</v>
      </c>
      <c r="P5" s="153">
        <f t="shared" si="0"/>
        <v>0</v>
      </c>
      <c r="Q5" s="156">
        <f>IF(I5=Year_Open_to_Traffic?,$E$51,Calculations!Q4+(Calculations!Q4*Calculations!$L5*R5))</f>
        <v>0</v>
      </c>
      <c r="R5" s="153">
        <f t="shared" si="1"/>
        <v>0</v>
      </c>
      <c r="S5" s="156">
        <f>IF($I5=Year_Open_to_Traffic?,$E$52,Calculations!S4+(Calculations!S4*Calculations!$L5*T5))</f>
        <v>0</v>
      </c>
      <c r="T5" s="153">
        <f t="shared" si="2"/>
        <v>0</v>
      </c>
      <c r="U5" s="156">
        <f>IF($I5=Year_Open_to_Traffic?,$E$53,Calculations!U4+(Calculations!U4*Calculations!$L5*V5))</f>
        <v>0</v>
      </c>
      <c r="V5" s="153">
        <f t="shared" si="3"/>
        <v>0</v>
      </c>
      <c r="W5" s="156">
        <f t="shared" ref="W5:W36" si="8">((O5*P5)+(Q5*R5)+(S5*T5)+(U5*V5))/10^3</f>
        <v>0</v>
      </c>
      <c r="X5" s="157">
        <f>W5/(1+Real_Discount_Rate)^(Calculations!I5-'Assumed Values'!$C$5)</f>
        <v>0</v>
      </c>
      <c r="Y5"/>
    </row>
    <row r="6" spans="1:25" ht="30" x14ac:dyDescent="0.25">
      <c r="A6" s="149" t="s">
        <v>378</v>
      </c>
      <c r="B6" s="149">
        <f>Service_Life2</f>
        <v>6</v>
      </c>
      <c r="C6" s="145"/>
      <c r="D6" s="75" t="s">
        <v>237</v>
      </c>
      <c r="E6" s="150">
        <f>E5*B9</f>
        <v>17480346.399999999</v>
      </c>
      <c r="F6" s="150">
        <f>$F$5*$B$9</f>
        <v>19700885.212262325</v>
      </c>
      <c r="G6" s="74"/>
      <c r="H6" s="151"/>
      <c r="I6" s="152">
        <f t="shared" si="4"/>
        <v>2024</v>
      </c>
      <c r="J6" s="159">
        <f t="shared" ref="J6:J36" si="9">J5+J5*L6</f>
        <v>28317.597488512893</v>
      </c>
      <c r="K6" s="159">
        <f t="shared" ref="K6:K36" si="10">K5+K5*L6</f>
        <v>72.846709940682175</v>
      </c>
      <c r="L6" s="160">
        <f t="shared" si="5"/>
        <v>2.0131013579573587E-2</v>
      </c>
      <c r="M6" s="161">
        <f t="shared" si="6"/>
        <v>1</v>
      </c>
      <c r="N6" s="162">
        <f t="shared" si="7"/>
        <v>1</v>
      </c>
      <c r="O6" s="156">
        <f>IF(I6=Year_Open_to_Traffic?,Calculations!$E$50,Calculations!O5+(Calculations!O5*Calculations!$L6*N6))</f>
        <v>0</v>
      </c>
      <c r="P6" s="153">
        <f t="shared" si="0"/>
        <v>0</v>
      </c>
      <c r="Q6" s="156">
        <f>IF(I6=Year_Open_to_Traffic?,$E$51,Calculations!Q5+(Calculations!Q5*Calculations!$L6*R6))</f>
        <v>0</v>
      </c>
      <c r="R6" s="153">
        <f t="shared" si="1"/>
        <v>0</v>
      </c>
      <c r="S6" s="156">
        <f>IF($I6=Year_Open_to_Traffic?,$E$52,Calculations!S5+(Calculations!S5*Calculations!$L6*T6))</f>
        <v>0</v>
      </c>
      <c r="T6" s="153">
        <f t="shared" si="2"/>
        <v>0</v>
      </c>
      <c r="U6" s="156">
        <f>IF($I6=Year_Open_to_Traffic?,$E$53,Calculations!U5+(Calculations!U5*Calculations!$L6*V6))</f>
        <v>0</v>
      </c>
      <c r="V6" s="153">
        <f t="shared" si="3"/>
        <v>0</v>
      </c>
      <c r="W6" s="156">
        <f t="shared" si="8"/>
        <v>0</v>
      </c>
      <c r="X6" s="157">
        <f>W6/(1+Real_Discount_Rate)^(Calculations!I6-'Assumed Values'!$C$5)</f>
        <v>0</v>
      </c>
      <c r="Y6"/>
    </row>
    <row r="7" spans="1:25" ht="30" x14ac:dyDescent="0.25">
      <c r="A7" s="149" t="s">
        <v>379</v>
      </c>
      <c r="B7" s="149">
        <f>Service_Life3</f>
        <v>20</v>
      </c>
      <c r="C7" s="145"/>
      <c r="D7" s="145"/>
      <c r="E7" s="145"/>
      <c r="F7" s="145"/>
      <c r="G7" s="74"/>
      <c r="H7" s="151"/>
      <c r="I7" s="158">
        <f t="shared" si="4"/>
        <v>2025</v>
      </c>
      <c r="J7" s="159">
        <f t="shared" si="9"/>
        <v>28887.659428095045</v>
      </c>
      <c r="K7" s="159">
        <f t="shared" si="10"/>
        <v>74.313188047725305</v>
      </c>
      <c r="L7" s="160">
        <f t="shared" si="5"/>
        <v>2.0131013579573587E-2</v>
      </c>
      <c r="M7" s="161">
        <f t="shared" si="6"/>
        <v>1</v>
      </c>
      <c r="N7" s="162">
        <f t="shared" si="7"/>
        <v>1</v>
      </c>
      <c r="O7" s="156">
        <f>IF(I7=Year_Open_to_Traffic?,Calculations!$E$50,Calculations!O6+(Calculations!O6*Calculations!$L7*N7))</f>
        <v>0</v>
      </c>
      <c r="P7" s="153">
        <f t="shared" si="0"/>
        <v>0</v>
      </c>
      <c r="Q7" s="156">
        <f>IF(I7=Year_Open_to_Traffic?,$E$51,Calculations!Q6+(Calculations!Q6*Calculations!$L7*R7))</f>
        <v>0</v>
      </c>
      <c r="R7" s="153">
        <f t="shared" si="1"/>
        <v>0</v>
      </c>
      <c r="S7" s="156">
        <f>IF($I7=Year_Open_to_Traffic?,$E$52,Calculations!S6+(Calculations!S6*Calculations!$L7*T7))</f>
        <v>0</v>
      </c>
      <c r="T7" s="153">
        <f t="shared" si="2"/>
        <v>0</v>
      </c>
      <c r="U7" s="156">
        <f>IF($I7=Year_Open_to_Traffic?,$E$53,Calculations!U6+(Calculations!U6*Calculations!$L7*V7))</f>
        <v>0</v>
      </c>
      <c r="V7" s="153">
        <f t="shared" si="3"/>
        <v>0</v>
      </c>
      <c r="W7" s="156">
        <f t="shared" si="8"/>
        <v>0</v>
      </c>
      <c r="X7" s="157">
        <f>W7/(1+Real_Discount_Rate)^(Calculations!I7-'Assumed Values'!$C$5)</f>
        <v>0</v>
      </c>
      <c r="Y7"/>
    </row>
    <row r="8" spans="1:25" ht="30" customHeight="1" x14ac:dyDescent="0.25">
      <c r="A8" s="149" t="s">
        <v>397</v>
      </c>
      <c r="B8" s="149">
        <f>'Inputs &amp; Outputs'!$C$36</f>
        <v>0</v>
      </c>
      <c r="C8" s="145"/>
      <c r="D8" s="212"/>
      <c r="E8" s="208" t="s">
        <v>339</v>
      </c>
      <c r="F8" s="209" t="s">
        <v>336</v>
      </c>
      <c r="G8" s="74"/>
      <c r="H8" s="151"/>
      <c r="I8" s="152">
        <f t="shared" si="4"/>
        <v>2026</v>
      </c>
      <c r="J8" s="159">
        <f t="shared" si="9"/>
        <v>29469.197292324123</v>
      </c>
      <c r="K8" s="159">
        <f t="shared" si="10"/>
        <v>75.809187845455469</v>
      </c>
      <c r="L8" s="160">
        <f t="shared" si="5"/>
        <v>2.0131013579573587E-2</v>
      </c>
      <c r="M8" s="161">
        <f t="shared" si="6"/>
        <v>1</v>
      </c>
      <c r="N8" s="162">
        <f t="shared" si="7"/>
        <v>1</v>
      </c>
      <c r="O8" s="156">
        <f>IF(I8=Year_Open_to_Traffic?,Calculations!$E$50,Calculations!O7+(Calculations!O7*Calculations!$L8*N8))</f>
        <v>0</v>
      </c>
      <c r="P8" s="153">
        <f t="shared" si="0"/>
        <v>0</v>
      </c>
      <c r="Q8" s="156">
        <f>IF(I8=Year_Open_to_Traffic?,$E$51,Calculations!Q7+(Calculations!Q7*Calculations!$L8*R8))</f>
        <v>0</v>
      </c>
      <c r="R8" s="153">
        <f t="shared" si="1"/>
        <v>0</v>
      </c>
      <c r="S8" s="156">
        <f>IF($I8=Year_Open_to_Traffic?,$E$52,Calculations!S7+(Calculations!S7*Calculations!$L8*T8))</f>
        <v>0</v>
      </c>
      <c r="T8" s="153">
        <f t="shared" si="2"/>
        <v>0</v>
      </c>
      <c r="U8" s="156">
        <f>IF($I8=Year_Open_to_Traffic?,$E$53,Calculations!U7+(Calculations!U7*Calculations!$L8*V8))</f>
        <v>0</v>
      </c>
      <c r="V8" s="153">
        <f t="shared" si="3"/>
        <v>0</v>
      </c>
      <c r="W8" s="156">
        <f t="shared" si="8"/>
        <v>0</v>
      </c>
      <c r="X8" s="157">
        <f>W8/(1+Real_Discount_Rate)^(Calculations!I8-'Assumed Values'!$C$5)</f>
        <v>0</v>
      </c>
      <c r="Y8"/>
    </row>
    <row r="9" spans="1:25" ht="30" x14ac:dyDescent="0.25">
      <c r="A9" s="163" t="s">
        <v>239</v>
      </c>
      <c r="B9" s="149">
        <v>365</v>
      </c>
      <c r="C9" s="145"/>
      <c r="D9" s="212"/>
      <c r="E9" s="208"/>
      <c r="F9" s="210"/>
      <c r="G9" s="74"/>
      <c r="H9" s="151"/>
      <c r="I9" s="158">
        <f t="shared" si="4"/>
        <v>2027</v>
      </c>
      <c r="J9" s="159">
        <f t="shared" si="9"/>
        <v>30062.442103195033</v>
      </c>
      <c r="K9" s="159">
        <f t="shared" si="10"/>
        <v>77.335303635428772</v>
      </c>
      <c r="L9" s="160">
        <f t="shared" si="5"/>
        <v>2.0131013579573587E-2</v>
      </c>
      <c r="M9" s="161">
        <f t="shared" si="6"/>
        <v>1</v>
      </c>
      <c r="N9" s="162">
        <f t="shared" si="7"/>
        <v>1</v>
      </c>
      <c r="O9" s="156">
        <f>IF(I9=Year_Open_to_Traffic?,Calculations!$E$50,Calculations!O8+(Calculations!O8*Calculations!$L9*N9))</f>
        <v>0</v>
      </c>
      <c r="P9" s="153">
        <f t="shared" si="0"/>
        <v>0</v>
      </c>
      <c r="Q9" s="156">
        <f>IF(I9=Year_Open_to_Traffic?,$E$51,Calculations!Q8+(Calculations!Q8*Calculations!$L9*R9))</f>
        <v>0</v>
      </c>
      <c r="R9" s="153">
        <f t="shared" si="1"/>
        <v>0</v>
      </c>
      <c r="S9" s="156">
        <f>IF($I9=Year_Open_to_Traffic?,$E$52,Calculations!S8+(Calculations!S8*Calculations!$L9*T9))</f>
        <v>0</v>
      </c>
      <c r="T9" s="153">
        <f t="shared" si="2"/>
        <v>0</v>
      </c>
      <c r="U9" s="156">
        <f>IF($I9=Year_Open_to_Traffic?,$E$53,Calculations!U8+(Calculations!U8*Calculations!$L9*V9))</f>
        <v>0</v>
      </c>
      <c r="V9" s="153">
        <f t="shared" si="3"/>
        <v>0</v>
      </c>
      <c r="W9" s="156">
        <f t="shared" si="8"/>
        <v>0</v>
      </c>
      <c r="X9" s="157">
        <f>W9/(1+Real_Discount_Rate)^(Calculations!I9-'Assumed Values'!$C$5)</f>
        <v>0</v>
      </c>
      <c r="Y9"/>
    </row>
    <row r="10" spans="1:25" ht="15.75" x14ac:dyDescent="0.25">
      <c r="A10" s="145"/>
      <c r="B10" s="145"/>
      <c r="C10" s="145"/>
      <c r="D10" s="212"/>
      <c r="E10" s="208"/>
      <c r="F10" s="211"/>
      <c r="G10" s="74"/>
      <c r="H10" s="151"/>
      <c r="I10" s="152">
        <f t="shared" si="4"/>
        <v>2028</v>
      </c>
      <c r="J10" s="159">
        <f t="shared" si="9"/>
        <v>30667.629533409596</v>
      </c>
      <c r="K10" s="159">
        <f t="shared" si="10"/>
        <v>78.892141683094039</v>
      </c>
      <c r="L10" s="160">
        <f t="shared" si="5"/>
        <v>2.0131013579573587E-2</v>
      </c>
      <c r="M10" s="161">
        <f t="shared" si="6"/>
        <v>1</v>
      </c>
      <c r="N10" s="162">
        <f t="shared" si="7"/>
        <v>1</v>
      </c>
      <c r="O10" s="156">
        <f>IF(I10=Year_Open_to_Traffic?,Calculations!$E$50,Calculations!O9+(Calculations!O9*Calculations!$L10*N10))</f>
        <v>59780.782036676341</v>
      </c>
      <c r="P10" s="153">
        <f t="shared" si="0"/>
        <v>1</v>
      </c>
      <c r="Q10" s="156">
        <f>IF(I10=Year_Open_to_Traffic?,$E$51,Calculations!Q9+(Calculations!Q9*Calculations!$L10*R10))</f>
        <v>11956.156407335269</v>
      </c>
      <c r="R10" s="153">
        <f t="shared" si="1"/>
        <v>1</v>
      </c>
      <c r="S10" s="156">
        <f>IF($I10=Year_Open_to_Traffic?,$E$52,Calculations!S9+(Calculations!S9*Calculations!$L10*T10))</f>
        <v>68150.091521811031</v>
      </c>
      <c r="T10" s="153">
        <f t="shared" si="2"/>
        <v>1</v>
      </c>
      <c r="U10" s="156">
        <f>IF($I10=Year_Open_to_Traffic?,$E$53,Calculations!U9+(Calculations!U9*Calculations!$L10*V10))</f>
        <v>0</v>
      </c>
      <c r="V10" s="153">
        <f t="shared" si="3"/>
        <v>0</v>
      </c>
      <c r="W10" s="156">
        <f t="shared" si="8"/>
        <v>139.88702996582265</v>
      </c>
      <c r="X10" s="157">
        <f>W10/(1+Real_Discount_Rate)^(Calculations!I10-'Assumed Values'!$C$5)</f>
        <v>116.47305257054639</v>
      </c>
      <c r="Y10"/>
    </row>
    <row r="11" spans="1:25" ht="15.75" x14ac:dyDescent="0.25">
      <c r="A11" s="213" t="s">
        <v>398</v>
      </c>
      <c r="B11" s="213"/>
      <c r="C11" s="145"/>
      <c r="D11" s="164" t="s">
        <v>146</v>
      </c>
      <c r="E11" s="165">
        <f>VLOOKUP('Inputs &amp; Outputs'!$C$19,'Preventable Crash data'!$B$11:$F$16,2,FALSE)</f>
        <v>0</v>
      </c>
      <c r="F11" s="165">
        <f>E11*Appropriate_Crash_Reduction_Factor1</f>
        <v>0</v>
      </c>
      <c r="G11" s="74"/>
      <c r="H11" s="151"/>
      <c r="I11" s="158">
        <f t="shared" si="4"/>
        <v>2029</v>
      </c>
      <c r="J11" s="159">
        <f t="shared" si="9"/>
        <v>31284.999999999996</v>
      </c>
      <c r="K11" s="159">
        <f t="shared" si="10"/>
        <v>80.480320458638047</v>
      </c>
      <c r="L11" s="160">
        <f t="shared" si="5"/>
        <v>2.0131013579573587E-2</v>
      </c>
      <c r="M11" s="161">
        <f t="shared" si="6"/>
        <v>1</v>
      </c>
      <c r="N11" s="162">
        <f t="shared" si="7"/>
        <v>1</v>
      </c>
      <c r="O11" s="156">
        <f>IF(I11=Year_Open_to_Traffic?,Calculations!$E$50,Calculations!O10+(Calculations!O10*Calculations!$L11*N11))</f>
        <v>60984.229771654202</v>
      </c>
      <c r="P11" s="153">
        <f t="shared" si="0"/>
        <v>1</v>
      </c>
      <c r="Q11" s="156">
        <f>IF(I11=Year_Open_to_Traffic?,$E$51,Calculations!Q10+(Calculations!Q10*Calculations!$L11*R11))</f>
        <v>12196.845954330842</v>
      </c>
      <c r="R11" s="153">
        <f t="shared" si="1"/>
        <v>1</v>
      </c>
      <c r="S11" s="156">
        <f>IF($I11=Year_Open_to_Traffic?,$E$52,Calculations!S10+(Calculations!S10*Calculations!$L11*T11))</f>
        <v>69522.021939685786</v>
      </c>
      <c r="T11" s="153">
        <f t="shared" si="2"/>
        <v>1</v>
      </c>
      <c r="U11" s="156">
        <f>IF($I11=Year_Open_to_Traffic?,$E$53,Calculations!U10+(Calculations!U10*Calculations!$L11*V11))</f>
        <v>0</v>
      </c>
      <c r="V11" s="153">
        <f t="shared" si="3"/>
        <v>0</v>
      </c>
      <c r="W11" s="156">
        <f t="shared" si="8"/>
        <v>142.70309766567084</v>
      </c>
      <c r="X11" s="157">
        <f>W11/(1+Real_Discount_Rate)^(Calculations!I11-'Assumed Values'!$C$5)</f>
        <v>115.24517281619637</v>
      </c>
      <c r="Y11"/>
    </row>
    <row r="12" spans="1:25" ht="15.75" x14ac:dyDescent="0.25">
      <c r="A12" s="149" t="s">
        <v>260</v>
      </c>
      <c r="B12" s="166">
        <f>IF('Growth Rates'!$C$16&lt;&gt;0,'Growth Rates'!$C$16,VLOOKUP('Inputs &amp; Outputs'!$C$6,'Growth Rates'!#REF!,2,FALSE))</f>
        <v>2.0131013579573587E-2</v>
      </c>
      <c r="C12" s="145"/>
      <c r="D12" s="164" t="s">
        <v>207</v>
      </c>
      <c r="E12" s="165">
        <f>VLOOKUP('Inputs &amp; Outputs'!$C$19,'Preventable Crash data'!$B$11:$F$16,3,FALSE)</f>
        <v>0.22994377273896585</v>
      </c>
      <c r="F12" s="165">
        <f>E12*Appropriate_Crash_Reduction_Factor1</f>
        <v>4.5988754547793172E-2</v>
      </c>
      <c r="G12" s="74"/>
      <c r="H12" s="151"/>
      <c r="I12" s="152">
        <f t="shared" si="4"/>
        <v>2030</v>
      </c>
      <c r="J12" s="159">
        <f t="shared" si="9"/>
        <v>31914.798759836955</v>
      </c>
      <c r="K12" s="159">
        <f t="shared" si="10"/>
        <v>82.100470882679318</v>
      </c>
      <c r="L12" s="160">
        <f t="shared" si="5"/>
        <v>2.0131013579573587E-2</v>
      </c>
      <c r="M12" s="161">
        <f t="shared" ref="M12:M37" si="11">M11*(1+IFERROR(_2030_2045_V_C_Growth,_2021_2045_V_C_Growth))</f>
        <v>1</v>
      </c>
      <c r="N12" s="162">
        <f t="shared" si="7"/>
        <v>1</v>
      </c>
      <c r="O12" s="156">
        <f>IF(I12=Year_Open_to_Traffic?,Calculations!$E$50,Calculations!O11+(Calculations!O11*Calculations!$L12*N12))</f>
        <v>62211.904129327209</v>
      </c>
      <c r="P12" s="153">
        <f t="shared" si="0"/>
        <v>1</v>
      </c>
      <c r="Q12" s="156">
        <f>IF(I12=Year_Open_to_Traffic?,$E$51,Calculations!Q11+(Calculations!Q11*Calculations!$L12*R12))</f>
        <v>12442.380825865443</v>
      </c>
      <c r="R12" s="153">
        <f t="shared" si="1"/>
        <v>1</v>
      </c>
      <c r="S12" s="156">
        <f>IF($I12=Year_Open_to_Traffic?,$E$52,Calculations!S11+(Calculations!S11*Calculations!$L12*T12))</f>
        <v>70921.570707433013</v>
      </c>
      <c r="T12" s="153">
        <f t="shared" si="2"/>
        <v>1</v>
      </c>
      <c r="U12" s="156">
        <f>IF($I12=Year_Open_to_Traffic?,$E$53,Calculations!U11+(Calculations!U11*Calculations!$L12*V12))</f>
        <v>0</v>
      </c>
      <c r="V12" s="153">
        <f t="shared" si="3"/>
        <v>0</v>
      </c>
      <c r="W12" s="156">
        <f t="shared" si="8"/>
        <v>145.57585566262566</v>
      </c>
      <c r="X12" s="157">
        <f>W12/(1+Real_Discount_Rate)^(Calculations!I12-'Assumed Values'!$C$5)</f>
        <v>114.03023758985404</v>
      </c>
      <c r="Y12"/>
    </row>
    <row r="13" spans="1:25" ht="39.6" customHeight="1" x14ac:dyDescent="0.25">
      <c r="A13" s="149" t="s">
        <v>175</v>
      </c>
      <c r="B13" s="166">
        <f>IF('Growth Rates'!$C$16&lt;&gt;0,'Growth Rates'!$C$16,VLOOKUP('Inputs &amp; Outputs'!$C$6,'Growth Rates'!B1:D8,3,FALSE))</f>
        <v>2.0131013579573587E-2</v>
      </c>
      <c r="C13" s="145"/>
      <c r="D13" s="164" t="s">
        <v>208</v>
      </c>
      <c r="E13" s="165">
        <f>VLOOKUP('Inputs &amp; Outputs'!$C$19,'Preventable Crash data'!$B$11:$F$16,4,FALSE)</f>
        <v>0</v>
      </c>
      <c r="F13" s="165">
        <f>E13*Appropriate_Crash_Reduction_Factor1</f>
        <v>0</v>
      </c>
      <c r="G13" s="74"/>
      <c r="H13" s="151"/>
      <c r="I13" s="158">
        <f t="shared" si="4"/>
        <v>2031</v>
      </c>
      <c r="J13" s="159">
        <f t="shared" si="9"/>
        <v>32557.276007060591</v>
      </c>
      <c r="K13" s="159">
        <f t="shared" si="10"/>
        <v>83.753236576907923</v>
      </c>
      <c r="L13" s="160">
        <f t="shared" ref="L13:L33" si="12">_2030_2045_Demand_Growth</f>
        <v>2.0131013579573587E-2</v>
      </c>
      <c r="M13" s="161">
        <f t="shared" si="11"/>
        <v>1</v>
      </c>
      <c r="N13" s="162">
        <f t="shared" si="7"/>
        <v>1</v>
      </c>
      <c r="O13" s="156">
        <f>IF(I13=Year_Open_to_Traffic?,Calculations!$E$50,Calculations!O12+(Calculations!O12*Calculations!$L13*N13))</f>
        <v>63464.292816165827</v>
      </c>
      <c r="P13" s="153">
        <f t="shared" si="0"/>
        <v>1</v>
      </c>
      <c r="Q13" s="156">
        <f>IF(I13=Year_Open_to_Traffic?,$E$51,Calculations!Q12+(Calculations!Q12*Calculations!$L13*R13))</f>
        <v>12692.858563233165</v>
      </c>
      <c r="R13" s="153">
        <f t="shared" si="1"/>
        <v>1</v>
      </c>
      <c r="S13" s="156">
        <f>IF($I13=Year_Open_to_Traffic?,$E$52,Calculations!S12+(Calculations!S12*Calculations!$L13*T13))</f>
        <v>72349.293810429037</v>
      </c>
      <c r="T13" s="153">
        <f t="shared" si="2"/>
        <v>1</v>
      </c>
      <c r="U13" s="156">
        <f>IF($I13=Year_Open_to_Traffic?,$E$53,Calculations!U12+(Calculations!U12*Calculations!$L13*V13))</f>
        <v>0</v>
      </c>
      <c r="V13" s="153">
        <f t="shared" si="3"/>
        <v>0</v>
      </c>
      <c r="W13" s="156">
        <f t="shared" si="8"/>
        <v>148.50644518982801</v>
      </c>
      <c r="X13" s="157">
        <f>W13/(1+Real_Discount_Rate)^(Calculations!I13-'Assumed Values'!$C$5)</f>
        <v>112.82811042798973</v>
      </c>
      <c r="Y13"/>
    </row>
    <row r="14" spans="1:25" ht="15.75" x14ac:dyDescent="0.25">
      <c r="A14" s="145"/>
      <c r="B14" s="167"/>
      <c r="C14" s="145"/>
      <c r="D14" s="164" t="s">
        <v>209</v>
      </c>
      <c r="E14" s="165">
        <f>VLOOKUP('Inputs &amp; Outputs'!$C$19,'Preventable Crash data'!$B$11:$F$16,5,FALSE)</f>
        <v>0.22994377273896585</v>
      </c>
      <c r="F14" s="165">
        <f>Calculations!E14*Appropriate_Crash_Reduction_Factor1</f>
        <v>4.5988754547793172E-2</v>
      </c>
      <c r="G14" s="74"/>
      <c r="H14" s="151"/>
      <c r="I14" s="152">
        <f>I13+1</f>
        <v>2032</v>
      </c>
      <c r="J14" s="159">
        <f t="shared" si="9"/>
        <v>33212.686972472657</v>
      </c>
      <c r="K14" s="159">
        <f t="shared" si="10"/>
        <v>85.4392741197709</v>
      </c>
      <c r="L14" s="160">
        <f t="shared" si="12"/>
        <v>2.0131013579573587E-2</v>
      </c>
      <c r="M14" s="161">
        <f>M13*(1+IFERROR(_2030_2045_V_C_Growth,_2021_2045_V_C_Growth))</f>
        <v>1</v>
      </c>
      <c r="N14" s="162">
        <f t="shared" si="7"/>
        <v>1</v>
      </c>
      <c r="O14" s="156">
        <f>IF(I14=Year_Open_to_Traffic?,Calculations!$E$50,Calculations!O13+(Calculations!O13*Calculations!$L14*N14))</f>
        <v>64741.893356666093</v>
      </c>
      <c r="P14" s="153">
        <f t="shared" si="0"/>
        <v>1</v>
      </c>
      <c r="Q14" s="156">
        <f>IF(I14=Year_Open_to_Traffic?,$E$51,Calculations!Q13+(Calculations!Q13*Calculations!$L14*R14))</f>
        <v>12948.378671333219</v>
      </c>
      <c r="R14" s="153">
        <f t="shared" si="1"/>
        <v>1</v>
      </c>
      <c r="S14" s="156">
        <f>IF($I14=Year_Open_to_Traffic?,$E$52,Calculations!S13+(Calculations!S13*Calculations!$L14*T14))</f>
        <v>73805.75842659935</v>
      </c>
      <c r="T14" s="153">
        <f t="shared" si="2"/>
        <v>1</v>
      </c>
      <c r="U14" s="156">
        <f>IF($I14=Year_Open_to_Traffic?,$E$53,Calculations!U13+(Calculations!U13*Calculations!$L14*V14))</f>
        <v>0</v>
      </c>
      <c r="V14" s="153">
        <f t="shared" si="3"/>
        <v>0</v>
      </c>
      <c r="W14" s="156">
        <f t="shared" si="8"/>
        <v>151.49603045459867</v>
      </c>
      <c r="X14" s="157">
        <f>W14/(1+Real_Discount_Rate)^(Calculations!I14-'Assumed Values'!$C$5)</f>
        <v>111.63865630569664</v>
      </c>
      <c r="Y14"/>
    </row>
    <row r="15" spans="1:25" ht="15.75" x14ac:dyDescent="0.25">
      <c r="A15" s="145"/>
      <c r="B15" s="168"/>
      <c r="C15" s="145"/>
      <c r="D15" s="145"/>
      <c r="E15" s="145"/>
      <c r="F15" s="145"/>
      <c r="G15" s="74"/>
      <c r="H15" s="151"/>
      <c r="I15" s="158">
        <f>I14+1</f>
        <v>2033</v>
      </c>
      <c r="J15" s="159">
        <f t="shared" si="9"/>
        <v>33881.292024929629</v>
      </c>
      <c r="K15" s="159">
        <f t="shared" si="10"/>
        <v>87.159253307304922</v>
      </c>
      <c r="L15" s="160">
        <f t="shared" si="12"/>
        <v>2.0131013579573587E-2</v>
      </c>
      <c r="M15" s="161">
        <f>M14*(1+IFERROR(_2030_2045_V_C_Growth,_2021_2045_V_C_Growth))</f>
        <v>1</v>
      </c>
      <c r="N15" s="162">
        <f t="shared" si="7"/>
        <v>1</v>
      </c>
      <c r="O15" s="156">
        <f>IF(I15=Year_Open_to_Traffic?,Calculations!$E$50,Calculations!O14+(Calculations!O14*Calculations!$L15*N15))</f>
        <v>66045.213290996442</v>
      </c>
      <c r="P15" s="153">
        <f t="shared" si="0"/>
        <v>1</v>
      </c>
      <c r="Q15" s="156">
        <f>IF(I15=Year_Open_to_Traffic?,$E$51,Calculations!Q14+(Calculations!Q14*Calculations!$L15*R15))</f>
        <v>13209.042658199289</v>
      </c>
      <c r="R15" s="153">
        <f t="shared" si="1"/>
        <v>1</v>
      </c>
      <c r="S15" s="156">
        <f>IF($I15=Year_Open_to_Traffic?,$E$52,Calculations!S14+(Calculations!S14*Calculations!$L15*T15))</f>
        <v>75291.543151735954</v>
      </c>
      <c r="T15" s="153">
        <f t="shared" si="2"/>
        <v>1</v>
      </c>
      <c r="U15" s="156">
        <f>IF($I15=Year_Open_to_Traffic?,$E$53,Calculations!U14+(Calculations!U14*Calculations!$L15*V15))</f>
        <v>0</v>
      </c>
      <c r="V15" s="153">
        <f t="shared" si="3"/>
        <v>0</v>
      </c>
      <c r="W15" s="156">
        <f t="shared" si="8"/>
        <v>154.54579910093167</v>
      </c>
      <c r="X15" s="157">
        <f>W15/(1+Real_Discount_Rate)^(Calculations!I15-'Assumed Values'!$C$5)</f>
        <v>110.46174162152469</v>
      </c>
      <c r="Y15"/>
    </row>
    <row r="16" spans="1:25" ht="15.75" x14ac:dyDescent="0.25">
      <c r="A16" s="145"/>
      <c r="B16" s="169"/>
      <c r="C16" s="145"/>
      <c r="D16" s="170"/>
      <c r="E16" s="171"/>
      <c r="F16" s="170"/>
      <c r="G16" s="74"/>
      <c r="H16" s="151"/>
      <c r="I16" s="152">
        <f t="shared" si="4"/>
        <v>2034</v>
      </c>
      <c r="J16" s="159">
        <f t="shared" si="9"/>
        <v>34563.356774776985</v>
      </c>
      <c r="K16" s="159">
        <f t="shared" si="10"/>
        <v>88.913857419219767</v>
      </c>
      <c r="L16" s="160">
        <f t="shared" si="12"/>
        <v>2.0131013579573587E-2</v>
      </c>
      <c r="M16" s="161">
        <f t="shared" si="11"/>
        <v>1</v>
      </c>
      <c r="N16" s="162">
        <f t="shared" si="7"/>
        <v>1</v>
      </c>
      <c r="O16" s="156">
        <f>IF(I16=Year_Open_to_Traffic?,Calculations!$E$50,Calculations!O15+(Calculations!O15*Calculations!$L16*N16))</f>
        <v>67374.770376623332</v>
      </c>
      <c r="P16" s="153">
        <f t="shared" si="0"/>
        <v>0</v>
      </c>
      <c r="Q16" s="156">
        <f>IF(I16=Year_Open_to_Traffic?,$E$51,Calculations!Q15+(Calculations!Q15*Calculations!$L16*R16))</f>
        <v>13209.042658199289</v>
      </c>
      <c r="R16" s="153">
        <f t="shared" si="1"/>
        <v>0</v>
      </c>
      <c r="S16" s="156">
        <f>IF($I16=Year_Open_to_Traffic?,$E$52,Calculations!S15+(Calculations!S15*Calculations!$L16*T16))</f>
        <v>76807.238229350594</v>
      </c>
      <c r="T16" s="153">
        <f t="shared" si="2"/>
        <v>1</v>
      </c>
      <c r="U16" s="156">
        <f>IF($I16=Year_Open_to_Traffic?,$E$53,Calculations!U15+(Calculations!U15*Calculations!$L16*V16))</f>
        <v>0</v>
      </c>
      <c r="V16" s="153">
        <f t="shared" si="3"/>
        <v>0</v>
      </c>
      <c r="W16" s="156">
        <f t="shared" si="8"/>
        <v>76.807238229350588</v>
      </c>
      <c r="X16" s="157">
        <f>W16/(1+Real_Discount_Rate)^(Calculations!I16-'Assumed Values'!$C$5)</f>
        <v>53.247370499154123</v>
      </c>
      <c r="Y16"/>
    </row>
    <row r="17" spans="1:25" ht="15.75" x14ac:dyDescent="0.25">
      <c r="A17" s="145"/>
      <c r="B17" s="168"/>
      <c r="C17" s="145"/>
      <c r="D17" s="145"/>
      <c r="E17" s="172"/>
      <c r="F17" s="172"/>
      <c r="G17" s="74"/>
      <c r="H17" s="151"/>
      <c r="I17" s="158">
        <f t="shared" si="4"/>
        <v>2035</v>
      </c>
      <c r="J17" s="159">
        <f t="shared" si="9"/>
        <v>35259.152179365665</v>
      </c>
      <c r="K17" s="159">
        <f t="shared" si="10"/>
        <v>90.703783490338353</v>
      </c>
      <c r="L17" s="160">
        <f t="shared" si="12"/>
        <v>2.0131013579573587E-2</v>
      </c>
      <c r="M17" s="161">
        <f t="shared" si="11"/>
        <v>1</v>
      </c>
      <c r="N17" s="162">
        <f t="shared" si="7"/>
        <v>1</v>
      </c>
      <c r="O17" s="156">
        <f>IF(I17=Year_Open_to_Traffic?,Calculations!$E$50,Calculations!O16+(Calculations!O16*Calculations!$L17*N17))</f>
        <v>68731.092793995791</v>
      </c>
      <c r="P17" s="153">
        <f t="shared" si="0"/>
        <v>0</v>
      </c>
      <c r="Q17" s="156">
        <f>IF(I17=Year_Open_to_Traffic?,$E$51,Calculations!Q16+(Calculations!Q16*Calculations!$L17*R17))</f>
        <v>13209.042658199289</v>
      </c>
      <c r="R17" s="153">
        <f t="shared" si="1"/>
        <v>0</v>
      </c>
      <c r="S17" s="156">
        <f>IF($I17=Year_Open_to_Traffic?,$E$52,Calculations!S16+(Calculations!S16*Calculations!$L17*T17))</f>
        <v>78353.4457851552</v>
      </c>
      <c r="T17" s="153">
        <f t="shared" si="2"/>
        <v>1</v>
      </c>
      <c r="U17" s="156">
        <f>IF($I17=Year_Open_to_Traffic?,$E$53,Calculations!U16+(Calculations!U16*Calculations!$L17*V17))</f>
        <v>0</v>
      </c>
      <c r="V17" s="153">
        <f t="shared" si="3"/>
        <v>0</v>
      </c>
      <c r="W17" s="156">
        <f t="shared" si="8"/>
        <v>78.353445785155202</v>
      </c>
      <c r="X17" s="157">
        <f>W17/(1+Real_Discount_Rate)^(Calculations!I17-'Assumed Values'!$C$5)</f>
        <v>52.686027194713084</v>
      </c>
      <c r="Y17"/>
    </row>
    <row r="18" spans="1:25" ht="15.75" x14ac:dyDescent="0.25">
      <c r="A18" s="145"/>
      <c r="B18" s="167"/>
      <c r="C18" s="145"/>
      <c r="D18" s="212"/>
      <c r="E18" s="208" t="s">
        <v>338</v>
      </c>
      <c r="F18" s="208" t="s">
        <v>340</v>
      </c>
      <c r="G18" s="74"/>
      <c r="H18" s="151"/>
      <c r="I18" s="152">
        <f t="shared" si="4"/>
        <v>2036</v>
      </c>
      <c r="J18" s="159">
        <f t="shared" si="9"/>
        <v>35968.954650692729</v>
      </c>
      <c r="K18" s="159">
        <f t="shared" si="10"/>
        <v>92.529742587501062</v>
      </c>
      <c r="L18" s="160">
        <f t="shared" si="12"/>
        <v>2.0131013579573587E-2</v>
      </c>
      <c r="M18" s="161">
        <f t="shared" si="11"/>
        <v>1</v>
      </c>
      <c r="N18" s="162">
        <f t="shared" si="7"/>
        <v>1</v>
      </c>
      <c r="O18" s="156">
        <f>IF(I18=Year_Open_to_Traffic?,Calculations!$E$50,Calculations!O17+(Calculations!O17*Calculations!$L18*N18))</f>
        <v>70114.719356370653</v>
      </c>
      <c r="P18" s="153">
        <f t="shared" si="0"/>
        <v>0</v>
      </c>
      <c r="Q18" s="156">
        <f>IF(I18=Year_Open_to_Traffic?,$E$51,Calculations!Q17+(Calculations!Q17*Calculations!$L18*R18))</f>
        <v>13209.042658199289</v>
      </c>
      <c r="R18" s="153">
        <f t="shared" si="1"/>
        <v>0</v>
      </c>
      <c r="S18" s="156">
        <f>IF($I18=Year_Open_to_Traffic?,$E$52,Calculations!S17+(Calculations!S17*Calculations!$L18*T18))</f>
        <v>79930.780066262538</v>
      </c>
      <c r="T18" s="153">
        <f t="shared" si="2"/>
        <v>1</v>
      </c>
      <c r="U18" s="156">
        <f>IF($I18=Year_Open_to_Traffic?,$E$53,Calculations!U17+(Calculations!U17*Calculations!$L18*V18))</f>
        <v>0</v>
      </c>
      <c r="V18" s="153">
        <f t="shared" si="3"/>
        <v>0</v>
      </c>
      <c r="W18" s="156">
        <f t="shared" si="8"/>
        <v>79.930780066262543</v>
      </c>
      <c r="X18" s="157">
        <f>W18/(1+Real_Discount_Rate)^(Calculations!I18-'Assumed Values'!$C$5)</f>
        <v>52.130601671797912</v>
      </c>
      <c r="Y18"/>
    </row>
    <row r="19" spans="1:25" ht="15.75" x14ac:dyDescent="0.25">
      <c r="A19" s="145"/>
      <c r="B19" s="167"/>
      <c r="C19" s="145"/>
      <c r="D19" s="212"/>
      <c r="E19" s="208"/>
      <c r="F19" s="208"/>
      <c r="G19" s="74"/>
      <c r="H19" s="151"/>
      <c r="I19" s="158">
        <f t="shared" si="4"/>
        <v>2037</v>
      </c>
      <c r="J19" s="159">
        <f t="shared" si="9"/>
        <v>36693.046165208892</v>
      </c>
      <c r="K19" s="159">
        <f t="shared" si="10"/>
        <v>94.392460092044487</v>
      </c>
      <c r="L19" s="160">
        <f t="shared" si="12"/>
        <v>2.0131013579573587E-2</v>
      </c>
      <c r="M19" s="161">
        <f t="shared" si="11"/>
        <v>1</v>
      </c>
      <c r="N19" s="162">
        <f t="shared" si="7"/>
        <v>1</v>
      </c>
      <c r="O19" s="156">
        <f>IF(I19=Year_Open_to_Traffic?,Calculations!$E$50,Calculations!O18+(Calculations!O18*Calculations!$L19*N19))</f>
        <v>71526.199723861748</v>
      </c>
      <c r="P19" s="153">
        <f t="shared" si="0"/>
        <v>0</v>
      </c>
      <c r="Q19" s="156">
        <f>IF(I19=Year_Open_to_Traffic?,$E$51,Calculations!Q18+(Calculations!Q18*Calculations!$L19*R19))</f>
        <v>13209.042658199289</v>
      </c>
      <c r="R19" s="153">
        <f t="shared" si="1"/>
        <v>0</v>
      </c>
      <c r="S19" s="156">
        <f>IF($I19=Year_Open_to_Traffic?,$E$52,Calculations!S18+(Calculations!S18*Calculations!$L19*T19))</f>
        <v>81539.867685202378</v>
      </c>
      <c r="T19" s="153">
        <f t="shared" si="2"/>
        <v>1</v>
      </c>
      <c r="U19" s="156">
        <f>IF($I19=Year_Open_to_Traffic?,$E$53,Calculations!U18+(Calculations!U18*Calculations!$L19*V19))</f>
        <v>0</v>
      </c>
      <c r="V19" s="153">
        <f t="shared" si="3"/>
        <v>0</v>
      </c>
      <c r="W19" s="156">
        <f t="shared" si="8"/>
        <v>81.539867685202381</v>
      </c>
      <c r="X19" s="157">
        <f>W19/(1+Real_Discount_Rate)^(Calculations!I19-'Assumed Values'!$C$5)</f>
        <v>51.581031544097208</v>
      </c>
      <c r="Y19"/>
    </row>
    <row r="20" spans="1:25" ht="15.75" x14ac:dyDescent="0.25">
      <c r="A20" s="145"/>
      <c r="B20" s="167"/>
      <c r="C20" s="145"/>
      <c r="D20" s="212"/>
      <c r="E20" s="208"/>
      <c r="F20" s="208"/>
      <c r="G20" s="74"/>
      <c r="H20" s="151"/>
      <c r="I20" s="152">
        <f t="shared" si="4"/>
        <v>2038</v>
      </c>
      <c r="J20" s="159">
        <f t="shared" si="9"/>
        <v>37431.714375836636</v>
      </c>
      <c r="K20" s="159">
        <f t="shared" si="10"/>
        <v>96.292675987966788</v>
      </c>
      <c r="L20" s="160">
        <f t="shared" si="12"/>
        <v>2.0131013579573587E-2</v>
      </c>
      <c r="M20" s="161">
        <f t="shared" si="11"/>
        <v>1</v>
      </c>
      <c r="N20" s="162">
        <f t="shared" si="7"/>
        <v>1</v>
      </c>
      <c r="O20" s="156">
        <f>IF(I20=Year_Open_to_Traffic?,Calculations!$E$50,Calculations!O19+(Calculations!O19*Calculations!$L20*N20))</f>
        <v>72966.094621798096</v>
      </c>
      <c r="P20" s="153">
        <f t="shared" si="0"/>
        <v>0</v>
      </c>
      <c r="Q20" s="156">
        <f>IF(I20=Year_Open_to_Traffic?,$E$51,Calculations!Q19+(Calculations!Q19*Calculations!$L20*R20))</f>
        <v>13209.042658199289</v>
      </c>
      <c r="R20" s="153">
        <f t="shared" si="1"/>
        <v>0</v>
      </c>
      <c r="S20" s="156">
        <f>IF($I20=Year_Open_to_Traffic?,$E$52,Calculations!S19+(Calculations!S19*Calculations!$L20*T20))</f>
        <v>83181.347868849814</v>
      </c>
      <c r="T20" s="153">
        <f t="shared" si="2"/>
        <v>1</v>
      </c>
      <c r="U20" s="156">
        <f>IF($I20=Year_Open_to_Traffic?,$E$53,Calculations!U19+(Calculations!U19*Calculations!$L20*V20))</f>
        <v>0</v>
      </c>
      <c r="V20" s="153">
        <f t="shared" si="3"/>
        <v>0</v>
      </c>
      <c r="W20" s="156">
        <f t="shared" si="8"/>
        <v>83.181347868849812</v>
      </c>
      <c r="X20" s="157">
        <f>W20/(1+Real_Discount_Rate)^(Calculations!I20-'Assumed Values'!$C$5)</f>
        <v>51.037255082987222</v>
      </c>
      <c r="Y20"/>
    </row>
    <row r="21" spans="1:25" ht="30" x14ac:dyDescent="0.25">
      <c r="A21" s="146" t="s">
        <v>210</v>
      </c>
      <c r="B21" s="146" t="s">
        <v>451</v>
      </c>
      <c r="C21" s="145"/>
      <c r="D21" s="164" t="s">
        <v>146</v>
      </c>
      <c r="E21" s="165">
        <f>IF('Inputs &amp; Outputs'!$C$24='Inputs &amp; Outputs'!$C$19,$E$11-$F$11,VLOOKUP('Inputs &amp; Outputs'!$C$24,'Preventable Crash data'!$B$11:$F$16,2,FALSE))</f>
        <v>0</v>
      </c>
      <c r="F21" s="165">
        <f>E21*Appropriate_Crash_Reduction_Factor2</f>
        <v>0</v>
      </c>
      <c r="G21" s="74"/>
      <c r="H21" s="151"/>
      <c r="I21" s="158">
        <f>I20+1</f>
        <v>2039</v>
      </c>
      <c r="J21" s="159">
        <f t="shared" si="9"/>
        <v>38185.252726243321</v>
      </c>
      <c r="K21" s="159">
        <f t="shared" si="10"/>
        <v>98.231145155894026</v>
      </c>
      <c r="L21" s="160">
        <f t="shared" si="12"/>
        <v>2.0131013579573587E-2</v>
      </c>
      <c r="M21" s="161">
        <f>M20*(1+IFERROR(_2030_2045_V_C_Growth,_2021_2045_V_C_Growth))</f>
        <v>1</v>
      </c>
      <c r="N21" s="162">
        <f t="shared" si="7"/>
        <v>1</v>
      </c>
      <c r="O21" s="156">
        <f>IF(I21=Year_Open_to_Traffic?,Calculations!$E$50,Calculations!O20+(Calculations!O20*Calculations!$L21*N21))</f>
        <v>74434.976063477967</v>
      </c>
      <c r="P21" s="153">
        <f t="shared" si="0"/>
        <v>0</v>
      </c>
      <c r="Q21" s="156">
        <f>IF(I21=Year_Open_to_Traffic?,$E$51,Calculations!Q20+(Calculations!Q20*Calculations!$L21*R21))</f>
        <v>13209.042658199289</v>
      </c>
      <c r="R21" s="153">
        <f t="shared" si="1"/>
        <v>0</v>
      </c>
      <c r="S21" s="156">
        <f>IF($I21=Year_Open_to_Traffic?,$E$52,Calculations!S20+(Calculations!S20*Calculations!$L21*T21))</f>
        <v>84855.872712364871</v>
      </c>
      <c r="T21" s="153">
        <f t="shared" si="2"/>
        <v>1</v>
      </c>
      <c r="U21" s="156">
        <f>IF($I21=Year_Open_to_Traffic?,$E$53,Calculations!U20+(Calculations!U20*Calculations!$L21*V21))</f>
        <v>0</v>
      </c>
      <c r="V21" s="153">
        <f t="shared" si="3"/>
        <v>0</v>
      </c>
      <c r="W21" s="156">
        <f t="shared" si="8"/>
        <v>84.855872712364871</v>
      </c>
      <c r="X21" s="157">
        <f>W21/(1+Real_Discount_Rate)^(Calculations!I21-'Assumed Values'!$C$5)</f>
        <v>50.49921121059846</v>
      </c>
      <c r="Y21"/>
    </row>
    <row r="22" spans="1:25" ht="15.75" x14ac:dyDescent="0.25">
      <c r="A22" s="140" t="s">
        <v>219</v>
      </c>
      <c r="B22" s="58">
        <v>12500000</v>
      </c>
      <c r="C22" s="145"/>
      <c r="D22" s="164" t="s">
        <v>207</v>
      </c>
      <c r="E22" s="165">
        <f>IF('Inputs &amp; Outputs'!$C$24='Inputs &amp; Outputs'!$C$19,$E$12-$F$12,VLOOKUP('Inputs &amp; Outputs'!$C$24,'Preventable Crash data'!$B$11:$F$16,3,FALSE))</f>
        <v>0.18395501819117269</v>
      </c>
      <c r="F22" s="165">
        <f>E22*Appropriate_Crash_Reduction_Factor2</f>
        <v>9.1977509095586343E-3</v>
      </c>
      <c r="G22" s="74"/>
      <c r="H22" s="151"/>
      <c r="I22" s="152">
        <f>I21+1</f>
        <v>2040</v>
      </c>
      <c r="J22" s="159">
        <f t="shared" si="9"/>
        <v>38953.960567414775</v>
      </c>
      <c r="K22" s="159">
        <f t="shared" si="10"/>
        <v>100.20863767296439</v>
      </c>
      <c r="L22" s="160">
        <f t="shared" si="12"/>
        <v>2.0131013579573587E-2</v>
      </c>
      <c r="M22" s="161">
        <f t="shared" si="11"/>
        <v>1</v>
      </c>
      <c r="N22" s="162">
        <f t="shared" si="7"/>
        <v>1</v>
      </c>
      <c r="O22" s="156">
        <f>IF(I22=Year_Open_to_Traffic?,Calculations!$E$50,Calculations!O21+(Calculations!O21*Calculations!$L22*N22))</f>
        <v>75933.42757740707</v>
      </c>
      <c r="P22" s="153">
        <f t="shared" si="0"/>
        <v>0</v>
      </c>
      <c r="Q22" s="156">
        <f>IF(I22=Year_Open_to_Traffic?,$E$51,Calculations!Q21+(Calculations!Q21*Calculations!$L22*R22))</f>
        <v>13209.042658199289</v>
      </c>
      <c r="R22" s="153">
        <f t="shared" si="1"/>
        <v>0</v>
      </c>
      <c r="S22" s="156">
        <f>IF($I22=Year_Open_to_Traffic?,$E$52,Calculations!S21+(Calculations!S21*Calculations!$L22*T22))</f>
        <v>86564.107438244057</v>
      </c>
      <c r="T22" s="153">
        <f t="shared" si="2"/>
        <v>1</v>
      </c>
      <c r="U22" s="156">
        <f>IF($I22=Year_Open_to_Traffic?,$E$53,Calculations!U21+(Calculations!U21*Calculations!$L22*V22))</f>
        <v>0</v>
      </c>
      <c r="V22" s="153">
        <f t="shared" si="3"/>
        <v>0</v>
      </c>
      <c r="W22" s="156">
        <f t="shared" si="8"/>
        <v>86.564107438244051</v>
      </c>
      <c r="X22" s="157">
        <f>W22/(1+Real_Discount_Rate)^(Calculations!I22-'Assumed Values'!$C$5)</f>
        <v>49.96683949295516</v>
      </c>
      <c r="Y22"/>
    </row>
    <row r="23" spans="1:25" ht="32.450000000000003" customHeight="1" x14ac:dyDescent="0.25">
      <c r="A23" s="140" t="s">
        <v>218</v>
      </c>
      <c r="B23" s="58">
        <v>1188200</v>
      </c>
      <c r="C23" s="145"/>
      <c r="D23" s="164" t="s">
        <v>208</v>
      </c>
      <c r="E23" s="165">
        <f>IF('Inputs &amp; Outputs'!$C$24='Inputs &amp; Outputs'!$C$19,$E$13-$F$13,VLOOKUP('Inputs &amp; Outputs'!$C$24,'Preventable Crash data'!$B$11:$F$16,4,FALSE))</f>
        <v>0</v>
      </c>
      <c r="F23" s="165">
        <f>E23*Appropriate_Crash_Reduction_Factor2</f>
        <v>0</v>
      </c>
      <c r="G23" s="74"/>
      <c r="H23" s="151"/>
      <c r="I23" s="158">
        <f t="shared" si="4"/>
        <v>2041</v>
      </c>
      <c r="J23" s="159">
        <f t="shared" si="9"/>
        <v>39738.143276575574</v>
      </c>
      <c r="K23" s="159">
        <f t="shared" si="10"/>
        <v>102.22593911874939</v>
      </c>
      <c r="L23" s="160">
        <f t="shared" si="12"/>
        <v>2.0131013579573587E-2</v>
      </c>
      <c r="M23" s="161">
        <f t="shared" si="11"/>
        <v>1</v>
      </c>
      <c r="N23" s="162">
        <f t="shared" si="7"/>
        <v>1</v>
      </c>
      <c r="O23" s="156">
        <f>IF(I23=Year_Open_to_Traffic?,Calculations!$E$50,Calculations!O22+(Calculations!O22*Calculations!$L23*N23))</f>
        <v>77462.044439111414</v>
      </c>
      <c r="P23" s="153">
        <f t="shared" si="0"/>
        <v>0</v>
      </c>
      <c r="Q23" s="156">
        <f>IF(I23=Year_Open_to_Traffic?,$E$51,Calculations!Q22+(Calculations!Q22*Calculations!$L23*R23))</f>
        <v>13209.042658199289</v>
      </c>
      <c r="R23" s="153">
        <f t="shared" si="1"/>
        <v>0</v>
      </c>
      <c r="S23" s="156">
        <f>IF($I23=Year_Open_to_Traffic?,$E$52,Calculations!S22+(Calculations!S22*Calculations!$L23*T23))</f>
        <v>88306.730660587011</v>
      </c>
      <c r="T23" s="153">
        <f t="shared" si="2"/>
        <v>1</v>
      </c>
      <c r="U23" s="156">
        <f>IF($I23=Year_Open_to_Traffic?,$E$53,Calculations!U22+(Calculations!U22*Calculations!$L23*V23))</f>
        <v>0</v>
      </c>
      <c r="V23" s="153">
        <f t="shared" si="3"/>
        <v>0</v>
      </c>
      <c r="W23" s="156">
        <f t="shared" si="8"/>
        <v>88.306730660587007</v>
      </c>
      <c r="X23" s="157">
        <f>W23/(1+Real_Discount_Rate)^(Calculations!I23-'Assumed Values'!$C$5)</f>
        <v>49.440080133187415</v>
      </c>
      <c r="Y23"/>
    </row>
    <row r="24" spans="1:25" ht="30" x14ac:dyDescent="0.25">
      <c r="A24" s="139" t="s">
        <v>227</v>
      </c>
      <c r="B24" s="58">
        <v>233800</v>
      </c>
      <c r="C24" s="145"/>
      <c r="D24" s="164" t="s">
        <v>209</v>
      </c>
      <c r="E24" s="165">
        <f>IF('Inputs &amp; Outputs'!$C$24='Inputs &amp; Outputs'!$C$19,$E$14-$F$14,VLOOKUP('Inputs &amp; Outputs'!$C$24,'Preventable Crash data'!$B$11:$F$16,5,FALSE))</f>
        <v>0.18395501819117269</v>
      </c>
      <c r="F24" s="165">
        <f>Calculations!E24*Appropriate_Crash_Reduction_Factor2</f>
        <v>9.1977509095586343E-3</v>
      </c>
      <c r="G24" s="74"/>
      <c r="H24" s="151"/>
      <c r="I24" s="152">
        <f t="shared" si="4"/>
        <v>2042</v>
      </c>
      <c r="J24" s="159">
        <f t="shared" si="9"/>
        <v>40538.112378503356</v>
      </c>
      <c r="K24" s="159">
        <f t="shared" si="10"/>
        <v>104.2838508873336</v>
      </c>
      <c r="L24" s="160">
        <f t="shared" si="12"/>
        <v>2.0131013579573587E-2</v>
      </c>
      <c r="M24" s="161">
        <f t="shared" si="11"/>
        <v>1</v>
      </c>
      <c r="N24" s="162">
        <f t="shared" si="7"/>
        <v>1</v>
      </c>
      <c r="O24" s="156">
        <f>IF(I24=Year_Open_to_Traffic?,Calculations!$E$50,Calculations!O23+(Calculations!O23*Calculations!$L24*N24))</f>
        <v>79021.433907616694</v>
      </c>
      <c r="P24" s="153">
        <f t="shared" si="0"/>
        <v>0</v>
      </c>
      <c r="Q24" s="156">
        <f>IF(I24=Year_Open_to_Traffic?,$E$51,Calculations!Q23+(Calculations!Q23*Calculations!$L24*R24))</f>
        <v>13209.042658199289</v>
      </c>
      <c r="R24" s="153">
        <f t="shared" si="1"/>
        <v>0</v>
      </c>
      <c r="S24" s="156">
        <f>IF($I24=Year_Open_to_Traffic?,$E$52,Calculations!S23+(Calculations!S23*Calculations!$L24*T24))</f>
        <v>90084.434654683035</v>
      </c>
      <c r="T24" s="153">
        <f t="shared" si="2"/>
        <v>1</v>
      </c>
      <c r="U24" s="156">
        <f>IF($I24=Year_Open_to_Traffic?,$E$53,Calculations!U23+(Calculations!U23*Calculations!$L24*V24))</f>
        <v>0</v>
      </c>
      <c r="V24" s="153">
        <f t="shared" si="3"/>
        <v>0</v>
      </c>
      <c r="W24" s="156">
        <f t="shared" si="8"/>
        <v>90.084434654683037</v>
      </c>
      <c r="X24" s="157">
        <f>W24/(1+Real_Discount_Rate)^(Calculations!I24-'Assumed Values'!$C$5)</f>
        <v>48.918873964814566</v>
      </c>
      <c r="Y24"/>
    </row>
    <row r="25" spans="1:25" ht="15.75" x14ac:dyDescent="0.25">
      <c r="A25" s="140" t="s">
        <v>217</v>
      </c>
      <c r="B25" s="58">
        <v>111700</v>
      </c>
      <c r="C25" s="145"/>
      <c r="D25" s="173"/>
      <c r="E25" s="173"/>
      <c r="F25" s="173"/>
      <c r="G25" s="74"/>
      <c r="H25" s="151"/>
      <c r="I25" s="158">
        <f t="shared" si="4"/>
        <v>2043</v>
      </c>
      <c r="J25" s="159">
        <f t="shared" si="9"/>
        <v>41354.185669285289</v>
      </c>
      <c r="K25" s="159">
        <f t="shared" si="10"/>
        <v>106.38319050567674</v>
      </c>
      <c r="L25" s="160">
        <f t="shared" si="12"/>
        <v>2.0131013579573587E-2</v>
      </c>
      <c r="M25" s="161">
        <f t="shared" si="11"/>
        <v>1</v>
      </c>
      <c r="N25" s="162">
        <f t="shared" si="7"/>
        <v>1</v>
      </c>
      <c r="O25" s="156">
        <f>IF(I25=Year_Open_to_Traffic?,Calculations!$E$50,Calculations!O24+(Calculations!O24*Calculations!$L25*N25))</f>
        <v>80612.2154666883</v>
      </c>
      <c r="P25" s="153">
        <f t="shared" si="0"/>
        <v>0</v>
      </c>
      <c r="Q25" s="156">
        <f>IF(I25=Year_Open_to_Traffic?,$E$51,Calculations!Q24+(Calculations!Q24*Calculations!$L25*R25))</f>
        <v>13209.042658199289</v>
      </c>
      <c r="R25" s="153">
        <f t="shared" si="1"/>
        <v>0</v>
      </c>
      <c r="S25" s="156">
        <f>IF($I25=Year_Open_to_Traffic?,$E$52,Calculations!S24+(Calculations!S24*Calculations!$L25*T25))</f>
        <v>91897.925632024664</v>
      </c>
      <c r="T25" s="153">
        <f t="shared" si="2"/>
        <v>1</v>
      </c>
      <c r="U25" s="156">
        <f>IF($I25=Year_Open_to_Traffic?,$E$53,Calculations!U24+(Calculations!U24*Calculations!$L25*V25))</f>
        <v>0</v>
      </c>
      <c r="V25" s="153">
        <f t="shared" si="3"/>
        <v>0</v>
      </c>
      <c r="W25" s="156">
        <f t="shared" si="8"/>
        <v>91.897925632024666</v>
      </c>
      <c r="X25" s="157">
        <f>W25/(1+Real_Discount_Rate)^(Calculations!I25-'Assumed Values'!$C$5)</f>
        <v>48.403162445099611</v>
      </c>
      <c r="Y25"/>
    </row>
    <row r="26" spans="1:25" ht="15.75" x14ac:dyDescent="0.25">
      <c r="A26" s="140" t="s">
        <v>216</v>
      </c>
      <c r="B26" s="58">
        <v>5000</v>
      </c>
      <c r="C26" s="145"/>
      <c r="D26" s="173"/>
      <c r="E26" s="173"/>
      <c r="F26" s="173"/>
      <c r="G26" s="74"/>
      <c r="H26" s="151"/>
      <c r="I26" s="152">
        <f t="shared" si="4"/>
        <v>2044</v>
      </c>
      <c r="J26" s="159">
        <f t="shared" si="9"/>
        <v>42186.687342565878</v>
      </c>
      <c r="K26" s="159">
        <f t="shared" si="10"/>
        <v>108.52479195838488</v>
      </c>
      <c r="L26" s="160">
        <f t="shared" si="12"/>
        <v>2.0131013579573587E-2</v>
      </c>
      <c r="M26" s="161">
        <f t="shared" si="11"/>
        <v>1</v>
      </c>
      <c r="N26" s="162">
        <f t="shared" si="7"/>
        <v>1</v>
      </c>
      <c r="O26" s="156">
        <f>IF(I26=Year_Open_to_Traffic?,Calculations!$E$50,Calculations!O25+(Calculations!O25*Calculations!$L26*N26))</f>
        <v>82235.021070927716</v>
      </c>
      <c r="P26" s="153">
        <f t="shared" si="0"/>
        <v>0</v>
      </c>
      <c r="Q26" s="156">
        <f>IF(I26=Year_Open_to_Traffic?,$E$51,Calculations!Q25+(Calculations!Q25*Calculations!$L26*R26))</f>
        <v>13209.042658199289</v>
      </c>
      <c r="R26" s="153">
        <f t="shared" si="1"/>
        <v>0</v>
      </c>
      <c r="S26" s="156">
        <f>IF($I26=Year_Open_to_Traffic?,$E$52,Calculations!S25+(Calculations!S25*Calculations!$L26*T26))</f>
        <v>93747.924020857594</v>
      </c>
      <c r="T26" s="153">
        <f t="shared" si="2"/>
        <v>1</v>
      </c>
      <c r="U26" s="156">
        <f>IF($I26=Year_Open_to_Traffic?,$E$53,Calculations!U25+(Calculations!U25*Calculations!$L26*V26))</f>
        <v>0</v>
      </c>
      <c r="V26" s="153">
        <f t="shared" si="3"/>
        <v>0</v>
      </c>
      <c r="W26" s="156">
        <f t="shared" si="8"/>
        <v>93.747924020857596</v>
      </c>
      <c r="X26" s="157">
        <f>W26/(1+Real_Discount_Rate)^(Calculations!I26-'Assumed Values'!$C$5)</f>
        <v>47.892887648473533</v>
      </c>
      <c r="Y26"/>
    </row>
    <row r="27" spans="1:25" ht="15.75" x14ac:dyDescent="0.25">
      <c r="A27"/>
      <c r="B27"/>
      <c r="C27"/>
      <c r="D27"/>
      <c r="E27"/>
      <c r="F27"/>
      <c r="G27" s="174"/>
      <c r="H27" s="151"/>
      <c r="I27" s="158">
        <f t="shared" si="4"/>
        <v>2045</v>
      </c>
      <c r="J27" s="159">
        <f t="shared" si="9"/>
        <v>43035.948118336295</v>
      </c>
      <c r="K27" s="159">
        <f t="shared" si="10"/>
        <v>110.70950601901953</v>
      </c>
      <c r="L27" s="160">
        <f t="shared" si="12"/>
        <v>2.0131013579573587E-2</v>
      </c>
      <c r="M27" s="161">
        <f t="shared" si="11"/>
        <v>1</v>
      </c>
      <c r="N27" s="162">
        <f t="shared" si="7"/>
        <v>1</v>
      </c>
      <c r="O27" s="156">
        <f>IF(I27=Year_Open_to_Traffic?,Calculations!$E$50,Calculations!O26+(Calculations!O26*Calculations!$L27*N27))</f>
        <v>83890.495396823084</v>
      </c>
      <c r="P27" s="153">
        <f t="shared" si="0"/>
        <v>0</v>
      </c>
      <c r="Q27" s="156">
        <f>IF(I27=Year_Open_to_Traffic?,$E$51,Calculations!Q26+(Calculations!Q26*Calculations!$L27*R27))</f>
        <v>13209.042658199289</v>
      </c>
      <c r="R27" s="153">
        <f t="shared" si="1"/>
        <v>0</v>
      </c>
      <c r="S27" s="156">
        <f>IF($I27=Year_Open_to_Traffic?,$E$52,Calculations!S26+(Calculations!S26*Calculations!$L27*T27))</f>
        <v>95635.164752378318</v>
      </c>
      <c r="T27" s="153">
        <f t="shared" si="2"/>
        <v>1</v>
      </c>
      <c r="U27" s="156">
        <f>IF($I27=Year_Open_to_Traffic?,$E$53,Calculations!U26+(Calculations!U26*Calculations!$L27*V27))</f>
        <v>0</v>
      </c>
      <c r="V27" s="153">
        <f t="shared" si="3"/>
        <v>0</v>
      </c>
      <c r="W27" s="156">
        <f t="shared" si="8"/>
        <v>95.635164752378316</v>
      </c>
      <c r="X27" s="157">
        <f>W27/(1+Real_Discount_Rate)^(Calculations!I27-'Assumed Values'!$C$5)</f>
        <v>47.387992260029051</v>
      </c>
      <c r="Y27"/>
    </row>
    <row r="28" spans="1:25" ht="15.75" customHeight="1" x14ac:dyDescent="0.25">
      <c r="A28"/>
      <c r="B28"/>
      <c r="C28"/>
      <c r="D28" s="212"/>
      <c r="E28" s="208" t="s">
        <v>337</v>
      </c>
      <c r="F28" s="208" t="s">
        <v>341</v>
      </c>
      <c r="G28" s="174"/>
      <c r="H28" s="151"/>
      <c r="I28" s="152">
        <f t="shared" si="4"/>
        <v>2046</v>
      </c>
      <c r="J28" s="159">
        <f t="shared" si="9"/>
        <v>43902.305374316347</v>
      </c>
      <c r="K28" s="159">
        <f t="shared" si="10"/>
        <v>112.9382005880763</v>
      </c>
      <c r="L28" s="160">
        <f t="shared" si="12"/>
        <v>2.0131013579573587E-2</v>
      </c>
      <c r="M28" s="161">
        <f t="shared" si="11"/>
        <v>1</v>
      </c>
      <c r="N28" s="162">
        <f t="shared" si="7"/>
        <v>1</v>
      </c>
      <c r="O28" s="156">
        <f>IF(I28=Year_Open_to_Traffic?,Calculations!$E$50,Calculations!O27+(Calculations!O27*Calculations!$L28*N28))</f>
        <v>85579.29609885368</v>
      </c>
      <c r="P28" s="153">
        <f t="shared" si="0"/>
        <v>0</v>
      </c>
      <c r="Q28" s="156">
        <f>IF(I28=Year_Open_to_Traffic?,$E$51,Calculations!Q27+(Calculations!Q27*Calculations!$L28*R28))</f>
        <v>13209.042658199289</v>
      </c>
      <c r="R28" s="153">
        <f t="shared" si="1"/>
        <v>0</v>
      </c>
      <c r="S28" s="156">
        <f>IF($I28=Year_Open_to_Traffic?,$E$52,Calculations!S27+(Calculations!S27*Calculations!$L28*T28))</f>
        <v>97560.397552693204</v>
      </c>
      <c r="T28" s="153">
        <f t="shared" si="2"/>
        <v>1</v>
      </c>
      <c r="U28" s="156">
        <f>IF($I28=Year_Open_to_Traffic?,$E$53,Calculations!U27+(Calculations!U27*Calculations!$L28*V28))</f>
        <v>0</v>
      </c>
      <c r="V28" s="153">
        <f t="shared" si="3"/>
        <v>0</v>
      </c>
      <c r="W28" s="156">
        <f t="shared" si="8"/>
        <v>97.560397552693203</v>
      </c>
      <c r="X28" s="157">
        <f>W28/(1+Real_Discount_Rate)^(Calculations!I28-'Assumed Values'!$C$5)</f>
        <v>46.888419569082863</v>
      </c>
      <c r="Y28"/>
    </row>
    <row r="29" spans="1:25" s="80" customFormat="1" ht="15.75" x14ac:dyDescent="0.25">
      <c r="A29" s="76"/>
      <c r="B29" s="76"/>
      <c r="C29" s="76"/>
      <c r="D29" s="212"/>
      <c r="E29" s="208"/>
      <c r="F29" s="208"/>
      <c r="G29" s="175"/>
      <c r="H29" s="176"/>
      <c r="I29" s="177">
        <f t="shared" si="4"/>
        <v>2047</v>
      </c>
      <c r="J29" s="159">
        <f t="shared" si="9"/>
        <v>44786.103279981297</v>
      </c>
      <c r="K29" s="159">
        <f t="shared" si="10"/>
        <v>115.21176103776747</v>
      </c>
      <c r="L29" s="160">
        <f t="shared" si="12"/>
        <v>2.0131013579573587E-2</v>
      </c>
      <c r="M29" s="178">
        <f t="shared" si="11"/>
        <v>1</v>
      </c>
      <c r="N29" s="179">
        <f t="shared" si="7"/>
        <v>1</v>
      </c>
      <c r="O29" s="156">
        <f>IF(I29=Year_Open_to_Traffic?,Calculations!$E$50,Calculations!O28+(Calculations!O28*Calculations!$L29*N29))</f>
        <v>87302.094070750056</v>
      </c>
      <c r="P29" s="153">
        <f t="shared" si="0"/>
        <v>0</v>
      </c>
      <c r="Q29" s="156">
        <f>IF(I29=Year_Open_to_Traffic?,$E$51,Calculations!Q28+(Calculations!Q28*Calculations!$L29*R29))</f>
        <v>13209.042658199289</v>
      </c>
      <c r="R29" s="153">
        <f>IF(AND($I29&gt;=Year_Open_to_Traffic?,$I29&lt;Year_Open_to_Traffic?+Years_to_include_in_BCA_Analysis2),1,0)</f>
        <v>0</v>
      </c>
      <c r="S29" s="156">
        <f>IF($I29=Year_Open_to_Traffic?,$E$52,Calculations!S28+(Calculations!S28*Calculations!$L29*T29))</f>
        <v>99524.387240655065</v>
      </c>
      <c r="T29" s="153">
        <f t="shared" si="2"/>
        <v>1</v>
      </c>
      <c r="U29" s="156">
        <f>IF($I29=Year_Open_to_Traffic?,$E$53,Calculations!U28+(Calculations!U28*Calculations!$L29*V29))</f>
        <v>0</v>
      </c>
      <c r="V29" s="153">
        <f t="shared" si="3"/>
        <v>0</v>
      </c>
      <c r="W29" s="156">
        <f t="shared" si="8"/>
        <v>99.524387240655059</v>
      </c>
      <c r="X29" s="180">
        <f>W29/(1+Real_Discount_Rate)^(Calculations!I29-'Assumed Values'!$C$5)</f>
        <v>46.394113462805826</v>
      </c>
      <c r="Y29" s="76"/>
    </row>
    <row r="30" spans="1:25" ht="15.75" x14ac:dyDescent="0.25">
      <c r="A30"/>
      <c r="B30"/>
      <c r="C30"/>
      <c r="D30" s="212"/>
      <c r="E30" s="208"/>
      <c r="F30" s="208"/>
      <c r="G30" s="174"/>
      <c r="H30" s="151"/>
      <c r="I30" s="158">
        <f t="shared" si="4"/>
        <v>2048</v>
      </c>
      <c r="J30" s="159">
        <f t="shared" si="9"/>
        <v>45687.692933286788</v>
      </c>
      <c r="K30" s="159">
        <f t="shared" si="10"/>
        <v>117.53109056374535</v>
      </c>
      <c r="L30" s="160">
        <f t="shared" si="12"/>
        <v>2.0131013579573587E-2</v>
      </c>
      <c r="M30" s="161">
        <f t="shared" si="11"/>
        <v>1</v>
      </c>
      <c r="N30" s="162">
        <f t="shared" si="7"/>
        <v>1</v>
      </c>
      <c r="O30" s="156">
        <f>IF(I30=Year_Open_to_Traffic?,Calculations!$E$50,Calculations!O29+(Calculations!O29*Calculations!$L30*N30))</f>
        <v>89059.573712013531</v>
      </c>
      <c r="P30" s="153">
        <f t="shared" si="0"/>
        <v>0</v>
      </c>
      <c r="Q30" s="156">
        <f>IF(I30=Year_Open_to_Traffic?,$E$51,Calculations!Q29+(Calculations!Q29*Calculations!$L30*R30))</f>
        <v>13209.042658199289</v>
      </c>
      <c r="R30" s="153">
        <f t="shared" si="1"/>
        <v>0</v>
      </c>
      <c r="S30" s="156">
        <f>IF($I30=Year_Open_to_Traffic?,$E$52,Calculations!S29+(Calculations!S29*Calculations!$L30*T30))</f>
        <v>99524.387240655065</v>
      </c>
      <c r="T30" s="153">
        <f t="shared" si="2"/>
        <v>0</v>
      </c>
      <c r="U30" s="156">
        <f>IF($I30=Year_Open_to_Traffic?,$E$53,Calculations!U29+(Calculations!U29*Calculations!$L30*V30))</f>
        <v>0</v>
      </c>
      <c r="V30" s="153">
        <f t="shared" si="3"/>
        <v>0</v>
      </c>
      <c r="W30" s="156">
        <f t="shared" si="8"/>
        <v>0</v>
      </c>
      <c r="X30" s="157">
        <f>W30/(1+Real_Discount_Rate)^(Calculations!I30-'Assumed Values'!$C$5)</f>
        <v>0</v>
      </c>
      <c r="Y30"/>
    </row>
    <row r="31" spans="1:25" ht="15.75" x14ac:dyDescent="0.25">
      <c r="A31"/>
      <c r="B31"/>
      <c r="C31"/>
      <c r="D31" s="164" t="s">
        <v>146</v>
      </c>
      <c r="E31" s="181">
        <f>IF('Inputs &amp; Outputs'!$C$29='Inputs &amp; Outputs'!$C$24,Calculations!$E$21-Calculations!$F$21,IF('Inputs &amp; Outputs'!$C$29='Inputs &amp; Outputs'!$C$19,Calculations!$E$11-Calculations!$F$11,VLOOKUP('Inputs &amp; Outputs'!$C$29,'Preventable Crash data'!$B$11:$F$16,2,FALSE)))</f>
        <v>0</v>
      </c>
      <c r="F31" s="165">
        <f>E31*Appropriate_Crash_Reduction_Factor3</f>
        <v>0</v>
      </c>
      <c r="G31" s="174"/>
      <c r="H31" s="151"/>
      <c r="I31" s="158">
        <f t="shared" si="4"/>
        <v>2049</v>
      </c>
      <c r="J31" s="159">
        <f t="shared" si="9"/>
        <v>46607.432500146169</v>
      </c>
      <c r="K31" s="159">
        <f t="shared" si="10"/>
        <v>119.89711054390621</v>
      </c>
      <c r="L31" s="160">
        <f t="shared" si="12"/>
        <v>2.0131013579573587E-2</v>
      </c>
      <c r="M31" s="161">
        <f t="shared" si="11"/>
        <v>1</v>
      </c>
      <c r="N31" s="162">
        <f t="shared" si="7"/>
        <v>1</v>
      </c>
      <c r="O31" s="156">
        <f>IF(I31=Year_Open_to_Traffic?,Calculations!$E$50,Calculations!O30+(Calculations!O30*Calculations!$L31*N31))</f>
        <v>90852.433199801104</v>
      </c>
      <c r="P31" s="153">
        <f t="shared" si="0"/>
        <v>0</v>
      </c>
      <c r="Q31" s="156">
        <f>IF(I31=Year_Open_to_Traffic?,$E$51,Calculations!Q30+(Calculations!Q30*Calculations!$L31*R31))</f>
        <v>13209.042658199289</v>
      </c>
      <c r="R31" s="153">
        <f t="shared" si="1"/>
        <v>0</v>
      </c>
      <c r="S31" s="156">
        <f>IF($I31=Year_Open_to_Traffic?,$E$52,Calculations!S30+(Calculations!S30*Calculations!$L31*T31))</f>
        <v>99524.387240655065</v>
      </c>
      <c r="T31" s="153">
        <f t="shared" si="2"/>
        <v>0</v>
      </c>
      <c r="U31" s="156">
        <f>IF($I31=Year_Open_to_Traffic?,$E$53,Calculations!U30+(Calculations!U30*Calculations!$L31*V31))</f>
        <v>0</v>
      </c>
      <c r="V31" s="153">
        <f t="shared" si="3"/>
        <v>0</v>
      </c>
      <c r="W31" s="156">
        <f t="shared" si="8"/>
        <v>0</v>
      </c>
      <c r="X31" s="157">
        <f>W31/(1+Real_Discount_Rate)^(Calculations!I31-'Assumed Values'!$C$5)</f>
        <v>0</v>
      </c>
      <c r="Y31"/>
    </row>
    <row r="32" spans="1:25" ht="15.75" x14ac:dyDescent="0.25">
      <c r="A32"/>
      <c r="B32"/>
      <c r="C32"/>
      <c r="D32" s="164" t="s">
        <v>207</v>
      </c>
      <c r="E32" s="181">
        <f>IF('Inputs &amp; Outputs'!$C$29='Inputs &amp; Outputs'!$C$24,Calculations!$E$22-Calculations!$F$22,IF('Inputs &amp; Outputs'!$C$29='Inputs &amp; Outputs'!$C$19,Calculations!$E$12-Calculations!$F$12,VLOOKUP('Inputs &amp; Outputs'!$C$29,'Preventable Crash data'!$B$11:$F$16,3,FALSE)))</f>
        <v>0.17475726728161406</v>
      </c>
      <c r="F32" s="165">
        <f>E32*Appropriate_Crash_Reduction_Factor3</f>
        <v>5.2427180184484216E-2</v>
      </c>
      <c r="G32" s="174"/>
      <c r="H32" s="151"/>
      <c r="I32" s="158">
        <f t="shared" si="4"/>
        <v>2050</v>
      </c>
      <c r="J32" s="159">
        <f t="shared" si="9"/>
        <v>47545.687356715673</v>
      </c>
      <c r="K32" s="159">
        <f t="shared" si="10"/>
        <v>122.31076090441722</v>
      </c>
      <c r="L32" s="160">
        <f t="shared" si="12"/>
        <v>2.0131013579573587E-2</v>
      </c>
      <c r="M32" s="161">
        <f t="shared" si="11"/>
        <v>1</v>
      </c>
      <c r="N32" s="162">
        <f t="shared" si="7"/>
        <v>1</v>
      </c>
      <c r="O32" s="156">
        <f>IF(I32=Year_Open_to_Traffic?,Calculations!$E$50,Calculations!O31+(Calculations!O31*Calculations!$L32*N32))</f>
        <v>92681.384766283605</v>
      </c>
      <c r="P32" s="153">
        <f t="shared" si="0"/>
        <v>0</v>
      </c>
      <c r="Q32" s="156">
        <f>IF(I32=Year_Open_to_Traffic?,$E$51,Calculations!Q31+(Calculations!Q31*Calculations!$L32*R32))</f>
        <v>13209.042658199289</v>
      </c>
      <c r="R32" s="153">
        <f t="shared" si="1"/>
        <v>0</v>
      </c>
      <c r="S32" s="156">
        <f>IF($I32=Year_Open_to_Traffic?,$E$52,Calculations!S31+(Calculations!S31*Calculations!$L32*T32))</f>
        <v>99524.387240655065</v>
      </c>
      <c r="T32" s="153">
        <f t="shared" si="2"/>
        <v>0</v>
      </c>
      <c r="U32" s="156">
        <f>IF($I32=Year_Open_to_Traffic?,$E$53,Calculations!U31+(Calculations!U31*Calculations!$L32*V32))</f>
        <v>0</v>
      </c>
      <c r="V32" s="153">
        <f t="shared" si="3"/>
        <v>0</v>
      </c>
      <c r="W32" s="156">
        <f t="shared" si="8"/>
        <v>0</v>
      </c>
      <c r="X32" s="157">
        <f>W32/(1+Real_Discount_Rate)^(Calculations!I32-'Assumed Values'!$C$5)</f>
        <v>0</v>
      </c>
      <c r="Y32"/>
    </row>
    <row r="33" spans="1:25" ht="30" customHeight="1" x14ac:dyDescent="0.25">
      <c r="A33"/>
      <c r="B33"/>
      <c r="C33"/>
      <c r="D33" s="164" t="s">
        <v>208</v>
      </c>
      <c r="E33" s="181">
        <f>IF('Inputs &amp; Outputs'!$C$29='Inputs &amp; Outputs'!$C$24,Calculations!$E$23-Calculations!$F$23,IF('Inputs &amp; Outputs'!$C$29='Inputs &amp; Outputs'!$C$19,Calculations!$E$13-Calculations!$F$13,VLOOKUP('Inputs &amp; Outputs'!$C$29,'Preventable Crash data'!$B$11:$F$16,4,FALSE)))</f>
        <v>0</v>
      </c>
      <c r="F33" s="165">
        <f>E33*Appropriate_Crash_Reduction_Factor3</f>
        <v>0</v>
      </c>
      <c r="G33" s="174"/>
      <c r="H33" s="151"/>
      <c r="I33" s="158">
        <f t="shared" si="4"/>
        <v>2051</v>
      </c>
      <c r="J33" s="159">
        <f t="shared" si="9"/>
        <v>48502.830234543879</v>
      </c>
      <c r="K33" s="159">
        <f t="shared" si="10"/>
        <v>124.77300049311202</v>
      </c>
      <c r="L33" s="160">
        <f t="shared" si="12"/>
        <v>2.0131013579573587E-2</v>
      </c>
      <c r="M33" s="161">
        <f t="shared" si="11"/>
        <v>1</v>
      </c>
      <c r="N33" s="162">
        <f t="shared" si="7"/>
        <v>1</v>
      </c>
      <c r="O33" s="156">
        <f>IF(I33=Year_Open_to_Traffic?,Calculations!$E$50,Calculations!O32+(Calculations!O32*Calculations!$L33*N33))</f>
        <v>94547.154981587344</v>
      </c>
      <c r="P33" s="153">
        <f t="shared" si="0"/>
        <v>0</v>
      </c>
      <c r="Q33" s="156">
        <f>IF(I33=Year_Open_to_Traffic?,$E$51,Calculations!Q32+(Calculations!Q32*Calculations!$L33*R33))</f>
        <v>13209.042658199289</v>
      </c>
      <c r="R33" s="153">
        <f t="shared" si="1"/>
        <v>0</v>
      </c>
      <c r="S33" s="156">
        <f>IF($I33=Year_Open_to_Traffic?,$E$52,Calculations!S32+(Calculations!S32*Calculations!$L33*T33))</f>
        <v>99524.387240655065</v>
      </c>
      <c r="T33" s="153">
        <f t="shared" si="2"/>
        <v>0</v>
      </c>
      <c r="U33" s="156">
        <f>IF($I33=Year_Open_to_Traffic?,$E$53,Calculations!U32+(Calculations!U32*Calculations!$L33*V33))</f>
        <v>0</v>
      </c>
      <c r="V33" s="153">
        <f t="shared" si="3"/>
        <v>0</v>
      </c>
      <c r="W33" s="156">
        <f t="shared" si="8"/>
        <v>0</v>
      </c>
      <c r="X33" s="157">
        <f>W33/(1+Real_Discount_Rate)^(Calculations!I33-'Assumed Values'!$C$5)</f>
        <v>0</v>
      </c>
      <c r="Y33"/>
    </row>
    <row r="34" spans="1:25" ht="15.75" x14ac:dyDescent="0.25">
      <c r="A34" s="74"/>
      <c r="B34" s="74"/>
      <c r="C34" s="74"/>
      <c r="D34" s="164" t="s">
        <v>209</v>
      </c>
      <c r="E34" s="181">
        <f>IF('Inputs &amp; Outputs'!$C$29='Inputs &amp; Outputs'!$C$24,Calculations!$E$24-Calculations!$F$24,IF('Inputs &amp; Outputs'!$C$29='Inputs &amp; Outputs'!$C$19,Calculations!$E$14-Calculations!$F$14,VLOOKUP('Inputs &amp; Outputs'!$C$29,'Preventable Crash data'!$B$11:$F$16,5,FALSE)))</f>
        <v>0.17475726728161406</v>
      </c>
      <c r="F34" s="165">
        <f>E34*Appropriate_Crash_Reduction_Factor3</f>
        <v>5.2427180184484216E-2</v>
      </c>
      <c r="G34" s="74"/>
      <c r="H34" s="151"/>
      <c r="I34" s="158">
        <f t="shared" si="4"/>
        <v>2052</v>
      </c>
      <c r="J34" s="159">
        <f t="shared" si="9"/>
        <v>49479.241368643234</v>
      </c>
      <c r="K34" s="159">
        <f t="shared" si="10"/>
        <v>127.284807460403</v>
      </c>
      <c r="L34" s="160">
        <f t="shared" ref="L34:L37" si="13">_2030_2045_Demand_Growth</f>
        <v>2.0131013579573587E-2</v>
      </c>
      <c r="M34" s="161">
        <f t="shared" si="11"/>
        <v>1</v>
      </c>
      <c r="N34" s="162">
        <f t="shared" si="7"/>
        <v>1</v>
      </c>
      <c r="O34" s="156">
        <f>IF(I34=Year_Open_to_Traffic?,Calculations!$E$50,Calculations!O33+(Calculations!O33*Calculations!$L34*N34))</f>
        <v>96450.485042431726</v>
      </c>
      <c r="P34" s="153">
        <f t="shared" si="0"/>
        <v>0</v>
      </c>
      <c r="Q34" s="156">
        <f>IF(I34=Year_Open_to_Traffic?,$E$51,Calculations!Q33+(Calculations!Q33*Calculations!$L34*R34))</f>
        <v>13209.042658199289</v>
      </c>
      <c r="R34" s="153">
        <f t="shared" si="1"/>
        <v>0</v>
      </c>
      <c r="S34" s="156">
        <f>IF($I34=Year_Open_to_Traffic?,$E$52,Calculations!S33+(Calculations!S33*Calculations!$L34*T34))</f>
        <v>99524.387240655065</v>
      </c>
      <c r="T34" s="153">
        <f t="shared" si="2"/>
        <v>0</v>
      </c>
      <c r="U34" s="156">
        <f>IF($I34=Year_Open_to_Traffic?,$E$53,Calculations!U33+(Calculations!U33*Calculations!$L34*V34))</f>
        <v>0</v>
      </c>
      <c r="V34" s="153">
        <f t="shared" si="3"/>
        <v>0</v>
      </c>
      <c r="W34" s="156">
        <f t="shared" si="8"/>
        <v>0</v>
      </c>
      <c r="X34" s="157">
        <f>W34/(1+Real_Discount_Rate)^(Calculations!I34-'Assumed Values'!$C$5)</f>
        <v>0</v>
      </c>
      <c r="Y34"/>
    </row>
    <row r="35" spans="1:25" ht="15.75" x14ac:dyDescent="0.25">
      <c r="A35" s="74"/>
      <c r="B35" s="74"/>
      <c r="C35" s="74"/>
      <c r="D35" s="74"/>
      <c r="E35" s="74"/>
      <c r="F35" s="74"/>
      <c r="G35" s="74"/>
      <c r="H35" s="151"/>
      <c r="I35" s="158">
        <f t="shared" si="4"/>
        <v>2053</v>
      </c>
      <c r="J35" s="159">
        <f t="shared" si="9"/>
        <v>50475.308648542392</v>
      </c>
      <c r="K35" s="159">
        <f t="shared" si="10"/>
        <v>129.84717964786179</v>
      </c>
      <c r="L35" s="160">
        <f t="shared" si="13"/>
        <v>2.0131013579573587E-2</v>
      </c>
      <c r="M35" s="161">
        <f t="shared" si="11"/>
        <v>1</v>
      </c>
      <c r="N35" s="162">
        <f t="shared" si="7"/>
        <v>1</v>
      </c>
      <c r="O35" s="156">
        <f>IF(I35=Year_Open_to_Traffic?,Calculations!$E$50,Calculations!O34+(Calculations!O34*Calculations!$L35*N35))</f>
        <v>98392.131066577378</v>
      </c>
      <c r="P35" s="153">
        <f t="shared" si="0"/>
        <v>0</v>
      </c>
      <c r="Q35" s="156">
        <f>IF(I35=Year_Open_to_Traffic?,$E$51,Calculations!Q34+(Calculations!Q34*Calculations!$L35*R35))</f>
        <v>13209.042658199289</v>
      </c>
      <c r="R35" s="153">
        <f t="shared" si="1"/>
        <v>0</v>
      </c>
      <c r="S35" s="156">
        <f>IF($I35=Year_Open_to_Traffic?,$E$52,Calculations!S34+(Calculations!S34*Calculations!$L35*T35))</f>
        <v>99524.387240655065</v>
      </c>
      <c r="T35" s="153">
        <f t="shared" si="2"/>
        <v>0</v>
      </c>
      <c r="U35" s="156">
        <f>IF($I35=Year_Open_to_Traffic?,$E$53,Calculations!U34+(Calculations!U34*Calculations!$L35*V35))</f>
        <v>0</v>
      </c>
      <c r="V35" s="153">
        <f t="shared" si="3"/>
        <v>0</v>
      </c>
      <c r="W35" s="156">
        <f t="shared" si="8"/>
        <v>0</v>
      </c>
      <c r="X35" s="157">
        <f>W35/(1+Real_Discount_Rate)^(Calculations!I35-'Assumed Values'!$C$5)</f>
        <v>0</v>
      </c>
      <c r="Y35"/>
    </row>
    <row r="36" spans="1:25" ht="15.75" x14ac:dyDescent="0.25">
      <c r="A36" s="74"/>
      <c r="B36" s="74"/>
      <c r="C36" s="74"/>
      <c r="D36" s="74"/>
      <c r="E36" s="74"/>
      <c r="F36" s="182"/>
      <c r="G36" s="74"/>
      <c r="H36" s="151"/>
      <c r="I36" s="158">
        <f t="shared" si="4"/>
        <v>2054</v>
      </c>
      <c r="J36" s="159">
        <f t="shared" si="9"/>
        <v>51491.427772379364</v>
      </c>
      <c r="K36" s="159">
        <f t="shared" si="10"/>
        <v>132.46113498462222</v>
      </c>
      <c r="L36" s="160">
        <f t="shared" si="13"/>
        <v>2.0131013579573587E-2</v>
      </c>
      <c r="M36" s="161">
        <f t="shared" si="11"/>
        <v>1</v>
      </c>
      <c r="N36" s="162">
        <f t="shared" si="7"/>
        <v>1</v>
      </c>
      <c r="O36" s="156">
        <f>IF(I36=Year_Open_to_Traffic?,Calculations!$E$50,Calculations!O35+(Calculations!O35*Calculations!$L36*N36))</f>
        <v>100372.86439320183</v>
      </c>
      <c r="P36" s="153">
        <f t="shared" si="0"/>
        <v>0</v>
      </c>
      <c r="Q36" s="156">
        <f>IF(I36=Year_Open_to_Traffic?,$E$51,Calculations!Q35+(Calculations!Q35*Calculations!$L36*R36))</f>
        <v>13209.042658199289</v>
      </c>
      <c r="R36" s="153">
        <f t="shared" si="1"/>
        <v>0</v>
      </c>
      <c r="S36" s="156">
        <f>IF($I36=Year_Open_to_Traffic?,$E$52,Calculations!S35+(Calculations!S35*Calculations!$L36*T36))</f>
        <v>99524.387240655065</v>
      </c>
      <c r="T36" s="153">
        <f t="shared" si="2"/>
        <v>0</v>
      </c>
      <c r="U36" s="156">
        <f>IF($I36=Year_Open_to_Traffic?,$E$53,Calculations!U35+(Calculations!U35*Calculations!$L36*V36))</f>
        <v>0</v>
      </c>
      <c r="V36" s="153">
        <f t="shared" si="3"/>
        <v>0</v>
      </c>
      <c r="W36" s="156">
        <f t="shared" si="8"/>
        <v>0</v>
      </c>
      <c r="X36" s="157">
        <f>W36/(1+Real_Discount_Rate)^(Calculations!I36-'Assumed Values'!$C$5)</f>
        <v>0</v>
      </c>
      <c r="Y36"/>
    </row>
    <row r="37" spans="1:25" x14ac:dyDescent="0.25">
      <c r="A37" s="74"/>
      <c r="B37" s="74"/>
      <c r="C37" s="74"/>
      <c r="D37" s="74"/>
      <c r="E37" s="74"/>
      <c r="F37" s="182"/>
      <c r="G37" s="74"/>
      <c r="H37" s="74"/>
      <c r="I37" s="158">
        <f t="shared" si="4"/>
        <v>2055</v>
      </c>
      <c r="J37" s="159">
        <f t="shared" ref="J37" si="14">J36+J36*L37</f>
        <v>52528.002404096762</v>
      </c>
      <c r="K37" s="159">
        <f t="shared" ref="K37" si="15">K36+K36*L37</f>
        <v>135.12771189176337</v>
      </c>
      <c r="L37" s="160">
        <f t="shared" si="13"/>
        <v>2.0131013579573587E-2</v>
      </c>
      <c r="M37" s="161">
        <f t="shared" si="11"/>
        <v>1</v>
      </c>
      <c r="N37" s="162">
        <f t="shared" ref="N37" si="16">-(ROUNDUP(M37,0)-2)</f>
        <v>1</v>
      </c>
      <c r="O37" s="156">
        <f>IF(I37=Year_Open_to_Traffic?,Calculations!$E$50,Calculations!O36+(Calculations!O36*Calculations!$L37*N37))</f>
        <v>102393.47188932207</v>
      </c>
      <c r="P37" s="153">
        <f t="shared" si="0"/>
        <v>0</v>
      </c>
      <c r="Q37" s="156">
        <f>IF(I37=Year_Open_to_Traffic?,$E$51,Calculations!Q36+(Calculations!Q36*Calculations!$L37*R37))</f>
        <v>13209.042658199289</v>
      </c>
      <c r="R37" s="153">
        <f t="shared" si="1"/>
        <v>0</v>
      </c>
      <c r="S37" s="156">
        <f>IF($I37=Year_Open_to_Traffic?,$E$52,Calculations!S36+(Calculations!S36*Calculations!$L37*T37))</f>
        <v>99524.387240655065</v>
      </c>
      <c r="T37" s="153">
        <f t="shared" si="2"/>
        <v>0</v>
      </c>
      <c r="U37" s="156">
        <f>IF($I37=Year_Open_to_Traffic?,$E$53,Calculations!U36+(Calculations!U36*Calculations!$L37*V37))</f>
        <v>0</v>
      </c>
      <c r="V37" s="153">
        <f t="shared" si="3"/>
        <v>0</v>
      </c>
      <c r="W37" s="156">
        <f t="shared" ref="W37" si="17">((O37*P37)+(Q37*R37)+(S37*T37)+(U37*V37))/10^3</f>
        <v>0</v>
      </c>
      <c r="X37" s="157">
        <f>W37/(1+Real_Discount_Rate)^(Calculations!I37-'Assumed Values'!$C$5)</f>
        <v>0</v>
      </c>
      <c r="Y37"/>
    </row>
    <row r="38" spans="1:25" x14ac:dyDescent="0.25">
      <c r="A38"/>
      <c r="B38"/>
      <c r="C38"/>
      <c r="D38" s="212"/>
      <c r="E38" s="208" t="s">
        <v>393</v>
      </c>
      <c r="F38" s="208" t="s">
        <v>392</v>
      </c>
      <c r="G38"/>
      <c r="H38"/>
      <c r="I38" s="46"/>
      <c r="J38" s="46"/>
      <c r="K38" s="46"/>
      <c r="L38" s="183"/>
      <c r="M38" s="184"/>
      <c r="N38" s="46"/>
      <c r="O38" s="185"/>
      <c r="P38" s="46"/>
      <c r="Q38" s="46"/>
      <c r="R38" s="46"/>
      <c r="S38" s="46"/>
      <c r="T38" s="46"/>
      <c r="U38" s="46"/>
      <c r="V38" s="46"/>
      <c r="W38" s="185"/>
      <c r="X38" s="157">
        <f>SUM(X4:X37)</f>
        <v>1377.1508375116036</v>
      </c>
      <c r="Y38"/>
    </row>
    <row r="39" spans="1:25" x14ac:dyDescent="0.25">
      <c r="A39"/>
      <c r="B39"/>
      <c r="C39"/>
      <c r="D39" s="212"/>
      <c r="E39" s="208"/>
      <c r="F39" s="208"/>
      <c r="G39"/>
      <c r="H39"/>
      <c r="I39"/>
      <c r="J39"/>
      <c r="K39"/>
      <c r="L39" s="186"/>
      <c r="M39" s="187"/>
      <c r="N39"/>
      <c r="O39"/>
      <c r="P39"/>
      <c r="Q39"/>
      <c r="R39"/>
      <c r="S39"/>
      <c r="T39"/>
      <c r="U39"/>
      <c r="V39"/>
      <c r="W39"/>
      <c r="X39"/>
      <c r="Y39"/>
    </row>
    <row r="40" spans="1:25" x14ac:dyDescent="0.25">
      <c r="A40"/>
      <c r="B40"/>
      <c r="C40"/>
      <c r="D40" s="212"/>
      <c r="E40" s="208"/>
      <c r="F40" s="208"/>
      <c r="G40"/>
      <c r="H40"/>
      <c r="I40"/>
      <c r="J40"/>
      <c r="K40"/>
      <c r="L40" s="186"/>
      <c r="M40" s="187"/>
      <c r="N40"/>
      <c r="O40"/>
      <c r="P40"/>
      <c r="Q40"/>
      <c r="R40"/>
      <c r="S40"/>
      <c r="T40"/>
      <c r="U40"/>
      <c r="V40"/>
      <c r="W40"/>
      <c r="X40"/>
      <c r="Y40"/>
    </row>
    <row r="41" spans="1:25" x14ac:dyDescent="0.25">
      <c r="D41" s="78" t="s">
        <v>387</v>
      </c>
      <c r="E41" s="81">
        <f>VLOOKUP('Inputs &amp; Outputs'!C34,'Preventable Crash data'!B33:F35,2,FALSE)</f>
        <v>0</v>
      </c>
      <c r="F41" s="79">
        <f>E41*'Inputs &amp; Outputs'!$C$35</f>
        <v>0</v>
      </c>
    </row>
    <row r="42" spans="1:25" x14ac:dyDescent="0.25">
      <c r="D42" s="78" t="s">
        <v>389</v>
      </c>
      <c r="E42" s="81">
        <f>VLOOKUP('Inputs &amp; Outputs'!C34,'Preventable Crash data'!B33:F35,3,FALSE)</f>
        <v>0</v>
      </c>
      <c r="F42" s="79">
        <f>E42*'Inputs &amp; Outputs'!$C$35</f>
        <v>0</v>
      </c>
    </row>
    <row r="43" spans="1:25" ht="30" x14ac:dyDescent="0.25">
      <c r="D43" s="78" t="s">
        <v>388</v>
      </c>
      <c r="E43" s="81">
        <f>VLOOKUP('Inputs &amp; Outputs'!C34,'Preventable Crash data'!B33:F35,4,FALSE)</f>
        <v>0</v>
      </c>
      <c r="F43" s="79">
        <f>E43*'Inputs &amp; Outputs'!$C$35</f>
        <v>0</v>
      </c>
    </row>
    <row r="44" spans="1:25" ht="30" x14ac:dyDescent="0.25">
      <c r="D44" s="78" t="s">
        <v>390</v>
      </c>
      <c r="E44" s="81">
        <f>VLOOKUP('Inputs &amp; Outputs'!C34,'Preventable Crash data'!B33:F35,5,FALSE)</f>
        <v>0</v>
      </c>
      <c r="F44" s="79">
        <f>E44*'Inputs &amp; Outputs'!$C$35</f>
        <v>0</v>
      </c>
    </row>
    <row r="49" spans="1:6" x14ac:dyDescent="0.25">
      <c r="A49" s="214" t="s">
        <v>144</v>
      </c>
      <c r="B49" s="214"/>
      <c r="C49" s="214"/>
      <c r="D49" s="214"/>
      <c r="E49" s="214"/>
    </row>
    <row r="50" spans="1:6" ht="15" customHeight="1" x14ac:dyDescent="0.25">
      <c r="A50" s="206" t="s">
        <v>342</v>
      </c>
      <c r="B50" s="206"/>
      <c r="C50" s="206"/>
      <c r="D50" s="206"/>
      <c r="E50" s="84">
        <f>(($F$11*$B$22)+($F$12*$B$23)+($F$13*$B$24)+($F$14*$B$25))</f>
        <v>59780.782036676341</v>
      </c>
      <c r="F50" s="85"/>
    </row>
    <row r="51" spans="1:6" x14ac:dyDescent="0.25">
      <c r="A51" s="206" t="s">
        <v>343</v>
      </c>
      <c r="B51" s="206"/>
      <c r="C51" s="206"/>
      <c r="D51" s="206"/>
      <c r="E51" s="86">
        <f>(($F$21*$B$22)+($F$22*$B$23)+($F$23*$B$24)+($F$24*$B$25))</f>
        <v>11956.156407335269</v>
      </c>
    </row>
    <row r="52" spans="1:6" x14ac:dyDescent="0.25">
      <c r="A52" s="206" t="s">
        <v>344</v>
      </c>
      <c r="B52" s="206"/>
      <c r="C52" s="206"/>
      <c r="D52" s="206"/>
      <c r="E52" s="86">
        <f>(($F$31*$B$22)+($F$32*$B$23)+($F$33*$B$24)+($F$34*$B$25))</f>
        <v>68150.091521811031</v>
      </c>
    </row>
    <row r="53" spans="1:6" x14ac:dyDescent="0.25">
      <c r="A53" s="206" t="s">
        <v>394</v>
      </c>
      <c r="B53" s="206"/>
      <c r="C53" s="206"/>
      <c r="D53" s="206"/>
      <c r="E53" s="86">
        <f>($F$41*$B$22)+($F$42*$B$23)+($F$43*$B$24)+($F$44*$B$25)</f>
        <v>0</v>
      </c>
    </row>
    <row r="54" spans="1:6" x14ac:dyDescent="0.25">
      <c r="A54" s="206" t="s">
        <v>345</v>
      </c>
      <c r="B54" s="206"/>
      <c r="C54" s="206"/>
      <c r="D54" s="206"/>
      <c r="E54" s="86">
        <f>SUM(E50:E53)</f>
        <v>139887.02996582264</v>
      </c>
    </row>
  </sheetData>
  <sheetProtection algorithmName="SHA-512" hashValue="XYvRn71TfccgRH/+BrmYTbVwK3JlKtFeYsb4lufUuWEPrO0cOTiaoMXcVwD7Cob89umjSCUiFfBr5hvx5yyjAg==" saltValue="pkey2r7vu64FmhRTQX3KHA==" spinCount="100000" sheet="1" objects="1" scenarios="1"/>
  <mergeCells count="35">
    <mergeCell ref="I1:X1"/>
    <mergeCell ref="I2:I3"/>
    <mergeCell ref="J2:J3"/>
    <mergeCell ref="L2:L3"/>
    <mergeCell ref="N2:N3"/>
    <mergeCell ref="O2:O3"/>
    <mergeCell ref="P2:P3"/>
    <mergeCell ref="W2:W3"/>
    <mergeCell ref="X2:X3"/>
    <mergeCell ref="Q2:Q3"/>
    <mergeCell ref="R2:R3"/>
    <mergeCell ref="S2:S3"/>
    <mergeCell ref="K2:K3"/>
    <mergeCell ref="T2:T3"/>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A53:D53"/>
    <mergeCell ref="U2:U3"/>
    <mergeCell ref="V2:V3"/>
    <mergeCell ref="A51:D51"/>
    <mergeCell ref="A52:D52"/>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85" zoomScaleNormal="85" workbookViewId="0">
      <selection activeCell="C8" sqref="C8"/>
    </sheetView>
  </sheetViews>
  <sheetFormatPr defaultRowHeight="15" x14ac:dyDescent="0.25"/>
  <cols>
    <col min="1" max="1" width="3.42578125" customWidth="1"/>
    <col min="2" max="2" width="62.42578125" bestFit="1" customWidth="1"/>
    <col min="3" max="3" width="22.7109375" bestFit="1" customWidth="1"/>
    <col min="4" max="4" width="20" bestFit="1" customWidth="1"/>
    <col min="6" max="6" width="16.85546875" customWidth="1"/>
    <col min="7" max="7" width="17.7109375" customWidth="1"/>
  </cols>
  <sheetData>
    <row r="2" spans="2:7" x14ac:dyDescent="0.25">
      <c r="B2" s="1" t="s">
        <v>253</v>
      </c>
    </row>
    <row r="4" spans="2:7" x14ac:dyDescent="0.25">
      <c r="B4" s="1" t="s">
        <v>21</v>
      </c>
      <c r="F4" s="61" t="s">
        <v>245</v>
      </c>
      <c r="G4" s="61" t="s">
        <v>244</v>
      </c>
    </row>
    <row r="5" spans="2:7" x14ac:dyDescent="0.25">
      <c r="B5" s="24" t="s">
        <v>24</v>
      </c>
      <c r="C5" s="24">
        <v>2022</v>
      </c>
      <c r="F5" s="40" t="s">
        <v>246</v>
      </c>
      <c r="G5" s="40" t="s">
        <v>252</v>
      </c>
    </row>
    <row r="6" spans="2:7" x14ac:dyDescent="0.25">
      <c r="B6" s="24" t="s">
        <v>25</v>
      </c>
      <c r="C6" s="39">
        <v>3.1E-2</v>
      </c>
      <c r="F6" s="40" t="s">
        <v>247</v>
      </c>
      <c r="G6" s="40" t="s">
        <v>243</v>
      </c>
    </row>
    <row r="7" spans="2:7" x14ac:dyDescent="0.25">
      <c r="B7" s="22"/>
      <c r="C7" s="48"/>
      <c r="F7" s="40" t="s">
        <v>248</v>
      </c>
    </row>
    <row r="8" spans="2:7" x14ac:dyDescent="0.25">
      <c r="B8" s="22"/>
      <c r="C8" s="49"/>
      <c r="F8" s="40" t="s">
        <v>249</v>
      </c>
    </row>
    <row r="9" spans="2:7" x14ac:dyDescent="0.25">
      <c r="C9" s="23"/>
      <c r="F9" s="40" t="s">
        <v>242</v>
      </c>
    </row>
    <row r="10" spans="2:7" x14ac:dyDescent="0.25">
      <c r="B10" s="1" t="s">
        <v>56</v>
      </c>
      <c r="C10" s="23"/>
      <c r="F10" s="40" t="s">
        <v>250</v>
      </c>
    </row>
    <row r="11" spans="2:7" x14ac:dyDescent="0.25">
      <c r="B11" s="24" t="s">
        <v>453</v>
      </c>
      <c r="C11" s="58">
        <v>12500000</v>
      </c>
      <c r="F11" s="40" t="s">
        <v>254</v>
      </c>
    </row>
    <row r="12" spans="2:7" x14ac:dyDescent="0.25">
      <c r="B12" s="221" t="s">
        <v>57</v>
      </c>
      <c r="C12" s="222"/>
      <c r="F12" s="40" t="s">
        <v>251</v>
      </c>
    </row>
    <row r="14" spans="2:7" hidden="1" x14ac:dyDescent="0.25">
      <c r="B14" s="1" t="s">
        <v>22</v>
      </c>
      <c r="C14" s="23"/>
    </row>
    <row r="15" spans="2:7" hidden="1" x14ac:dyDescent="0.25">
      <c r="B15" s="24" t="s">
        <v>70</v>
      </c>
      <c r="C15" s="26" t="e">
        <f>#REF!</f>
        <v>#REF!</v>
      </c>
    </row>
    <row r="16" spans="2:7" hidden="1" x14ac:dyDescent="0.25">
      <c r="B16" s="40" t="s">
        <v>61</v>
      </c>
      <c r="C16" s="41">
        <v>1.2E-2</v>
      </c>
    </row>
    <row r="17" spans="2:3" hidden="1" x14ac:dyDescent="0.25"/>
    <row r="18" spans="2:3" hidden="1" x14ac:dyDescent="0.25">
      <c r="B18" s="1" t="s">
        <v>23</v>
      </c>
    </row>
    <row r="19" spans="2:3" hidden="1" x14ac:dyDescent="0.25">
      <c r="B19" s="24" t="s">
        <v>68</v>
      </c>
      <c r="C19" s="43" t="e">
        <f>#REF!</f>
        <v>#REF!</v>
      </c>
    </row>
    <row r="20" spans="2:3" hidden="1" x14ac:dyDescent="0.25">
      <c r="B20" s="24" t="s">
        <v>69</v>
      </c>
      <c r="C20" s="43" t="e">
        <f>#REF!</f>
        <v>#REF!</v>
      </c>
    </row>
    <row r="21" spans="2:3" hidden="1" x14ac:dyDescent="0.25">
      <c r="B21" s="24" t="s">
        <v>28</v>
      </c>
      <c r="C21" s="25">
        <f>(0.267383+0.37942)/2</f>
        <v>0.32340150000000001</v>
      </c>
    </row>
    <row r="22" spans="2:3" hidden="1" x14ac:dyDescent="0.25">
      <c r="B22" s="24" t="s">
        <v>29</v>
      </c>
      <c r="C22" s="25">
        <f>(0.183428+0.198698)/2</f>
        <v>0.19106300000000001</v>
      </c>
    </row>
    <row r="23" spans="2:3" ht="75" hidden="1" x14ac:dyDescent="0.25">
      <c r="B23" s="24" t="s">
        <v>26</v>
      </c>
      <c r="C23" s="42" t="s">
        <v>27</v>
      </c>
    </row>
    <row r="24" spans="2:3" hidden="1" x14ac:dyDescent="0.25"/>
    <row r="25" spans="2:3" hidden="1" x14ac:dyDescent="0.25"/>
    <row r="26" spans="2:3" hidden="1" x14ac:dyDescent="0.25"/>
    <row r="27" spans="2:3" hidden="1" x14ac:dyDescent="0.25"/>
    <row r="28" spans="2:3" hidden="1" x14ac:dyDescent="0.25"/>
    <row r="29" spans="2:3" hidden="1" x14ac:dyDescent="0.25"/>
    <row r="30" spans="2:3" hidden="1" x14ac:dyDescent="0.25"/>
    <row r="31" spans="2:3" hidden="1" x14ac:dyDescent="0.25"/>
    <row r="49" spans="4:4" x14ac:dyDescent="0.25">
      <c r="D49" s="50"/>
    </row>
  </sheetData>
  <sheetProtection algorithmName="SHA-512" hashValue="BBEE5I/UKJ1idPaHD6ovVD3yFrMrwa//tkflijlcBrMneO4wClg673e0aT6qLNKVZmz9D6WZyC4PK6t9cw1YgA==" saltValue="Mi2YPEiRTv5fzjXCY0JPJ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T39"/>
  <sheetViews>
    <sheetView zoomScale="115" zoomScaleNormal="115" workbookViewId="0">
      <selection activeCell="E5" sqref="E5"/>
    </sheetView>
  </sheetViews>
  <sheetFormatPr defaultRowHeight="15" x14ac:dyDescent="0.25"/>
  <cols>
    <col min="2" max="2" width="14" customWidth="1"/>
    <col min="3" max="3" width="25" customWidth="1"/>
    <col min="4" max="4" width="23.42578125" bestFit="1" customWidth="1"/>
    <col min="5" max="5" width="18.7109375" bestFit="1" customWidth="1"/>
    <col min="6" max="6" width="14.140625" bestFit="1" customWidth="1"/>
    <col min="7" max="7" width="13.85546875" customWidth="1"/>
    <col min="8" max="8" width="14.85546875" bestFit="1" customWidth="1"/>
    <col min="9" max="9" width="11" bestFit="1" customWidth="1"/>
    <col min="13" max="13" width="14.5703125" bestFit="1" customWidth="1"/>
  </cols>
  <sheetData>
    <row r="2" spans="2:9" x14ac:dyDescent="0.25">
      <c r="B2" s="2" t="s">
        <v>454</v>
      </c>
    </row>
    <row r="4" spans="2:9" x14ac:dyDescent="0.25">
      <c r="B4" s="224" t="s">
        <v>210</v>
      </c>
      <c r="C4" s="225"/>
      <c r="D4" s="57" t="s">
        <v>451</v>
      </c>
      <c r="E4" s="1"/>
    </row>
    <row r="5" spans="2:9" x14ac:dyDescent="0.25">
      <c r="B5" s="52">
        <v>0</v>
      </c>
      <c r="C5" s="46" t="s">
        <v>211</v>
      </c>
      <c r="D5" s="58">
        <v>5000</v>
      </c>
      <c r="E5" s="45"/>
      <c r="G5" s="44"/>
    </row>
    <row r="6" spans="2:9" x14ac:dyDescent="0.25">
      <c r="B6" s="52" t="s">
        <v>79</v>
      </c>
      <c r="C6" s="46" t="s">
        <v>212</v>
      </c>
      <c r="D6" s="58">
        <v>111700</v>
      </c>
      <c r="E6" s="45"/>
      <c r="G6" s="44"/>
    </row>
    <row r="7" spans="2:9" ht="31.5" customHeight="1" x14ac:dyDescent="0.25">
      <c r="B7" s="52" t="s">
        <v>78</v>
      </c>
      <c r="C7" s="47" t="s">
        <v>213</v>
      </c>
      <c r="D7" s="58">
        <v>233800</v>
      </c>
      <c r="E7" s="45"/>
      <c r="G7" s="44"/>
    </row>
    <row r="8" spans="2:9" x14ac:dyDescent="0.25">
      <c r="B8" s="52" t="s">
        <v>77</v>
      </c>
      <c r="C8" s="46" t="s">
        <v>214</v>
      </c>
      <c r="D8" s="58">
        <v>1188200</v>
      </c>
      <c r="E8" s="45"/>
      <c r="G8" s="44"/>
    </row>
    <row r="9" spans="2:9" x14ac:dyDescent="0.25">
      <c r="B9" s="52" t="s">
        <v>76</v>
      </c>
      <c r="C9" s="46" t="s">
        <v>215</v>
      </c>
      <c r="D9" s="58">
        <v>12500000</v>
      </c>
      <c r="E9" s="45"/>
      <c r="G9" s="44"/>
    </row>
    <row r="11" spans="2:9" x14ac:dyDescent="0.25">
      <c r="B11" s="226" t="s">
        <v>399</v>
      </c>
      <c r="C11" s="227"/>
    </row>
    <row r="12" spans="2:9" x14ac:dyDescent="0.25">
      <c r="B12" s="2"/>
    </row>
    <row r="14" spans="2:9" x14ac:dyDescent="0.25">
      <c r="B14" s="1"/>
      <c r="E14" s="1"/>
      <c r="F14" s="1"/>
      <c r="G14" s="1"/>
      <c r="H14" s="1"/>
    </row>
    <row r="15" spans="2:9" x14ac:dyDescent="0.25">
      <c r="B15" s="1"/>
      <c r="E15" s="54"/>
      <c r="F15" s="54"/>
      <c r="G15" s="54"/>
      <c r="H15" s="54"/>
      <c r="I15" s="55"/>
    </row>
    <row r="16" spans="2:9" x14ac:dyDescent="0.25">
      <c r="B16" s="1"/>
      <c r="E16" s="54"/>
      <c r="F16" s="54"/>
      <c r="G16" s="54"/>
      <c r="H16" s="54"/>
    </row>
    <row r="17" spans="2:8" x14ac:dyDescent="0.25">
      <c r="B17" s="1"/>
      <c r="E17" s="54"/>
      <c r="F17" s="54"/>
      <c r="G17" s="54"/>
      <c r="H17" s="54"/>
    </row>
    <row r="18" spans="2:8" x14ac:dyDescent="0.25">
      <c r="B18" s="1"/>
      <c r="E18" s="54"/>
      <c r="F18" s="54"/>
      <c r="G18" s="54"/>
      <c r="H18" s="54"/>
    </row>
    <row r="19" spans="2:8" x14ac:dyDescent="0.25">
      <c r="B19" s="1"/>
      <c r="E19" s="54"/>
      <c r="F19" s="54"/>
      <c r="G19" s="54"/>
      <c r="H19" s="54"/>
    </row>
    <row r="20" spans="2:8" x14ac:dyDescent="0.25">
      <c r="B20" s="1"/>
      <c r="E20" s="54"/>
      <c r="F20" s="54"/>
      <c r="G20" s="54"/>
      <c r="H20" s="54"/>
    </row>
    <row r="21" spans="2:8" x14ac:dyDescent="0.25">
      <c r="B21" s="1"/>
      <c r="E21" s="54"/>
      <c r="F21" s="54"/>
      <c r="G21" s="54"/>
      <c r="H21" s="54"/>
    </row>
    <row r="22" spans="2:8" x14ac:dyDescent="0.25">
      <c r="B22" s="223"/>
      <c r="C22" s="223"/>
      <c r="D22" s="59"/>
      <c r="E22" s="56"/>
      <c r="F22" s="56"/>
      <c r="G22" s="56"/>
      <c r="H22" s="56"/>
    </row>
    <row r="35" spans="13:20" x14ac:dyDescent="0.25">
      <c r="T35" s="51"/>
    </row>
    <row r="38" spans="13:20" x14ac:dyDescent="0.25">
      <c r="M38" s="44"/>
    </row>
    <row r="39" spans="13:20" x14ac:dyDescent="0.25">
      <c r="M39" s="44"/>
    </row>
  </sheetData>
  <sheetProtection algorithmName="SHA-512" hashValue="z48HPycJOYk/x3gInEvs1JotbYy7YWSCumSPmeT8Ksu2cQh+x7UPR+wTVO7RSNHAJsfRuf8P3LaQLGmZIao4jA==" saltValue="P24xt0C6RsOMzFycfCCXaQ=="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sheetPr>
  <dimension ref="A1:H84"/>
  <sheetViews>
    <sheetView topLeftCell="A16" workbookViewId="0">
      <selection activeCell="D22" sqref="D22"/>
    </sheetView>
  </sheetViews>
  <sheetFormatPr defaultColWidth="8.85546875" defaultRowHeight="15" x14ac:dyDescent="0.25"/>
  <cols>
    <col min="1" max="1" width="8.85546875" style="188"/>
    <col min="2" max="2" width="51" style="188" customWidth="1"/>
    <col min="3" max="3" width="12.28515625" style="188" customWidth="1"/>
    <col min="4" max="4" width="21.5703125" style="188" bestFit="1" customWidth="1"/>
    <col min="5" max="5" width="10.85546875" style="188" bestFit="1" customWidth="1"/>
    <col min="6" max="6" width="44.5703125" style="189" customWidth="1"/>
    <col min="7" max="7" width="48.7109375" style="190" customWidth="1"/>
    <col min="8" max="16384" width="8.85546875" style="188"/>
  </cols>
  <sheetData>
    <row r="1" spans="1:8" x14ac:dyDescent="0.25">
      <c r="A1" s="74"/>
      <c r="B1" s="74" t="s">
        <v>194</v>
      </c>
      <c r="C1" s="74"/>
      <c r="D1" s="74"/>
      <c r="E1" s="74"/>
      <c r="F1" s="97"/>
      <c r="G1" s="145"/>
      <c r="H1" s="74"/>
    </row>
    <row r="2" spans="1:8" x14ac:dyDescent="0.25">
      <c r="A2" s="74"/>
      <c r="B2" s="74"/>
      <c r="C2" s="74"/>
      <c r="D2" s="74"/>
      <c r="E2" s="74"/>
      <c r="F2" s="97"/>
      <c r="G2" s="145"/>
      <c r="H2" s="74"/>
    </row>
    <row r="3" spans="1:8" x14ac:dyDescent="0.25">
      <c r="A3" s="74"/>
      <c r="B3" s="106" t="s">
        <v>84</v>
      </c>
      <c r="C3" s="106" t="s">
        <v>83</v>
      </c>
      <c r="D3" s="106" t="s">
        <v>85</v>
      </c>
      <c r="E3" s="106" t="s">
        <v>145</v>
      </c>
      <c r="F3" s="107" t="s">
        <v>152</v>
      </c>
      <c r="G3" s="108" t="s">
        <v>195</v>
      </c>
      <c r="H3" s="74"/>
    </row>
    <row r="4" spans="1:8" x14ac:dyDescent="0.25">
      <c r="A4" s="74"/>
      <c r="B4" s="46" t="s">
        <v>432</v>
      </c>
      <c r="C4" s="52">
        <v>0</v>
      </c>
      <c r="D4" s="109">
        <v>0</v>
      </c>
      <c r="E4" s="52">
        <v>0</v>
      </c>
      <c r="F4" s="46" t="s">
        <v>432</v>
      </c>
      <c r="G4" s="46" t="s">
        <v>432</v>
      </c>
      <c r="H4" s="74"/>
    </row>
    <row r="5" spans="1:8" ht="30" x14ac:dyDescent="0.25">
      <c r="A5" s="74"/>
      <c r="B5" s="46" t="s">
        <v>127</v>
      </c>
      <c r="C5" s="52">
        <v>101</v>
      </c>
      <c r="D5" s="109">
        <v>0.2</v>
      </c>
      <c r="E5" s="52">
        <v>6</v>
      </c>
      <c r="F5" s="75" t="s">
        <v>231</v>
      </c>
      <c r="G5" s="47" t="s">
        <v>153</v>
      </c>
      <c r="H5" s="74"/>
    </row>
    <row r="6" spans="1:8" x14ac:dyDescent="0.25">
      <c r="A6" s="74"/>
      <c r="B6" s="46" t="s">
        <v>117</v>
      </c>
      <c r="C6" s="52">
        <v>105</v>
      </c>
      <c r="D6" s="110">
        <v>0.14000000000000001</v>
      </c>
      <c r="E6" s="52">
        <v>10</v>
      </c>
      <c r="F6" s="111" t="s">
        <v>154</v>
      </c>
      <c r="G6" s="47" t="s">
        <v>154</v>
      </c>
      <c r="H6" s="74"/>
    </row>
    <row r="7" spans="1:8" ht="45" x14ac:dyDescent="0.25">
      <c r="A7" s="74"/>
      <c r="B7" s="46" t="s">
        <v>126</v>
      </c>
      <c r="C7" s="52">
        <v>107</v>
      </c>
      <c r="D7" s="109">
        <v>0.35</v>
      </c>
      <c r="E7" s="52">
        <v>10</v>
      </c>
      <c r="F7" s="75" t="s">
        <v>155</v>
      </c>
      <c r="G7" s="47" t="s">
        <v>156</v>
      </c>
      <c r="H7" s="74"/>
    </row>
    <row r="8" spans="1:8" ht="45" x14ac:dyDescent="0.25">
      <c r="A8" s="74"/>
      <c r="B8" s="46" t="s">
        <v>102</v>
      </c>
      <c r="C8" s="52">
        <v>108</v>
      </c>
      <c r="D8" s="109">
        <v>0.24</v>
      </c>
      <c r="E8" s="52">
        <v>10</v>
      </c>
      <c r="F8" s="75" t="s">
        <v>155</v>
      </c>
      <c r="G8" s="47" t="s">
        <v>156</v>
      </c>
      <c r="H8" s="74"/>
    </row>
    <row r="9" spans="1:8" x14ac:dyDescent="0.25">
      <c r="A9" s="74"/>
      <c r="B9" s="46" t="s">
        <v>122</v>
      </c>
      <c r="C9" s="52">
        <v>110</v>
      </c>
      <c r="D9" s="109">
        <v>0.34</v>
      </c>
      <c r="E9" s="52">
        <v>10</v>
      </c>
      <c r="F9" s="111" t="s">
        <v>157</v>
      </c>
      <c r="G9" s="47" t="s">
        <v>157</v>
      </c>
      <c r="H9" s="74"/>
    </row>
    <row r="10" spans="1:8" x14ac:dyDescent="0.25">
      <c r="A10" s="74"/>
      <c r="B10" s="46" t="s">
        <v>128</v>
      </c>
      <c r="C10" s="52">
        <v>111</v>
      </c>
      <c r="D10" s="109">
        <v>0.1</v>
      </c>
      <c r="E10" s="52">
        <v>10</v>
      </c>
      <c r="F10" s="75" t="s">
        <v>155</v>
      </c>
      <c r="G10" s="47" t="s">
        <v>158</v>
      </c>
      <c r="H10" s="74"/>
    </row>
    <row r="11" spans="1:8" x14ac:dyDescent="0.25">
      <c r="A11" s="74"/>
      <c r="B11" s="46" t="s">
        <v>114</v>
      </c>
      <c r="C11" s="52">
        <v>113</v>
      </c>
      <c r="D11" s="110">
        <v>0.12</v>
      </c>
      <c r="E11" s="52">
        <v>2</v>
      </c>
      <c r="F11" s="75" t="s">
        <v>231</v>
      </c>
      <c r="G11" s="47" t="s">
        <v>160</v>
      </c>
      <c r="H11" s="74"/>
    </row>
    <row r="12" spans="1:8" x14ac:dyDescent="0.25">
      <c r="A12" s="74"/>
      <c r="B12" s="46" t="s">
        <v>124</v>
      </c>
      <c r="C12" s="52">
        <v>114</v>
      </c>
      <c r="D12" s="109">
        <v>0.2</v>
      </c>
      <c r="E12" s="52">
        <v>5</v>
      </c>
      <c r="F12" s="75" t="s">
        <v>231</v>
      </c>
      <c r="G12" s="47" t="s">
        <v>158</v>
      </c>
      <c r="H12" s="74"/>
    </row>
    <row r="13" spans="1:8" ht="45" x14ac:dyDescent="0.25">
      <c r="A13" s="74"/>
      <c r="B13" s="46" t="s">
        <v>131</v>
      </c>
      <c r="C13" s="52">
        <v>118</v>
      </c>
      <c r="D13" s="109">
        <v>0.25</v>
      </c>
      <c r="E13" s="52">
        <v>10</v>
      </c>
      <c r="F13" s="75" t="s">
        <v>157</v>
      </c>
      <c r="G13" s="47" t="s">
        <v>161</v>
      </c>
      <c r="H13" s="74"/>
    </row>
    <row r="14" spans="1:8" x14ac:dyDescent="0.25">
      <c r="A14" s="74"/>
      <c r="B14" s="47" t="s">
        <v>178</v>
      </c>
      <c r="C14" s="52">
        <v>119</v>
      </c>
      <c r="D14" s="109">
        <v>0.2</v>
      </c>
      <c r="E14" s="52">
        <v>6</v>
      </c>
      <c r="F14" s="75" t="s">
        <v>231</v>
      </c>
      <c r="G14" s="47" t="s">
        <v>162</v>
      </c>
      <c r="H14" s="74"/>
    </row>
    <row r="15" spans="1:8" ht="30" x14ac:dyDescent="0.25">
      <c r="A15" s="74"/>
      <c r="B15" s="47" t="s">
        <v>106</v>
      </c>
      <c r="C15" s="52">
        <v>122</v>
      </c>
      <c r="D15" s="109">
        <v>0.1</v>
      </c>
      <c r="E15" s="52">
        <v>10</v>
      </c>
      <c r="F15" s="111" t="s">
        <v>155</v>
      </c>
      <c r="G15" s="47" t="s">
        <v>155</v>
      </c>
      <c r="H15" s="74"/>
    </row>
    <row r="16" spans="1:8" ht="30" x14ac:dyDescent="0.25">
      <c r="A16" s="74"/>
      <c r="B16" s="47" t="s">
        <v>105</v>
      </c>
      <c r="C16" s="52">
        <v>123</v>
      </c>
      <c r="D16" s="109">
        <v>0.1</v>
      </c>
      <c r="E16" s="52">
        <v>10</v>
      </c>
      <c r="F16" s="75" t="s">
        <v>231</v>
      </c>
      <c r="G16" s="47" t="s">
        <v>163</v>
      </c>
      <c r="H16" s="74"/>
    </row>
    <row r="17" spans="1:8" ht="30" x14ac:dyDescent="0.25">
      <c r="A17" s="74"/>
      <c r="B17" s="47" t="s">
        <v>109</v>
      </c>
      <c r="C17" s="52">
        <v>124</v>
      </c>
      <c r="D17" s="109">
        <v>0.27</v>
      </c>
      <c r="E17" s="52">
        <v>10</v>
      </c>
      <c r="F17" s="111" t="s">
        <v>155</v>
      </c>
      <c r="G17" s="47" t="s">
        <v>155</v>
      </c>
      <c r="H17" s="74"/>
    </row>
    <row r="18" spans="1:8" ht="30" x14ac:dyDescent="0.25">
      <c r="A18" s="74"/>
      <c r="B18" s="46" t="s">
        <v>108</v>
      </c>
      <c r="C18" s="52">
        <v>125</v>
      </c>
      <c r="D18" s="110">
        <v>0.15</v>
      </c>
      <c r="E18" s="52">
        <v>10</v>
      </c>
      <c r="F18" s="75" t="s">
        <v>231</v>
      </c>
      <c r="G18" s="47" t="s">
        <v>166</v>
      </c>
      <c r="H18" s="74"/>
    </row>
    <row r="19" spans="1:8" ht="30" x14ac:dyDescent="0.25">
      <c r="A19" s="74"/>
      <c r="B19" s="47" t="s">
        <v>111</v>
      </c>
      <c r="C19" s="52">
        <v>128</v>
      </c>
      <c r="D19" s="109">
        <v>0.05</v>
      </c>
      <c r="E19" s="52">
        <v>6</v>
      </c>
      <c r="F19" s="111" t="s">
        <v>155</v>
      </c>
      <c r="G19" s="47" t="s">
        <v>155</v>
      </c>
      <c r="H19" s="74"/>
    </row>
    <row r="20" spans="1:8" ht="30" x14ac:dyDescent="0.25">
      <c r="A20" s="74"/>
      <c r="B20" s="47" t="s">
        <v>110</v>
      </c>
      <c r="C20" s="52">
        <v>130</v>
      </c>
      <c r="D20" s="110">
        <v>0.05</v>
      </c>
      <c r="E20" s="52">
        <v>6</v>
      </c>
      <c r="F20" s="75" t="s">
        <v>231</v>
      </c>
      <c r="G20" s="47" t="s">
        <v>163</v>
      </c>
      <c r="H20" s="74"/>
    </row>
    <row r="21" spans="1:8" x14ac:dyDescent="0.25">
      <c r="A21" s="74"/>
      <c r="B21" s="46" t="s">
        <v>100</v>
      </c>
      <c r="C21" s="52">
        <v>131</v>
      </c>
      <c r="D21" s="109">
        <v>0.1</v>
      </c>
      <c r="E21" s="52">
        <v>10</v>
      </c>
      <c r="F21" s="75" t="s">
        <v>157</v>
      </c>
      <c r="G21" s="75" t="s">
        <v>157</v>
      </c>
      <c r="H21" s="74"/>
    </row>
    <row r="22" spans="1:8" x14ac:dyDescent="0.25">
      <c r="A22" s="74"/>
      <c r="B22" s="46" t="s">
        <v>107</v>
      </c>
      <c r="C22" s="52">
        <v>132</v>
      </c>
      <c r="D22" s="109">
        <v>0.1</v>
      </c>
      <c r="E22" s="52">
        <v>10</v>
      </c>
      <c r="F22" s="75" t="s">
        <v>157</v>
      </c>
      <c r="G22" s="75" t="s">
        <v>157</v>
      </c>
      <c r="H22" s="74"/>
    </row>
    <row r="23" spans="1:8" x14ac:dyDescent="0.25">
      <c r="A23" s="74"/>
      <c r="B23" s="46" t="s">
        <v>101</v>
      </c>
      <c r="C23" s="52">
        <v>133</v>
      </c>
      <c r="D23" s="109">
        <v>0.05</v>
      </c>
      <c r="E23" s="52">
        <v>5</v>
      </c>
      <c r="F23" s="75" t="s">
        <v>231</v>
      </c>
      <c r="G23" s="47" t="s">
        <v>158</v>
      </c>
      <c r="H23" s="74"/>
    </row>
    <row r="24" spans="1:8" ht="30" x14ac:dyDescent="0.25">
      <c r="A24" s="74"/>
      <c r="B24" s="46" t="s">
        <v>179</v>
      </c>
      <c r="C24" s="52">
        <v>136</v>
      </c>
      <c r="D24" s="109">
        <v>0.35</v>
      </c>
      <c r="E24" s="52">
        <v>5</v>
      </c>
      <c r="F24" s="75" t="s">
        <v>231</v>
      </c>
      <c r="G24" s="47" t="s">
        <v>163</v>
      </c>
      <c r="H24" s="74"/>
    </row>
    <row r="25" spans="1:8" ht="30" x14ac:dyDescent="0.25">
      <c r="A25" s="74"/>
      <c r="B25" s="46" t="s">
        <v>180</v>
      </c>
      <c r="C25" s="52">
        <v>137</v>
      </c>
      <c r="D25" s="109">
        <v>0.25</v>
      </c>
      <c r="E25" s="52">
        <v>10</v>
      </c>
      <c r="F25" s="75" t="s">
        <v>231</v>
      </c>
      <c r="G25" s="47" t="s">
        <v>163</v>
      </c>
      <c r="H25" s="74"/>
    </row>
    <row r="26" spans="1:8" ht="45" x14ac:dyDescent="0.25">
      <c r="A26" s="74"/>
      <c r="B26" s="46" t="s">
        <v>181</v>
      </c>
      <c r="C26" s="52">
        <v>138</v>
      </c>
      <c r="D26" s="109">
        <v>0.41</v>
      </c>
      <c r="E26" s="52">
        <v>10</v>
      </c>
      <c r="F26" s="111" t="s">
        <v>155</v>
      </c>
      <c r="G26" s="47" t="s">
        <v>183</v>
      </c>
      <c r="H26" s="74"/>
    </row>
    <row r="27" spans="1:8" ht="30" x14ac:dyDescent="0.25">
      <c r="A27" s="74"/>
      <c r="B27" s="46" t="s">
        <v>182</v>
      </c>
      <c r="C27" s="52">
        <v>139</v>
      </c>
      <c r="D27" s="109">
        <v>0.12</v>
      </c>
      <c r="E27" s="52">
        <v>7</v>
      </c>
      <c r="F27" s="75" t="s">
        <v>231</v>
      </c>
      <c r="G27" s="47" t="s">
        <v>163</v>
      </c>
      <c r="H27" s="74"/>
    </row>
    <row r="28" spans="1:8" x14ac:dyDescent="0.25">
      <c r="A28" s="74"/>
      <c r="B28" s="46" t="s">
        <v>118</v>
      </c>
      <c r="C28" s="52">
        <v>201</v>
      </c>
      <c r="D28" s="109">
        <v>0.75</v>
      </c>
      <c r="E28" s="52">
        <v>15</v>
      </c>
      <c r="F28" s="75" t="s">
        <v>231</v>
      </c>
      <c r="G28" s="47" t="s">
        <v>162</v>
      </c>
      <c r="H28" s="74"/>
    </row>
    <row r="29" spans="1:8" ht="45" x14ac:dyDescent="0.25">
      <c r="A29" s="74"/>
      <c r="B29" s="46" t="s">
        <v>123</v>
      </c>
      <c r="C29" s="52">
        <v>203</v>
      </c>
      <c r="D29" s="109">
        <v>0.25</v>
      </c>
      <c r="E29" s="52">
        <v>20</v>
      </c>
      <c r="F29" s="75" t="s">
        <v>231</v>
      </c>
      <c r="G29" s="47" t="s">
        <v>164</v>
      </c>
      <c r="H29" s="74"/>
    </row>
    <row r="30" spans="1:8" x14ac:dyDescent="0.25">
      <c r="A30" s="74"/>
      <c r="B30" s="47" t="s">
        <v>97</v>
      </c>
      <c r="C30" s="52">
        <v>204</v>
      </c>
      <c r="D30" s="109">
        <v>0.05</v>
      </c>
      <c r="E30" s="52">
        <v>20</v>
      </c>
      <c r="F30" s="75" t="s">
        <v>231</v>
      </c>
      <c r="G30" s="47" t="s">
        <v>159</v>
      </c>
      <c r="H30" s="74"/>
    </row>
    <row r="31" spans="1:8" x14ac:dyDescent="0.25">
      <c r="A31" s="74"/>
      <c r="B31" s="46" t="s">
        <v>135</v>
      </c>
      <c r="C31" s="52">
        <v>209</v>
      </c>
      <c r="D31" s="110">
        <v>0.5</v>
      </c>
      <c r="E31" s="52">
        <v>20</v>
      </c>
      <c r="F31" s="75" t="s">
        <v>231</v>
      </c>
      <c r="G31" s="47" t="s">
        <v>159</v>
      </c>
      <c r="H31" s="74"/>
    </row>
    <row r="32" spans="1:8" x14ac:dyDescent="0.25">
      <c r="A32" s="74"/>
      <c r="B32" s="46" t="s">
        <v>116</v>
      </c>
      <c r="C32" s="52">
        <v>217</v>
      </c>
      <c r="D32" s="109">
        <v>0.6</v>
      </c>
      <c r="E32" s="52">
        <v>10</v>
      </c>
      <c r="F32" s="111" t="s">
        <v>165</v>
      </c>
      <c r="G32" s="47" t="s">
        <v>165</v>
      </c>
      <c r="H32" s="74"/>
    </row>
    <row r="33" spans="1:8" ht="30" x14ac:dyDescent="0.25">
      <c r="A33" s="74"/>
      <c r="B33" s="46" t="s">
        <v>136</v>
      </c>
      <c r="C33" s="52">
        <v>218</v>
      </c>
      <c r="D33" s="109">
        <v>0.55000000000000004</v>
      </c>
      <c r="E33" s="52">
        <v>20</v>
      </c>
      <c r="F33" s="75" t="s">
        <v>231</v>
      </c>
      <c r="G33" s="47" t="s">
        <v>163</v>
      </c>
      <c r="H33" s="74"/>
    </row>
    <row r="34" spans="1:8" x14ac:dyDescent="0.25">
      <c r="A34" s="74"/>
      <c r="B34" s="46" t="s">
        <v>132</v>
      </c>
      <c r="C34" s="52">
        <v>303</v>
      </c>
      <c r="D34" s="109">
        <v>0.3</v>
      </c>
      <c r="E34" s="52">
        <v>10</v>
      </c>
      <c r="F34" s="75" t="s">
        <v>231</v>
      </c>
      <c r="G34" s="47" t="s">
        <v>167</v>
      </c>
      <c r="H34" s="74"/>
    </row>
    <row r="35" spans="1:8" x14ac:dyDescent="0.25">
      <c r="A35" s="74"/>
      <c r="B35" s="47" t="s">
        <v>133</v>
      </c>
      <c r="C35" s="52">
        <v>304</v>
      </c>
      <c r="D35" s="109">
        <v>0.49</v>
      </c>
      <c r="E35" s="52">
        <v>15</v>
      </c>
      <c r="F35" s="75" t="s">
        <v>231</v>
      </c>
      <c r="G35" s="47" t="s">
        <v>168</v>
      </c>
      <c r="H35" s="74"/>
    </row>
    <row r="36" spans="1:8" x14ac:dyDescent="0.25">
      <c r="A36" s="74"/>
      <c r="B36" s="46" t="s">
        <v>134</v>
      </c>
      <c r="C36" s="52">
        <v>305</v>
      </c>
      <c r="D36" s="110">
        <v>0.13</v>
      </c>
      <c r="E36" s="52">
        <v>15</v>
      </c>
      <c r="F36" s="111" t="s">
        <v>155</v>
      </c>
      <c r="G36" s="47" t="s">
        <v>255</v>
      </c>
      <c r="H36" s="74"/>
    </row>
    <row r="37" spans="1:8" x14ac:dyDescent="0.25">
      <c r="A37" s="74"/>
      <c r="B37" s="46" t="s">
        <v>185</v>
      </c>
      <c r="C37" s="52">
        <v>306</v>
      </c>
      <c r="D37" s="110">
        <v>0.45</v>
      </c>
      <c r="E37" s="52">
        <v>5</v>
      </c>
      <c r="F37" s="75" t="s">
        <v>231</v>
      </c>
      <c r="G37" s="47" t="s">
        <v>184</v>
      </c>
      <c r="H37" s="74"/>
    </row>
    <row r="38" spans="1:8" x14ac:dyDescent="0.25">
      <c r="A38" s="74"/>
      <c r="B38" s="46" t="s">
        <v>186</v>
      </c>
      <c r="C38" s="52">
        <v>307</v>
      </c>
      <c r="D38" s="110">
        <v>0.2</v>
      </c>
      <c r="E38" s="52">
        <v>5</v>
      </c>
      <c r="F38" s="111" t="s">
        <v>155</v>
      </c>
      <c r="G38" s="47" t="s">
        <v>155</v>
      </c>
      <c r="H38" s="74"/>
    </row>
    <row r="39" spans="1:8" ht="30" x14ac:dyDescent="0.25">
      <c r="A39" s="74"/>
      <c r="B39" s="46" t="s">
        <v>120</v>
      </c>
      <c r="C39" s="52">
        <v>401</v>
      </c>
      <c r="D39" s="109">
        <v>0.2</v>
      </c>
      <c r="E39" s="52">
        <v>2</v>
      </c>
      <c r="F39" s="75" t="s">
        <v>231</v>
      </c>
      <c r="G39" s="47" t="s">
        <v>163</v>
      </c>
      <c r="H39" s="74"/>
    </row>
    <row r="40" spans="1:8" x14ac:dyDescent="0.25">
      <c r="A40" s="74"/>
      <c r="B40" s="46" t="s">
        <v>115</v>
      </c>
      <c r="C40" s="52">
        <v>402</v>
      </c>
      <c r="D40" s="109">
        <v>0.25</v>
      </c>
      <c r="E40" s="52">
        <v>2</v>
      </c>
      <c r="F40" s="75" t="s">
        <v>231</v>
      </c>
      <c r="G40" s="47" t="s">
        <v>169</v>
      </c>
      <c r="H40" s="74"/>
    </row>
    <row r="41" spans="1:8" x14ac:dyDescent="0.25">
      <c r="A41" s="74"/>
      <c r="B41" s="47" t="s">
        <v>121</v>
      </c>
      <c r="C41" s="52">
        <v>403</v>
      </c>
      <c r="D41" s="109">
        <v>0.1</v>
      </c>
      <c r="E41" s="52">
        <v>2</v>
      </c>
      <c r="F41" s="111" t="s">
        <v>157</v>
      </c>
      <c r="G41" s="47" t="s">
        <v>157</v>
      </c>
      <c r="H41" s="74"/>
    </row>
    <row r="42" spans="1:8" x14ac:dyDescent="0.25">
      <c r="A42" s="74"/>
      <c r="B42" s="47" t="s">
        <v>112</v>
      </c>
      <c r="C42" s="52">
        <v>404</v>
      </c>
      <c r="D42" s="109">
        <v>0.65</v>
      </c>
      <c r="E42" s="52">
        <v>2</v>
      </c>
      <c r="F42" s="75" t="s">
        <v>231</v>
      </c>
      <c r="G42" s="47" t="s">
        <v>162</v>
      </c>
      <c r="H42" s="74"/>
    </row>
    <row r="43" spans="1:8" x14ac:dyDescent="0.25">
      <c r="A43" s="74"/>
      <c r="B43" s="46" t="s">
        <v>125</v>
      </c>
      <c r="C43" s="52">
        <v>407</v>
      </c>
      <c r="D43" s="110">
        <v>0.65</v>
      </c>
      <c r="E43" s="52">
        <v>10</v>
      </c>
      <c r="F43" s="111" t="s">
        <v>157</v>
      </c>
      <c r="G43" s="47" t="s">
        <v>157</v>
      </c>
      <c r="H43" s="74"/>
    </row>
    <row r="44" spans="1:8" ht="30" x14ac:dyDescent="0.25">
      <c r="A44" s="74"/>
      <c r="B44" s="46" t="s">
        <v>137</v>
      </c>
      <c r="C44" s="52">
        <v>502</v>
      </c>
      <c r="D44" s="109">
        <v>0.3</v>
      </c>
      <c r="E44" s="52">
        <v>20</v>
      </c>
      <c r="F44" s="75" t="s">
        <v>231</v>
      </c>
      <c r="G44" s="47" t="s">
        <v>447</v>
      </c>
      <c r="H44" s="74"/>
    </row>
    <row r="45" spans="1:8" x14ac:dyDescent="0.25">
      <c r="A45" s="74"/>
      <c r="B45" s="46" t="s">
        <v>138</v>
      </c>
      <c r="C45" s="52">
        <v>503</v>
      </c>
      <c r="D45" s="109">
        <v>0.25</v>
      </c>
      <c r="E45" s="52">
        <v>20</v>
      </c>
      <c r="F45" s="75" t="s">
        <v>231</v>
      </c>
      <c r="G45" s="47" t="s">
        <v>159</v>
      </c>
      <c r="H45" s="74"/>
    </row>
    <row r="46" spans="1:8" ht="30" x14ac:dyDescent="0.25">
      <c r="A46" s="74"/>
      <c r="B46" s="46" t="s">
        <v>92</v>
      </c>
      <c r="C46" s="52">
        <v>504</v>
      </c>
      <c r="D46" s="109">
        <v>0.25</v>
      </c>
      <c r="E46" s="52">
        <v>20</v>
      </c>
      <c r="F46" s="75" t="s">
        <v>231</v>
      </c>
      <c r="G46" s="47" t="s">
        <v>163</v>
      </c>
      <c r="H46" s="74"/>
    </row>
    <row r="47" spans="1:8" ht="30" x14ac:dyDescent="0.25">
      <c r="A47" s="74"/>
      <c r="B47" s="47" t="s">
        <v>103</v>
      </c>
      <c r="C47" s="52">
        <v>505</v>
      </c>
      <c r="D47" s="109">
        <v>0.5</v>
      </c>
      <c r="E47" s="52">
        <v>10</v>
      </c>
      <c r="F47" s="75" t="s">
        <v>231</v>
      </c>
      <c r="G47" s="47" t="s">
        <v>163</v>
      </c>
      <c r="H47" s="74"/>
    </row>
    <row r="48" spans="1:8" ht="30" x14ac:dyDescent="0.25">
      <c r="A48" s="74"/>
      <c r="B48" s="46" t="s">
        <v>99</v>
      </c>
      <c r="C48" s="52">
        <v>506</v>
      </c>
      <c r="D48" s="110">
        <v>0.55000000000000004</v>
      </c>
      <c r="E48" s="52">
        <v>10</v>
      </c>
      <c r="F48" s="75" t="s">
        <v>231</v>
      </c>
      <c r="G48" s="47" t="s">
        <v>163</v>
      </c>
      <c r="H48" s="74"/>
    </row>
    <row r="49" spans="1:8" ht="30" x14ac:dyDescent="0.25">
      <c r="A49" s="74"/>
      <c r="B49" s="47" t="s">
        <v>104</v>
      </c>
      <c r="C49" s="52">
        <v>507</v>
      </c>
      <c r="D49" s="110">
        <v>0.65</v>
      </c>
      <c r="E49" s="52">
        <v>10</v>
      </c>
      <c r="F49" s="75" t="s">
        <v>231</v>
      </c>
      <c r="G49" s="47" t="s">
        <v>163</v>
      </c>
      <c r="H49" s="74"/>
    </row>
    <row r="50" spans="1:8" ht="30" x14ac:dyDescent="0.25">
      <c r="A50" s="74"/>
      <c r="B50" s="47" t="s">
        <v>94</v>
      </c>
      <c r="C50" s="52">
        <v>510</v>
      </c>
      <c r="D50" s="110">
        <v>0.4</v>
      </c>
      <c r="E50" s="52">
        <v>10</v>
      </c>
      <c r="F50" s="111" t="s">
        <v>155</v>
      </c>
      <c r="G50" s="47" t="s">
        <v>170</v>
      </c>
      <c r="H50" s="74"/>
    </row>
    <row r="51" spans="1:8" x14ac:dyDescent="0.25">
      <c r="A51" s="74"/>
      <c r="B51" s="46" t="s">
        <v>98</v>
      </c>
      <c r="C51" s="52">
        <v>514</v>
      </c>
      <c r="D51" s="109">
        <v>0.8</v>
      </c>
      <c r="E51" s="52">
        <v>30</v>
      </c>
      <c r="F51" s="111" t="s">
        <v>155</v>
      </c>
      <c r="G51" s="47" t="s">
        <v>155</v>
      </c>
      <c r="H51" s="74"/>
    </row>
    <row r="52" spans="1:8" x14ac:dyDescent="0.25">
      <c r="A52" s="74"/>
      <c r="B52" s="46" t="s">
        <v>90</v>
      </c>
      <c r="C52" s="52">
        <v>515</v>
      </c>
      <c r="D52" s="109">
        <v>0.65</v>
      </c>
      <c r="E52" s="52">
        <v>30</v>
      </c>
      <c r="F52" s="111" t="s">
        <v>155</v>
      </c>
      <c r="G52" s="47" t="s">
        <v>155</v>
      </c>
      <c r="H52" s="74"/>
    </row>
    <row r="53" spans="1:8" ht="30" x14ac:dyDescent="0.25">
      <c r="A53" s="74"/>
      <c r="B53" s="47" t="s">
        <v>89</v>
      </c>
      <c r="C53" s="52">
        <v>516</v>
      </c>
      <c r="D53" s="109">
        <v>0.5</v>
      </c>
      <c r="E53" s="52">
        <v>20</v>
      </c>
      <c r="F53" s="75" t="s">
        <v>231</v>
      </c>
      <c r="G53" s="47" t="s">
        <v>171</v>
      </c>
      <c r="H53" s="74"/>
    </row>
    <row r="54" spans="1:8" x14ac:dyDescent="0.25">
      <c r="A54" s="74"/>
      <c r="B54" s="46" t="s">
        <v>88</v>
      </c>
      <c r="C54" s="52">
        <v>517</v>
      </c>
      <c r="D54" s="110">
        <v>0.28000000000000003</v>
      </c>
      <c r="E54" s="52">
        <v>20</v>
      </c>
      <c r="F54" s="75" t="s">
        <v>231</v>
      </c>
      <c r="G54" s="47" t="s">
        <v>162</v>
      </c>
      <c r="H54" s="74"/>
    </row>
    <row r="55" spans="1:8" ht="30" x14ac:dyDescent="0.25">
      <c r="A55" s="74"/>
      <c r="B55" s="46" t="s">
        <v>113</v>
      </c>
      <c r="C55" s="52">
        <v>518</v>
      </c>
      <c r="D55" s="109">
        <v>0.5</v>
      </c>
      <c r="E55" s="52">
        <v>10</v>
      </c>
      <c r="F55" s="75" t="s">
        <v>231</v>
      </c>
      <c r="G55" s="47" t="s">
        <v>177</v>
      </c>
      <c r="H55" s="74"/>
    </row>
    <row r="56" spans="1:8" ht="30" x14ac:dyDescent="0.25">
      <c r="A56" s="74"/>
      <c r="B56" s="46" t="s">
        <v>86</v>
      </c>
      <c r="C56" s="52">
        <v>519</v>
      </c>
      <c r="D56" s="109">
        <v>0.25</v>
      </c>
      <c r="E56" s="52">
        <v>10</v>
      </c>
      <c r="F56" s="111" t="s">
        <v>155</v>
      </c>
      <c r="G56" s="47" t="s">
        <v>172</v>
      </c>
      <c r="H56" s="74"/>
    </row>
    <row r="57" spans="1:8" ht="30" x14ac:dyDescent="0.25">
      <c r="A57" s="74"/>
      <c r="B57" s="46" t="s">
        <v>129</v>
      </c>
      <c r="C57" s="52">
        <v>520</v>
      </c>
      <c r="D57" s="109">
        <v>0.4</v>
      </c>
      <c r="E57" s="52">
        <v>10</v>
      </c>
      <c r="F57" s="111" t="s">
        <v>155</v>
      </c>
      <c r="G57" s="47" t="s">
        <v>172</v>
      </c>
      <c r="H57" s="74"/>
    </row>
    <row r="58" spans="1:8" ht="30" x14ac:dyDescent="0.25">
      <c r="A58" s="74"/>
      <c r="B58" s="46" t="s">
        <v>87</v>
      </c>
      <c r="C58" s="52">
        <v>521</v>
      </c>
      <c r="D58" s="109">
        <v>0.25</v>
      </c>
      <c r="E58" s="52">
        <v>10</v>
      </c>
      <c r="F58" s="111" t="s">
        <v>155</v>
      </c>
      <c r="G58" s="47" t="s">
        <v>172</v>
      </c>
      <c r="H58" s="74"/>
    </row>
    <row r="59" spans="1:8" ht="30" x14ac:dyDescent="0.25">
      <c r="A59" s="74"/>
      <c r="B59" s="46" t="s">
        <v>130</v>
      </c>
      <c r="C59" s="52">
        <v>522</v>
      </c>
      <c r="D59" s="109">
        <v>0.4</v>
      </c>
      <c r="E59" s="52">
        <v>10</v>
      </c>
      <c r="F59" s="111" t="s">
        <v>155</v>
      </c>
      <c r="G59" s="47" t="s">
        <v>172</v>
      </c>
      <c r="H59" s="74"/>
    </row>
    <row r="60" spans="1:8" x14ac:dyDescent="0.25">
      <c r="A60" s="74"/>
      <c r="B60" s="46" t="s">
        <v>93</v>
      </c>
      <c r="C60" s="52">
        <v>523</v>
      </c>
      <c r="D60" s="109">
        <v>0.95</v>
      </c>
      <c r="E60" s="52">
        <v>10</v>
      </c>
      <c r="F60" s="75" t="s">
        <v>157</v>
      </c>
      <c r="G60" s="75" t="s">
        <v>157</v>
      </c>
      <c r="H60" s="74"/>
    </row>
    <row r="61" spans="1:8" x14ac:dyDescent="0.25">
      <c r="A61" s="74"/>
      <c r="B61" s="47" t="s">
        <v>96</v>
      </c>
      <c r="C61" s="52">
        <v>525</v>
      </c>
      <c r="D61" s="109">
        <v>0.68</v>
      </c>
      <c r="E61" s="52">
        <v>10</v>
      </c>
      <c r="F61" s="75" t="s">
        <v>231</v>
      </c>
      <c r="G61" s="47" t="s">
        <v>173</v>
      </c>
      <c r="H61" s="74"/>
    </row>
    <row r="62" spans="1:8" ht="30" x14ac:dyDescent="0.25">
      <c r="A62" s="74"/>
      <c r="B62" s="46" t="s">
        <v>256</v>
      </c>
      <c r="C62" s="52">
        <v>532</v>
      </c>
      <c r="D62" s="110">
        <v>0.15</v>
      </c>
      <c r="E62" s="52">
        <v>10</v>
      </c>
      <c r="F62" s="75" t="s">
        <v>231</v>
      </c>
      <c r="G62" s="47" t="s">
        <v>163</v>
      </c>
      <c r="H62" s="74"/>
    </row>
    <row r="63" spans="1:8" ht="30" x14ac:dyDescent="0.25">
      <c r="A63" s="74"/>
      <c r="B63" s="46" t="s">
        <v>257</v>
      </c>
      <c r="C63" s="52">
        <v>533</v>
      </c>
      <c r="D63" s="109">
        <v>7.0000000000000007E-2</v>
      </c>
      <c r="E63" s="52">
        <v>5</v>
      </c>
      <c r="F63" s="75" t="s">
        <v>231</v>
      </c>
      <c r="G63" s="47" t="s">
        <v>174</v>
      </c>
      <c r="H63" s="74"/>
    </row>
    <row r="64" spans="1:8" ht="30" x14ac:dyDescent="0.25">
      <c r="A64" s="74"/>
      <c r="B64" s="46" t="s">
        <v>258</v>
      </c>
      <c r="C64" s="52">
        <v>534</v>
      </c>
      <c r="D64" s="109">
        <v>0.17</v>
      </c>
      <c r="E64" s="52">
        <v>4</v>
      </c>
      <c r="F64" s="75" t="s">
        <v>231</v>
      </c>
      <c r="G64" s="47" t="s">
        <v>174</v>
      </c>
      <c r="H64" s="74"/>
    </row>
    <row r="65" spans="1:8" x14ac:dyDescent="0.25">
      <c r="A65" s="74"/>
      <c r="B65" s="46" t="s">
        <v>139</v>
      </c>
      <c r="C65" s="52">
        <v>536</v>
      </c>
      <c r="D65" s="109">
        <v>0.31</v>
      </c>
      <c r="E65" s="52">
        <v>20</v>
      </c>
      <c r="F65" s="75" t="s">
        <v>231</v>
      </c>
      <c r="G65" s="47" t="s">
        <v>159</v>
      </c>
      <c r="H65" s="74"/>
    </row>
    <row r="66" spans="1:8" x14ac:dyDescent="0.25">
      <c r="A66" s="74"/>
      <c r="B66" s="46" t="s">
        <v>91</v>
      </c>
      <c r="C66" s="52">
        <v>537</v>
      </c>
      <c r="D66" s="109">
        <v>0.4</v>
      </c>
      <c r="E66" s="52">
        <v>20</v>
      </c>
      <c r="F66" s="75" t="s">
        <v>231</v>
      </c>
      <c r="G66" s="47" t="s">
        <v>159</v>
      </c>
      <c r="H66" s="74"/>
    </row>
    <row r="67" spans="1:8" ht="30" x14ac:dyDescent="0.25">
      <c r="A67" s="74"/>
      <c r="B67" s="46" t="s">
        <v>95</v>
      </c>
      <c r="C67" s="52">
        <v>538</v>
      </c>
      <c r="D67" s="109">
        <v>0.45</v>
      </c>
      <c r="E67" s="52">
        <v>20</v>
      </c>
      <c r="F67" s="75" t="s">
        <v>231</v>
      </c>
      <c r="G67" s="47" t="s">
        <v>163</v>
      </c>
      <c r="H67" s="74"/>
    </row>
    <row r="68" spans="1:8" ht="30" x14ac:dyDescent="0.25">
      <c r="A68" s="74"/>
      <c r="B68" s="46" t="s">
        <v>119</v>
      </c>
      <c r="C68" s="52">
        <v>540</v>
      </c>
      <c r="D68" s="109">
        <v>0.25</v>
      </c>
      <c r="E68" s="52">
        <v>10</v>
      </c>
      <c r="F68" s="75" t="s">
        <v>231</v>
      </c>
      <c r="G68" s="47" t="s">
        <v>163</v>
      </c>
      <c r="H68" s="74"/>
    </row>
    <row r="69" spans="1:8" ht="30" x14ac:dyDescent="0.25">
      <c r="A69" s="74"/>
      <c r="B69" s="46" t="s">
        <v>187</v>
      </c>
      <c r="C69" s="52">
        <v>541</v>
      </c>
      <c r="D69" s="109">
        <v>0.3</v>
      </c>
      <c r="E69" s="52">
        <v>20</v>
      </c>
      <c r="F69" s="75" t="s">
        <v>231</v>
      </c>
      <c r="G69" s="47" t="s">
        <v>163</v>
      </c>
      <c r="H69" s="74"/>
    </row>
    <row r="70" spans="1:8" ht="30" x14ac:dyDescent="0.25">
      <c r="A70" s="74"/>
      <c r="B70" s="46" t="s">
        <v>188</v>
      </c>
      <c r="C70" s="52">
        <v>542</v>
      </c>
      <c r="D70" s="109">
        <v>0.26</v>
      </c>
      <c r="E70" s="52">
        <v>10</v>
      </c>
      <c r="F70" s="75" t="s">
        <v>231</v>
      </c>
      <c r="G70" s="47" t="s">
        <v>163</v>
      </c>
      <c r="H70" s="74"/>
    </row>
    <row r="71" spans="1:8" ht="30" x14ac:dyDescent="0.25">
      <c r="A71" s="74"/>
      <c r="B71" s="46" t="s">
        <v>189</v>
      </c>
      <c r="C71" s="52">
        <v>543</v>
      </c>
      <c r="D71" s="109">
        <v>7.0000000000000007E-2</v>
      </c>
      <c r="E71" s="52">
        <v>5</v>
      </c>
      <c r="F71" s="75" t="s">
        <v>231</v>
      </c>
      <c r="G71" s="47" t="s">
        <v>163</v>
      </c>
      <c r="H71" s="74"/>
    </row>
    <row r="72" spans="1:8" ht="30" x14ac:dyDescent="0.25">
      <c r="A72" s="74"/>
      <c r="B72" s="46" t="s">
        <v>192</v>
      </c>
      <c r="C72" s="52">
        <v>544</v>
      </c>
      <c r="D72" s="109">
        <v>0.17</v>
      </c>
      <c r="E72" s="52">
        <v>4</v>
      </c>
      <c r="F72" s="75" t="s">
        <v>231</v>
      </c>
      <c r="G72" s="47" t="s">
        <v>163</v>
      </c>
      <c r="H72" s="74"/>
    </row>
    <row r="73" spans="1:8" x14ac:dyDescent="0.25">
      <c r="A73" s="74"/>
      <c r="B73" s="46" t="s">
        <v>191</v>
      </c>
      <c r="C73" s="52">
        <v>545</v>
      </c>
      <c r="D73" s="109">
        <v>0.15</v>
      </c>
      <c r="E73" s="52">
        <v>5</v>
      </c>
      <c r="F73" s="111" t="s">
        <v>155</v>
      </c>
      <c r="G73" s="47" t="s">
        <v>155</v>
      </c>
      <c r="H73" s="74"/>
    </row>
    <row r="74" spans="1:8" x14ac:dyDescent="0.25">
      <c r="A74" s="74"/>
      <c r="B74" s="46" t="s">
        <v>190</v>
      </c>
      <c r="C74" s="52">
        <v>547</v>
      </c>
      <c r="D74" s="109">
        <v>0.4</v>
      </c>
      <c r="E74" s="52">
        <v>10</v>
      </c>
      <c r="F74" s="111" t="s">
        <v>155</v>
      </c>
      <c r="G74" s="47" t="s">
        <v>155</v>
      </c>
      <c r="H74" s="74"/>
    </row>
    <row r="75" spans="1:8" x14ac:dyDescent="0.25">
      <c r="A75" s="74"/>
      <c r="B75" s="74"/>
      <c r="C75" s="74"/>
      <c r="D75" s="74"/>
      <c r="E75" s="74"/>
      <c r="F75" s="97"/>
      <c r="G75" s="145"/>
      <c r="H75" s="74"/>
    </row>
    <row r="76" spans="1:8" x14ac:dyDescent="0.25">
      <c r="A76" s="74"/>
      <c r="B76" s="74"/>
      <c r="C76" s="74"/>
      <c r="D76" s="74"/>
      <c r="E76" s="74"/>
      <c r="F76" s="97"/>
      <c r="G76" s="145"/>
      <c r="H76" s="74"/>
    </row>
    <row r="77" spans="1:8" x14ac:dyDescent="0.25">
      <c r="A77" s="74"/>
      <c r="B77" s="74"/>
      <c r="C77" s="74"/>
      <c r="D77" s="74"/>
      <c r="E77" s="74"/>
      <c r="F77" s="97"/>
      <c r="G77" s="145"/>
      <c r="H77" s="74"/>
    </row>
    <row r="78" spans="1:8" x14ac:dyDescent="0.25">
      <c r="A78" s="74"/>
      <c r="B78" s="106" t="s">
        <v>84</v>
      </c>
      <c r="C78" s="112" t="s">
        <v>83</v>
      </c>
      <c r="D78" s="74"/>
      <c r="E78" s="74"/>
      <c r="F78" s="97"/>
      <c r="G78" s="145"/>
      <c r="H78" s="74"/>
    </row>
    <row r="79" spans="1:8" x14ac:dyDescent="0.25">
      <c r="A79" s="74"/>
      <c r="B79" s="46" t="s">
        <v>122</v>
      </c>
      <c r="C79" s="52">
        <v>110</v>
      </c>
      <c r="D79" s="74"/>
      <c r="E79" s="74"/>
      <c r="F79" s="97"/>
      <c r="G79" s="145"/>
      <c r="H79" s="74"/>
    </row>
    <row r="80" spans="1:8" x14ac:dyDescent="0.25">
      <c r="A80" s="74"/>
      <c r="B80" s="46" t="s">
        <v>100</v>
      </c>
      <c r="C80" s="52">
        <v>131</v>
      </c>
      <c r="D80" s="74"/>
      <c r="E80" s="74"/>
      <c r="F80" s="97"/>
      <c r="G80" s="145"/>
      <c r="H80" s="74"/>
    </row>
    <row r="81" spans="1:8" x14ac:dyDescent="0.25">
      <c r="A81" s="74"/>
      <c r="B81" s="47" t="s">
        <v>121</v>
      </c>
      <c r="C81" s="52">
        <v>403</v>
      </c>
      <c r="D81" s="74"/>
      <c r="E81" s="74"/>
      <c r="F81" s="97"/>
      <c r="G81" s="145"/>
      <c r="H81" s="74"/>
    </row>
    <row r="82" spans="1:8" x14ac:dyDescent="0.25">
      <c r="A82" s="74"/>
      <c r="B82" s="46" t="s">
        <v>125</v>
      </c>
      <c r="C82" s="52">
        <v>407</v>
      </c>
      <c r="D82" s="74"/>
      <c r="E82" s="74"/>
      <c r="F82" s="97"/>
      <c r="G82" s="145"/>
      <c r="H82" s="74"/>
    </row>
    <row r="83" spans="1:8" x14ac:dyDescent="0.25">
      <c r="A83" s="74"/>
      <c r="B83" s="46" t="s">
        <v>432</v>
      </c>
      <c r="C83" s="52">
        <v>0</v>
      </c>
      <c r="D83" s="74"/>
      <c r="E83" s="74"/>
      <c r="F83" s="97"/>
      <c r="G83" s="145"/>
      <c r="H83" s="74"/>
    </row>
    <row r="84" spans="1:8" x14ac:dyDescent="0.25">
      <c r="A84" s="74"/>
      <c r="B84" s="74"/>
      <c r="C84" s="74"/>
      <c r="D84" s="74"/>
      <c r="E84" s="74"/>
      <c r="F84" s="97"/>
      <c r="G84" s="145"/>
      <c r="H84" s="74"/>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7FEE5D3F7229478907E693F4AC7DED" ma:contentTypeVersion="16" ma:contentTypeDescription="Create a new document." ma:contentTypeScope="" ma:versionID="ceb4bc234ec8147aaa3211624086e0d6">
  <xsd:schema xmlns:xsd="http://www.w3.org/2001/XMLSchema" xmlns:xs="http://www.w3.org/2001/XMLSchema" xmlns:p="http://schemas.microsoft.com/office/2006/metadata/properties" xmlns:ns2="99a9976c-2a24-4fb3-8da9-f53066981d84" xmlns:ns3="fd458293-9cc6-4f98-9260-4b466483680c" targetNamespace="http://schemas.microsoft.com/office/2006/metadata/properties" ma:root="true" ma:fieldsID="e2f7aab8cadf5b3c8cc3559fb3a1ceaf" ns2:_="" ns3:_="">
    <xsd:import namespace="99a9976c-2a24-4fb3-8da9-f53066981d84"/>
    <xsd:import namespace="fd458293-9cc6-4f98-9260-4b46648368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9976c-2a24-4fb3-8da9-f53066981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458293-9cc6-4f98-9260-4b46648368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c6c342b-c6ee-489a-81d5-035aa533647c}" ma:internalName="TaxCatchAll" ma:showField="CatchAllData" ma:web="fd458293-9cc6-4f98-9260-4b46648368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d458293-9cc6-4f98-9260-4b466483680c" xsi:nil="true"/>
    <lcf76f155ced4ddcb4097134ff3c332f xmlns="99a9976c-2a24-4fb3-8da9-f53066981d84">
      <Terms xmlns="http://schemas.microsoft.com/office/infopath/2007/PartnerControls"/>
    </lcf76f155ced4ddcb4097134ff3c332f>
    <SharedWithUsers xmlns="fd458293-9cc6-4f98-9260-4b466483680c">
      <UserInfo>
        <DisplayName/>
        <AccountId xsi:nil="true"/>
        <AccountType/>
      </UserInfo>
    </SharedWithUsers>
    <MediaLengthInSeconds xmlns="99a9976c-2a24-4fb3-8da9-f53066981d84" xsi:nil="true"/>
  </documentManagement>
</p:properties>
</file>

<file path=customXml/itemProps1.xml><?xml version="1.0" encoding="utf-8"?>
<ds:datastoreItem xmlns:ds="http://schemas.openxmlformats.org/officeDocument/2006/customXml" ds:itemID="{C3F18689-68D8-4516-AEDD-5D80C4E10CEC}">
  <ds:schemaRefs>
    <ds:schemaRef ds:uri="http://schemas.microsoft.com/sharepoint/v3/contenttype/forms"/>
  </ds:schemaRefs>
</ds:datastoreItem>
</file>

<file path=customXml/itemProps2.xml><?xml version="1.0" encoding="utf-8"?>
<ds:datastoreItem xmlns:ds="http://schemas.openxmlformats.org/officeDocument/2006/customXml" ds:itemID="{AD34E291-4A0E-4134-9065-0289DB6E6BAB}"/>
</file>

<file path=customXml/itemProps3.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33</vt:i4>
      </vt:variant>
    </vt:vector>
  </HeadingPairs>
  <TitlesOfParts>
    <vt:vector size="45"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wurdlow</dc:creator>
  <cp:lastModifiedBy>Cross, Taylor - HPW</cp:lastModifiedBy>
  <cp:lastPrinted>2018-08-02T18:58:13Z</cp:lastPrinted>
  <dcterms:created xsi:type="dcterms:W3CDTF">2012-07-25T15:48:32Z</dcterms:created>
  <dcterms:modified xsi:type="dcterms:W3CDTF">2024-08-27T16:21:26Z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0x010100507FEE5D3F7229478907E693F4AC7DED</vt:lpwstr>
  </property>
  <property fmtid="{D5CDD505-2E9C-101B-9397-08002B2CF9AE}" pid="3" name="Order">
    <vt:r8>10983200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