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https://houtx.sharepoint.com/sites/TDO-TrafficManagement/Shared Documents/1-Grants/2023 TIP/2023 2024 Submissions/Oates Rd/BCA/Portal Submittal/"/>
    </mc:Choice>
  </mc:AlternateContent>
  <xr:revisionPtr revIDLastSave="679" documentId="8_{AF8103C2-5895-4FB9-9AEC-BAD3FB33FF5D}" xr6:coauthVersionLast="47" xr6:coauthVersionMax="47" xr10:uidLastSave="{AA4CD382-12FE-45C7-B9B1-6A57BEDC299A}"/>
  <bookViews>
    <workbookView xWindow="-28920" yWindow="-1290" windowWidth="29040" windowHeight="15840" xr2:uid="{940FDA1B-5E93-4417-AA2B-F45D819A23A4}"/>
  </bookViews>
  <sheets>
    <sheet name="Summary" sheetId="1" r:id="rId1"/>
    <sheet name="Cost Summary and Discounting" sheetId="10" r:id="rId2"/>
    <sheet name="Other Externalities " sheetId="7" r:id="rId3"/>
    <sheet name="Mortality Benefit - Walk " sheetId="8" r:id="rId4"/>
    <sheet name="Mortality Benefit - Bike" sheetId="9" r:id="rId5"/>
    <sheet name="Residual Value" sheetId="16" r:id="rId6"/>
    <sheet name="Amenity Benefits" sheetId="15" r:id="rId7"/>
    <sheet name="Speed Analysis" sheetId="12" r:id="rId8"/>
  </sheets>
  <externalReferences>
    <externalReference r:id="rId9"/>
    <externalReference r:id="rId10"/>
  </externalReferences>
  <definedNames>
    <definedName name="Base_Year">#REF!</definedName>
    <definedName name="BikePed_GR">#REF!</definedName>
    <definedName name="Build_Project_Length">#REF!</definedName>
    <definedName name="Induced_Daily_Cycling_Trips">#REF!</definedName>
    <definedName name="Induced_Daily_Walking_Trips">#REF!</definedName>
    <definedName name="No_Build_Start_Daily_Cycling_Trips">#REF!</definedName>
    <definedName name="No_Build_Start_Daily_Walking_Trips">#REF!</definedName>
    <definedName name="Opening_Year">#REF!</definedName>
    <definedName name="Project_ID">#REF!</definedName>
    <definedName name="Year_Open_to_Traffic?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J15" i="8"/>
  <c r="J16" i="8"/>
  <c r="I15" i="8"/>
  <c r="I16" i="8"/>
  <c r="J15" i="9"/>
  <c r="J16" i="9"/>
  <c r="I15" i="9"/>
  <c r="I16" i="9"/>
  <c r="F7" i="10" l="1"/>
  <c r="A19" i="16"/>
  <c r="A20" i="16" s="1"/>
  <c r="B18" i="16"/>
  <c r="A18" i="16"/>
  <c r="D11" i="16"/>
  <c r="B11" i="16"/>
  <c r="D12" i="16" l="1"/>
  <c r="A21" i="16"/>
  <c r="B20" i="16"/>
  <c r="B19" i="16"/>
  <c r="E34" i="15"/>
  <c r="E35" i="15" s="1"/>
  <c r="E33" i="15"/>
  <c r="F26" i="15"/>
  <c r="F20" i="15"/>
  <c r="F18" i="15"/>
  <c r="A11" i="15"/>
  <c r="A12" i="15" s="1"/>
  <c r="A22" i="16" l="1"/>
  <c r="B21" i="16"/>
  <c r="A13" i="15"/>
  <c r="E36" i="15"/>
  <c r="F30" i="15"/>
  <c r="A23" i="16" l="1"/>
  <c r="B22" i="16"/>
  <c r="B13" i="15"/>
  <c r="B12" i="15"/>
  <c r="E37" i="15"/>
  <c r="A14" i="15"/>
  <c r="B23" i="16" l="1"/>
  <c r="A24" i="16"/>
  <c r="A15" i="15"/>
  <c r="B14" i="15"/>
  <c r="E38" i="15"/>
  <c r="B11" i="15"/>
  <c r="A25" i="16" l="1"/>
  <c r="B24" i="16"/>
  <c r="E39" i="15"/>
  <c r="A16" i="15"/>
  <c r="B15" i="15"/>
  <c r="A26" i="16" l="1"/>
  <c r="B25" i="16"/>
  <c r="E40" i="15"/>
  <c r="A17" i="15"/>
  <c r="B16" i="15"/>
  <c r="B26" i="16" l="1"/>
  <c r="A27" i="16"/>
  <c r="A18" i="15"/>
  <c r="B17" i="15"/>
  <c r="E41" i="15"/>
  <c r="A28" i="16" l="1"/>
  <c r="B27" i="16"/>
  <c r="E42" i="15"/>
  <c r="A19" i="15"/>
  <c r="B18" i="15"/>
  <c r="A29" i="16" l="1"/>
  <c r="B28" i="16"/>
  <c r="A20" i="15"/>
  <c r="B19" i="15"/>
  <c r="E43" i="15"/>
  <c r="A30" i="16" l="1"/>
  <c r="B29" i="16"/>
  <c r="E44" i="15"/>
  <c r="B20" i="15"/>
  <c r="A21" i="15"/>
  <c r="A31" i="16" l="1"/>
  <c r="B30" i="16"/>
  <c r="A22" i="15"/>
  <c r="B21" i="15"/>
  <c r="E45" i="15"/>
  <c r="B31" i="16" l="1"/>
  <c r="A32" i="16"/>
  <c r="E46" i="15"/>
  <c r="A23" i="15"/>
  <c r="B22" i="15"/>
  <c r="A33" i="16" l="1"/>
  <c r="B32" i="16"/>
  <c r="A24" i="15"/>
  <c r="B23" i="15"/>
  <c r="E47" i="15"/>
  <c r="A34" i="16" l="1"/>
  <c r="B33" i="16"/>
  <c r="E48" i="15"/>
  <c r="A25" i="15"/>
  <c r="B24" i="15"/>
  <c r="A35" i="16" l="1"/>
  <c r="B34" i="16"/>
  <c r="A26" i="15"/>
  <c r="B25" i="15"/>
  <c r="E49" i="15"/>
  <c r="A36" i="16" l="1"/>
  <c r="B35" i="16"/>
  <c r="E50" i="15"/>
  <c r="B26" i="15"/>
  <c r="A27" i="15"/>
  <c r="A37" i="16" l="1"/>
  <c r="B36" i="16"/>
  <c r="A28" i="15"/>
  <c r="B27" i="15"/>
  <c r="E51" i="15"/>
  <c r="A38" i="16" l="1"/>
  <c r="B37" i="16"/>
  <c r="A29" i="15"/>
  <c r="B28" i="15"/>
  <c r="E52" i="15"/>
  <c r="A39" i="16" l="1"/>
  <c r="B38" i="16"/>
  <c r="E53" i="15"/>
  <c r="A30" i="15"/>
  <c r="B29" i="15"/>
  <c r="B39" i="16" l="1"/>
  <c r="A40" i="16"/>
  <c r="A31" i="15"/>
  <c r="B30" i="15"/>
  <c r="E54" i="15"/>
  <c r="A41" i="16" l="1"/>
  <c r="B40" i="16"/>
  <c r="E55" i="15"/>
  <c r="A32" i="15"/>
  <c r="B31" i="15"/>
  <c r="A42" i="16" l="1"/>
  <c r="B41" i="16"/>
  <c r="B32" i="15"/>
  <c r="A33" i="15"/>
  <c r="E56" i="15"/>
  <c r="A43" i="16" l="1"/>
  <c r="B42" i="16"/>
  <c r="E11" i="16"/>
  <c r="E12" i="16" s="1"/>
  <c r="A34" i="15"/>
  <c r="B33" i="15"/>
  <c r="E57" i="15"/>
  <c r="A44" i="16" l="1"/>
  <c r="B43" i="16"/>
  <c r="E58" i="15"/>
  <c r="A35" i="15"/>
  <c r="B34" i="15"/>
  <c r="A45" i="16" l="1"/>
  <c r="B44" i="16"/>
  <c r="A36" i="15"/>
  <c r="B35" i="15"/>
  <c r="E59" i="15"/>
  <c r="F58" i="15"/>
  <c r="A46" i="16" l="1"/>
  <c r="B45" i="16"/>
  <c r="E60" i="15"/>
  <c r="F59" i="15"/>
  <c r="B36" i="15"/>
  <c r="A37" i="15"/>
  <c r="A47" i="16" l="1"/>
  <c r="B47" i="16" s="1"/>
  <c r="B46" i="16"/>
  <c r="A38" i="15"/>
  <c r="B37" i="15"/>
  <c r="E61" i="15"/>
  <c r="F60" i="15"/>
  <c r="E62" i="15" l="1"/>
  <c r="F62" i="15" s="1"/>
  <c r="F61" i="15"/>
  <c r="A39" i="15"/>
  <c r="B38" i="15"/>
  <c r="B42" i="15" l="1"/>
  <c r="F64" i="15" s="1"/>
  <c r="F63" i="15"/>
  <c r="A40" i="15"/>
  <c r="B40" i="15" s="1"/>
  <c r="B39" i="15"/>
  <c r="B41" i="15" l="1"/>
  <c r="E13" i="10" l="1"/>
  <c r="F8" i="10" l="1"/>
  <c r="F9" i="10"/>
  <c r="F10" i="10"/>
  <c r="F6" i="10"/>
  <c r="E7" i="10"/>
  <c r="E8" i="10"/>
  <c r="E9" i="10"/>
  <c r="E10" i="10"/>
  <c r="E6" i="10"/>
  <c r="B15" i="1"/>
  <c r="I48" i="9" l="1"/>
  <c r="Q5" i="12" l="1"/>
  <c r="R5" i="12" s="1"/>
  <c r="T5" i="12" s="1"/>
  <c r="Q6" i="12"/>
  <c r="R6" i="12" s="1"/>
  <c r="T6" i="12" s="1"/>
  <c r="Q7" i="12"/>
  <c r="Q8" i="12"/>
  <c r="R8" i="12" s="1"/>
  <c r="T8" i="12" s="1"/>
  <c r="Q9" i="12"/>
  <c r="Q10" i="12"/>
  <c r="R10" i="12" s="1"/>
  <c r="T10" i="12" s="1"/>
  <c r="Q11" i="12"/>
  <c r="Q12" i="12"/>
  <c r="R12" i="12" s="1"/>
  <c r="S12" i="12" s="1"/>
  <c r="Q13" i="12"/>
  <c r="R13" i="12" s="1"/>
  <c r="S13" i="12" s="1"/>
  <c r="Q14" i="12"/>
  <c r="R14" i="12" s="1"/>
  <c r="T14" i="12" s="1"/>
  <c r="Q15" i="12"/>
  <c r="R15" i="12" s="1"/>
  <c r="T15" i="12" s="1"/>
  <c r="Q16" i="12"/>
  <c r="Q17" i="12"/>
  <c r="Q18" i="12"/>
  <c r="Q19" i="12"/>
  <c r="R19" i="12" s="1"/>
  <c r="S19" i="12" s="1"/>
  <c r="Q20" i="12"/>
  <c r="Q21" i="12"/>
  <c r="R21" i="12" s="1"/>
  <c r="S21" i="12" s="1"/>
  <c r="Q22" i="12"/>
  <c r="R22" i="12" s="1"/>
  <c r="S22" i="12" s="1"/>
  <c r="Q23" i="12"/>
  <c r="Q24" i="12"/>
  <c r="R24" i="12" s="1"/>
  <c r="T24" i="12" s="1"/>
  <c r="Q25" i="12"/>
  <c r="Q26" i="12"/>
  <c r="R26" i="12" s="1"/>
  <c r="T26" i="12" s="1"/>
  <c r="Q27" i="12"/>
  <c r="Q28" i="12"/>
  <c r="Q4" i="12"/>
  <c r="R4" i="12" s="1"/>
  <c r="T4" i="12" s="1"/>
  <c r="R27" i="12"/>
  <c r="T27" i="12" s="1"/>
  <c r="R25" i="12"/>
  <c r="T25" i="12" s="1"/>
  <c r="R23" i="12"/>
  <c r="T23" i="12" s="1"/>
  <c r="R20" i="12"/>
  <c r="S20" i="12" s="1"/>
  <c r="R18" i="12"/>
  <c r="T18" i="12" s="1"/>
  <c r="R17" i="12"/>
  <c r="T17" i="12" s="1"/>
  <c r="R16" i="12"/>
  <c r="T16" i="12" s="1"/>
  <c r="R11" i="12"/>
  <c r="S11" i="12" s="1"/>
  <c r="R9" i="12"/>
  <c r="T9" i="12" s="1"/>
  <c r="R7" i="12"/>
  <c r="T7" i="12" s="1"/>
  <c r="S28" i="12" l="1"/>
  <c r="T28" i="12"/>
  <c r="G12" i="9" l="1"/>
  <c r="G11" i="8" l="1"/>
  <c r="B28" i="1" l="1"/>
  <c r="F11" i="10" l="1"/>
  <c r="G12" i="8"/>
  <c r="G13" i="8" s="1"/>
  <c r="G14" i="8" s="1"/>
  <c r="G15" i="8" s="1"/>
  <c r="G16" i="8" s="1"/>
  <c r="G17" i="8" s="1"/>
  <c r="H9" i="9"/>
  <c r="I38" i="9"/>
  <c r="I39" i="9"/>
  <c r="I40" i="9"/>
  <c r="I41" i="9"/>
  <c r="I42" i="9"/>
  <c r="I43" i="9"/>
  <c r="I44" i="9"/>
  <c r="I45" i="9"/>
  <c r="I46" i="9"/>
  <c r="I47" i="9"/>
  <c r="H8" i="9"/>
  <c r="H7" i="9"/>
  <c r="I38" i="8"/>
  <c r="I39" i="8"/>
  <c r="I40" i="8"/>
  <c r="I41" i="8"/>
  <c r="I42" i="8"/>
  <c r="I43" i="8"/>
  <c r="I44" i="8"/>
  <c r="I45" i="8"/>
  <c r="I46" i="8"/>
  <c r="I47" i="8"/>
  <c r="O5" i="7"/>
  <c r="P5" i="7" s="1"/>
  <c r="L6" i="7"/>
  <c r="L7" i="7" s="1"/>
  <c r="H10" i="9" l="1"/>
  <c r="D13" i="10"/>
  <c r="D14" i="10" s="1"/>
  <c r="F13" i="10"/>
  <c r="B5" i="1" s="1"/>
  <c r="H17" i="8"/>
  <c r="I17" i="8" s="1"/>
  <c r="J17" i="8" s="1"/>
  <c r="G18" i="8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M6" i="7"/>
  <c r="O6" i="7" s="1"/>
  <c r="P6" i="7" s="1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5" i="7"/>
  <c r="M31" i="7"/>
  <c r="M30" i="7"/>
  <c r="M29" i="7"/>
  <c r="M28" i="7"/>
  <c r="M27" i="7"/>
  <c r="M26" i="7"/>
  <c r="M10" i="7"/>
  <c r="M11" i="7"/>
  <c r="M9" i="7"/>
  <c r="M8" i="7"/>
  <c r="L8" i="7"/>
  <c r="L9" i="7" s="1"/>
  <c r="L10" i="7" s="1"/>
  <c r="L11" i="7" s="1"/>
  <c r="M7" i="7"/>
  <c r="R5" i="7"/>
  <c r="S5" i="7" s="1"/>
  <c r="T5" i="7" s="1"/>
  <c r="L12" i="7"/>
  <c r="H11" i="9" l="1"/>
  <c r="H12" i="9"/>
  <c r="O7" i="7"/>
  <c r="P7" i="7" s="1"/>
  <c r="R7" i="7"/>
  <c r="R11" i="7"/>
  <c r="S11" i="7" s="1"/>
  <c r="T11" i="7"/>
  <c r="R10" i="7"/>
  <c r="S10" i="7" s="1"/>
  <c r="R9" i="7"/>
  <c r="S9" i="7" s="1"/>
  <c r="R8" i="7"/>
  <c r="S8" i="7" s="1"/>
  <c r="R6" i="7"/>
  <c r="S6" i="7" s="1"/>
  <c r="L13" i="7"/>
  <c r="G13" i="9" l="1"/>
  <c r="H13" i="9" s="1"/>
  <c r="S7" i="7"/>
  <c r="T7" i="7" s="1"/>
  <c r="O8" i="7"/>
  <c r="P8" i="7" s="1"/>
  <c r="T10" i="7"/>
  <c r="L14" i="7"/>
  <c r="T6" i="7"/>
  <c r="T8" i="7"/>
  <c r="T9" i="7"/>
  <c r="G14" i="9" l="1"/>
  <c r="H14" i="9" s="1"/>
  <c r="O9" i="7"/>
  <c r="P9" i="7" s="1"/>
  <c r="L15" i="7"/>
  <c r="G15" i="9" l="1"/>
  <c r="H15" i="9" s="1"/>
  <c r="O10" i="7"/>
  <c r="P10" i="7" s="1"/>
  <c r="L16" i="7"/>
  <c r="G16" i="9" l="1"/>
  <c r="H16" i="9" s="1"/>
  <c r="O11" i="7"/>
  <c r="P11" i="7" s="1"/>
  <c r="L17" i="7"/>
  <c r="G17" i="9" l="1"/>
  <c r="H17" i="9" s="1"/>
  <c r="I17" i="9" s="1"/>
  <c r="O12" i="7"/>
  <c r="P12" i="7" s="1"/>
  <c r="L18" i="7"/>
  <c r="G18" i="9" l="1"/>
  <c r="H18" i="9" s="1"/>
  <c r="I18" i="9" s="1"/>
  <c r="J17" i="9"/>
  <c r="O13" i="7"/>
  <c r="P13" i="7" s="1"/>
  <c r="L19" i="7"/>
  <c r="G19" i="9" l="1"/>
  <c r="H19" i="9" s="1"/>
  <c r="I19" i="9" s="1"/>
  <c r="J18" i="9"/>
  <c r="R12" i="7"/>
  <c r="Q12" i="7"/>
  <c r="O14" i="7"/>
  <c r="P14" i="7" s="1"/>
  <c r="L20" i="7"/>
  <c r="G20" i="9" l="1"/>
  <c r="H20" i="9" s="1"/>
  <c r="I20" i="9" s="1"/>
  <c r="J19" i="9"/>
  <c r="S12" i="7"/>
  <c r="R13" i="7"/>
  <c r="Q13" i="7"/>
  <c r="O15" i="7"/>
  <c r="P15" i="7" s="1"/>
  <c r="L21" i="7"/>
  <c r="T12" i="7" l="1"/>
  <c r="G21" i="9"/>
  <c r="H21" i="9" s="1"/>
  <c r="I21" i="9" s="1"/>
  <c r="J20" i="9"/>
  <c r="S13" i="7"/>
  <c r="T13" i="7" s="1"/>
  <c r="R14" i="7"/>
  <c r="Q14" i="7"/>
  <c r="O16" i="7"/>
  <c r="P16" i="7" s="1"/>
  <c r="L22" i="7"/>
  <c r="G22" i="9" l="1"/>
  <c r="H22" i="9" s="1"/>
  <c r="I22" i="9" s="1"/>
  <c r="J21" i="9"/>
  <c r="S14" i="7"/>
  <c r="T14" i="7" s="1"/>
  <c r="R15" i="7"/>
  <c r="Q15" i="7"/>
  <c r="O17" i="7"/>
  <c r="P17" i="7" s="1"/>
  <c r="L23" i="7"/>
  <c r="G23" i="9" l="1"/>
  <c r="H23" i="9" s="1"/>
  <c r="I23" i="9" s="1"/>
  <c r="J22" i="9"/>
  <c r="S15" i="7"/>
  <c r="T15" i="7" s="1"/>
  <c r="R16" i="7"/>
  <c r="Q16" i="7"/>
  <c r="O18" i="7"/>
  <c r="P18" i="7" s="1"/>
  <c r="L24" i="7"/>
  <c r="G24" i="9" l="1"/>
  <c r="H24" i="9" s="1"/>
  <c r="I24" i="9" s="1"/>
  <c r="J23" i="9"/>
  <c r="S16" i="7"/>
  <c r="T16" i="7" s="1"/>
  <c r="R17" i="7"/>
  <c r="Q17" i="7"/>
  <c r="O19" i="7"/>
  <c r="P19" i="7" s="1"/>
  <c r="L25" i="7"/>
  <c r="G25" i="9" l="1"/>
  <c r="H25" i="9" s="1"/>
  <c r="I25" i="9" s="1"/>
  <c r="J24" i="9"/>
  <c r="S17" i="7"/>
  <c r="R18" i="7"/>
  <c r="Q18" i="7"/>
  <c r="O20" i="7"/>
  <c r="P20" i="7" s="1"/>
  <c r="L26" i="7"/>
  <c r="T17" i="7" l="1"/>
  <c r="G26" i="9"/>
  <c r="H26" i="9" s="1"/>
  <c r="I26" i="9" s="1"/>
  <c r="J25" i="9"/>
  <c r="S18" i="7"/>
  <c r="T18" i="7" s="1"/>
  <c r="R19" i="7"/>
  <c r="Q19" i="7"/>
  <c r="O21" i="7"/>
  <c r="P21" i="7" s="1"/>
  <c r="L27" i="7"/>
  <c r="G27" i="9" l="1"/>
  <c r="H27" i="9" s="1"/>
  <c r="I27" i="9" s="1"/>
  <c r="J26" i="9"/>
  <c r="S19" i="7"/>
  <c r="T19" i="7" s="1"/>
  <c r="R20" i="7"/>
  <c r="Q20" i="7"/>
  <c r="O22" i="7"/>
  <c r="P22" i="7" s="1"/>
  <c r="L28" i="7"/>
  <c r="G28" i="9" l="1"/>
  <c r="H28" i="9" s="1"/>
  <c r="I28" i="9" s="1"/>
  <c r="J27" i="9"/>
  <c r="S20" i="7"/>
  <c r="T20" i="7" s="1"/>
  <c r="R21" i="7"/>
  <c r="Q21" i="7"/>
  <c r="O23" i="7"/>
  <c r="P23" i="7" s="1"/>
  <c r="L29" i="7"/>
  <c r="G29" i="9" l="1"/>
  <c r="H29" i="9" s="1"/>
  <c r="I29" i="9" s="1"/>
  <c r="J28" i="9"/>
  <c r="S21" i="7"/>
  <c r="T21" i="7" s="1"/>
  <c r="R22" i="7"/>
  <c r="Q22" i="7"/>
  <c r="O24" i="7"/>
  <c r="P24" i="7" s="1"/>
  <c r="L30" i="7"/>
  <c r="G30" i="9" l="1"/>
  <c r="H30" i="9" s="1"/>
  <c r="I30" i="9" s="1"/>
  <c r="J29" i="9"/>
  <c r="S22" i="7"/>
  <c r="T22" i="7" s="1"/>
  <c r="R23" i="7"/>
  <c r="Q23" i="7"/>
  <c r="O25" i="7"/>
  <c r="P25" i="7" s="1"/>
  <c r="L31" i="7"/>
  <c r="G31" i="9" l="1"/>
  <c r="H31" i="9" s="1"/>
  <c r="I31" i="9" s="1"/>
  <c r="J30" i="9"/>
  <c r="S23" i="7"/>
  <c r="T23" i="7" s="1"/>
  <c r="R24" i="7"/>
  <c r="Q24" i="7"/>
  <c r="O26" i="7"/>
  <c r="P26" i="7" s="1"/>
  <c r="G32" i="9" l="1"/>
  <c r="H32" i="9" s="1"/>
  <c r="I32" i="9" s="1"/>
  <c r="J31" i="9"/>
  <c r="S24" i="7"/>
  <c r="T24" i="7" s="1"/>
  <c r="R25" i="7"/>
  <c r="Q25" i="7"/>
  <c r="O27" i="7"/>
  <c r="P27" i="7" s="1"/>
  <c r="G33" i="9" l="1"/>
  <c r="H33" i="9" s="1"/>
  <c r="I33" i="9" s="1"/>
  <c r="J32" i="9"/>
  <c r="S25" i="7"/>
  <c r="T25" i="7" s="1"/>
  <c r="R26" i="7"/>
  <c r="Q26" i="7"/>
  <c r="O28" i="7"/>
  <c r="P28" i="7" s="1"/>
  <c r="G34" i="9" l="1"/>
  <c r="H34" i="9" s="1"/>
  <c r="I34" i="9" s="1"/>
  <c r="J33" i="9"/>
  <c r="S26" i="7"/>
  <c r="T26" i="7" s="1"/>
  <c r="R27" i="7"/>
  <c r="Q27" i="7"/>
  <c r="O29" i="7"/>
  <c r="P29" i="7" s="1"/>
  <c r="G35" i="9" l="1"/>
  <c r="H35" i="9" s="1"/>
  <c r="I35" i="9" s="1"/>
  <c r="J34" i="9"/>
  <c r="S27" i="7"/>
  <c r="T27" i="7" s="1"/>
  <c r="R28" i="7"/>
  <c r="Q28" i="7"/>
  <c r="O30" i="7"/>
  <c r="P30" i="7" s="1"/>
  <c r="H36" i="9" l="1"/>
  <c r="I36" i="9" s="1"/>
  <c r="J35" i="9"/>
  <c r="S28" i="7"/>
  <c r="T28" i="7" s="1"/>
  <c r="R29" i="7"/>
  <c r="Q29" i="7"/>
  <c r="P31" i="7"/>
  <c r="H12" i="8"/>
  <c r="H11" i="8"/>
  <c r="J36" i="9" l="1"/>
  <c r="S29" i="7"/>
  <c r="T29" i="7" s="1"/>
  <c r="R30" i="7"/>
  <c r="Q30" i="7"/>
  <c r="H8" i="8"/>
  <c r="H9" i="8"/>
  <c r="H13" i="8"/>
  <c r="H14" i="8"/>
  <c r="H16" i="8"/>
  <c r="H21" i="8"/>
  <c r="I21" i="8" s="1"/>
  <c r="J21" i="8" s="1"/>
  <c r="H24" i="8"/>
  <c r="I24" i="8" s="1"/>
  <c r="J24" i="8" s="1"/>
  <c r="H25" i="8"/>
  <c r="I25" i="8" s="1"/>
  <c r="J25" i="8" s="1"/>
  <c r="H28" i="8"/>
  <c r="I28" i="8" s="1"/>
  <c r="J28" i="8" s="1"/>
  <c r="H30" i="8"/>
  <c r="I30" i="8" s="1"/>
  <c r="J30" i="8" s="1"/>
  <c r="H31" i="8"/>
  <c r="I31" i="8" s="1"/>
  <c r="J31" i="8" s="1"/>
  <c r="H32" i="8"/>
  <c r="I32" i="8" s="1"/>
  <c r="J32" i="8" s="1"/>
  <c r="H27" i="8"/>
  <c r="I27" i="8" s="1"/>
  <c r="J27" i="8" s="1"/>
  <c r="H19" i="8"/>
  <c r="I19" i="8" s="1"/>
  <c r="J19" i="8" s="1"/>
  <c r="H22" i="8"/>
  <c r="I22" i="8" s="1"/>
  <c r="J22" i="8" s="1"/>
  <c r="H35" i="8"/>
  <c r="I35" i="8" s="1"/>
  <c r="J35" i="8" s="1"/>
  <c r="H36" i="8"/>
  <c r="I36" i="8" s="1"/>
  <c r="J36" i="8" s="1"/>
  <c r="H33" i="8"/>
  <c r="I33" i="8" s="1"/>
  <c r="J33" i="8" s="1"/>
  <c r="H26" i="8"/>
  <c r="I26" i="8" s="1"/>
  <c r="J26" i="8" s="1"/>
  <c r="H34" i="8"/>
  <c r="I34" i="8" s="1"/>
  <c r="J34" i="8" s="1"/>
  <c r="H20" i="8"/>
  <c r="I20" i="8" s="1"/>
  <c r="J20" i="8" s="1"/>
  <c r="H15" i="8"/>
  <c r="H23" i="8"/>
  <c r="I23" i="8" s="1"/>
  <c r="J23" i="8" s="1"/>
  <c r="H7" i="8"/>
  <c r="H10" i="8"/>
  <c r="H29" i="8"/>
  <c r="I29" i="8" s="1"/>
  <c r="J29" i="8" s="1"/>
  <c r="H18" i="8"/>
  <c r="I18" i="8" s="1"/>
  <c r="J18" i="8" s="1"/>
  <c r="H37" i="8"/>
  <c r="I37" i="8" s="1"/>
  <c r="J37" i="8" s="1"/>
  <c r="H37" i="9" l="1"/>
  <c r="J37" i="9" s="1"/>
  <c r="J48" i="9" s="1"/>
  <c r="B22" i="1" s="1"/>
  <c r="S30" i="7"/>
  <c r="T30" i="7" s="1"/>
  <c r="R31" i="7"/>
  <c r="R35" i="7" s="1"/>
  <c r="Q31" i="7"/>
  <c r="I48" i="8"/>
  <c r="S31" i="7" l="1"/>
  <c r="T31" i="7" l="1"/>
  <c r="T35" i="7" s="1"/>
  <c r="B18" i="1" s="1"/>
  <c r="S35" i="7"/>
  <c r="Q35" i="7"/>
  <c r="J48" i="8"/>
  <c r="B23" i="1" l="1"/>
  <c r="B6" i="1" s="1"/>
  <c r="B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tc={3DE8820C-8317-49AE-A4B7-73EAAAAA02A5}</author>
  </authors>
  <commentList>
    <comment ref="A1" authorId="0" shapeId="0" xr:uid="{3DE8820C-8317-49AE-A4B7-73EAAAAA02A5}">
      <text>
        <t>[Threaded comment]
Your version of Excel allows you to read this threaded comment; however, any edits to it will get removed if the file is opened in a newer version of Excel. Learn more: https://go.microsoft.com/fwlink/?linkid=870924
Comment:
    I do not think we have data to calculate this benefit. Leaving blank for now.</t>
      </text>
    </comment>
  </commentList>
</comments>
</file>

<file path=xl/sharedStrings.xml><?xml version="1.0" encoding="utf-8"?>
<sst xmlns="http://schemas.openxmlformats.org/spreadsheetml/2006/main" count="229" uniqueCount="173">
  <si>
    <t>Summary Benefits Table</t>
  </si>
  <si>
    <t xml:space="preserve">Total Project Cost, Discounted </t>
  </si>
  <si>
    <t xml:space="preserve">Total Benefits, Discounted: </t>
  </si>
  <si>
    <t>Discounted BCA</t>
  </si>
  <si>
    <t xml:space="preserve">Summary of Benefits </t>
  </si>
  <si>
    <t xml:space="preserve">Benefit Category </t>
  </si>
  <si>
    <t>Discounted Benefit @ 3.1% (2022)</t>
  </si>
  <si>
    <t>Source</t>
  </si>
  <si>
    <t>Location</t>
  </si>
  <si>
    <r>
      <rPr>
        <b/>
        <sz val="11"/>
        <color theme="1"/>
        <rFont val="Calibri"/>
        <family val="2"/>
        <scheme val="minor"/>
      </rPr>
      <t xml:space="preserve">Roadway Crash Benefits Template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(Source: HGAC Templates)</t>
    </r>
  </si>
  <si>
    <t>H-GAC Template 1</t>
  </si>
  <si>
    <t>HGAC BCA Teamplate</t>
  </si>
  <si>
    <t>H-GAC Template 2</t>
  </si>
  <si>
    <t xml:space="preserve">Total Safety Benefit </t>
  </si>
  <si>
    <t>Other Externalities Reduction (Congestion &amp; Noise)</t>
  </si>
  <si>
    <t>Based on Goodman Assumptions, see Tab for more info</t>
  </si>
  <si>
    <t>Tab: Other Externalities</t>
  </si>
  <si>
    <t xml:space="preserve">Total </t>
  </si>
  <si>
    <t xml:space="preserve">Mortality Reduction Factor </t>
  </si>
  <si>
    <t>Due to Induced Walking (Discounted)</t>
  </si>
  <si>
    <t>Based on some sources from Goodman, but followed similar methodolgy as HGAC Active Trasnspo for Emissions Template</t>
  </si>
  <si>
    <t xml:space="preserve">Tab: Mortality Benefit - Walk </t>
  </si>
  <si>
    <t>Due to Induced Bicyling Trips (Discounted)</t>
  </si>
  <si>
    <t>Tab: Mortality Benefit - Bike</t>
  </si>
  <si>
    <r>
      <rPr>
        <b/>
        <sz val="11"/>
        <color theme="1"/>
        <rFont val="Calibri"/>
        <family val="2"/>
        <scheme val="minor"/>
      </rPr>
      <t xml:space="preserve">Active Transportation Emissions Benefit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(Source: HGAC Template)</t>
    </r>
  </si>
  <si>
    <t>Discounted NOx Benefits @ 3.1% (2022 $)</t>
  </si>
  <si>
    <t>Discounted VOC Benefits @ 3.1% (2022 $)</t>
  </si>
  <si>
    <t>Total Discounted Emissions Benefit</t>
  </si>
  <si>
    <t xml:space="preserve">Transit Delay </t>
  </si>
  <si>
    <t>Discounted Transit Benefit @ 3.1% (2022 $)</t>
  </si>
  <si>
    <t>Total Transit Benefit</t>
  </si>
  <si>
    <t>Based on Goodman Assumptions, see Excel for more info</t>
  </si>
  <si>
    <t xml:space="preserve">Total Discounted State of Good Repair Benefit </t>
  </si>
  <si>
    <t xml:space="preserve">Benefits Discussed (internally) but not Quantified </t>
  </si>
  <si>
    <t xml:space="preserve">Drainge Benefit </t>
  </si>
  <si>
    <t>Year</t>
  </si>
  <si>
    <t>Task</t>
  </si>
  <si>
    <t>Discounted</t>
  </si>
  <si>
    <t>Design</t>
  </si>
  <si>
    <t>Construction</t>
  </si>
  <si>
    <t xml:space="preserve">Year Open to Public </t>
  </si>
  <si>
    <t>Total</t>
  </si>
  <si>
    <t xml:space="preserve">Check </t>
  </si>
  <si>
    <t>Annual Emission Reductions Over Life of Project</t>
  </si>
  <si>
    <t xml:space="preserve">Assumption: This Project will result in a modal shift with a reduction in overall vehicle miles traveled, which can result in reductions in congestion externalities.		</t>
  </si>
  <si>
    <t xml:space="preserve">Other Externalities </t>
  </si>
  <si>
    <t xml:space="preserve">Cost per VMT </t>
  </si>
  <si>
    <t>VMT Reduced because of Modal Diversion (source HGAC Tool)</t>
  </si>
  <si>
    <t>Growth Rates</t>
  </si>
  <si>
    <t>Demand Growth</t>
  </si>
  <si>
    <t>Use in Analysis?</t>
  </si>
  <si>
    <t>Estimated Daily VMT Reduced</t>
  </si>
  <si>
    <t>Yearly</t>
  </si>
  <si>
    <t>Congestion Benefit</t>
  </si>
  <si>
    <t xml:space="preserve">Noise Benefit </t>
  </si>
  <si>
    <t>Discounted Benefit (3.1%)</t>
  </si>
  <si>
    <t xml:space="preserve">Congestion </t>
  </si>
  <si>
    <t>2021-2030 Demand Growth</t>
  </si>
  <si>
    <t>Noise</t>
  </si>
  <si>
    <t>2030-2045 Demand Growth</t>
  </si>
  <si>
    <t>Growth Source: HGAC Active Transportation Emissions Template</t>
  </si>
  <si>
    <t>Source: USDOT Benefit-Cost Analysis Guidance for Discretionary Grant Programs</t>
  </si>
  <si>
    <t xml:space="preserve">VMT Shift source: HGAC PedBike Commuter Analysis Tool </t>
  </si>
  <si>
    <t xml:space="preserve">Worksheet Title: </t>
  </si>
  <si>
    <t>Mortality Reduction Benefit - Walking</t>
  </si>
  <si>
    <t>Benefit Calculations</t>
  </si>
  <si>
    <t>Assumptions</t>
  </si>
  <si>
    <t>Data Point</t>
  </si>
  <si>
    <t xml:space="preserve">Source </t>
  </si>
  <si>
    <t>Project Open Year:</t>
  </si>
  <si>
    <t>Major Assumption Key</t>
  </si>
  <si>
    <t>Benefit</t>
  </si>
  <si>
    <t>Planning Horizon Begin Year:</t>
  </si>
  <si>
    <t xml:space="preserve">Daily # of Induced Walking Trips </t>
  </si>
  <si>
    <t>Daily # of Induced Walking Trips *# of Working Days</t>
  </si>
  <si>
    <t>Mortality Reduction Benefit from Walking</t>
  </si>
  <si>
    <t>Discounted @ 3.1%</t>
  </si>
  <si>
    <t>Planning Horizon End Year:</t>
  </si>
  <si>
    <t xml:space="preserve">Average Number of Working Days in a Year </t>
  </si>
  <si>
    <t>Induced Daily Walking Trips - Open Year (Build)</t>
  </si>
  <si>
    <t xml:space="preserve">From HGAC Ped Bike Commuter Tool </t>
  </si>
  <si>
    <t>Mortality Reduction Benefits per Induced Walking Trip</t>
  </si>
  <si>
    <t>USDOT Benefit-Cost Analysis Guidance for Discretionary Grant Programs</t>
  </si>
  <si>
    <t xml:space="preserve">Planning Horizon Totals </t>
  </si>
  <si>
    <t>Mortality Reduction Benefit of Induced Active Transportation - Cycling</t>
  </si>
  <si>
    <t>Daily # of Induced Cycling Trips</t>
  </si>
  <si>
    <t>Daily # of Induced Cycling Trips *# of Working Days</t>
  </si>
  <si>
    <t>Mortality Reduction Benefit from Biking</t>
  </si>
  <si>
    <t>Induced Daily Cycling Trips - Open Year (Build)</t>
  </si>
  <si>
    <t>Induced Daily Cycling Trips -2022</t>
  </si>
  <si>
    <t>Mortality Reduction Benefits per Induced Cycling Trip</t>
  </si>
  <si>
    <t>Cost in 2021 Dollars</t>
  </si>
  <si>
    <t>Induced Daily Walking Trips - 2024</t>
  </si>
  <si>
    <t>Project Cost: $29,671,630.00</t>
  </si>
  <si>
    <t>Excel File: Roadway Crash Benefits - Oates 1</t>
  </si>
  <si>
    <t>Excel FIle: Roadway Crash Benefits  - Oates 2</t>
  </si>
  <si>
    <t xml:space="preserve">From HGAC Ped Bike Commuter Tool  </t>
  </si>
  <si>
    <t>Excel File: Active-Transportation-Emissions-Benefits- Oates</t>
  </si>
  <si>
    <t>Excel File: Active-Transportation-Emissions-Benefits-Oates</t>
  </si>
  <si>
    <t>Excel File: Roadway-Transit-Delay-Benefits-Oates</t>
  </si>
  <si>
    <t>Data Source: City of Houston Traffic Counts 2023</t>
  </si>
  <si>
    <t>Starting Hr:min</t>
  </si>
  <si>
    <t>&lt;15</t>
  </si>
  <si>
    <t>15 to &lt;20</t>
  </si>
  <si>
    <t>20 to &lt;25</t>
  </si>
  <si>
    <t>25 to &lt;30</t>
  </si>
  <si>
    <t>30 to &lt;35</t>
  </si>
  <si>
    <t>35 to &lt;40</t>
  </si>
  <si>
    <t>40 to &lt;45</t>
  </si>
  <si>
    <t>45 to &lt;50</t>
  </si>
  <si>
    <t>50 to &lt;55</t>
  </si>
  <si>
    <t>55 to &lt;60</t>
  </si>
  <si>
    <t>60 to &lt;65</t>
  </si>
  <si>
    <t>65 to &lt;70</t>
  </si>
  <si>
    <t>70 to &lt;75</t>
  </si>
  <si>
    <t>75 to
&gt;100</t>
  </si>
  <si>
    <t>Total
Counts</t>
  </si>
  <si>
    <t>Avg Speed for Each Hour</t>
  </si>
  <si>
    <t>Peak Hours</t>
  </si>
  <si>
    <t>Off-Peak Hours</t>
  </si>
  <si>
    <t>(median speed)</t>
  </si>
  <si>
    <t>Templates not used &amp; Justification</t>
  </si>
  <si>
    <t xml:space="preserve">Roadway Emissions Benefits - Insufficent data for "Average Roadway Speed After Improvement" Also, increased speed along the roadway is not the intent of this project or the proposed improvments. </t>
  </si>
  <si>
    <t>Intersection Improvmements Emissions Benefits- Potential Rounabout at Wallisvielle and Oates will not reduce delay. No other intersections are a part of this project</t>
  </si>
  <si>
    <t>Oates Road</t>
  </si>
  <si>
    <t>H-GAC Template 3</t>
  </si>
  <si>
    <t>Excel FIle: Roadway Crash Benefits  - Oates 3</t>
  </si>
  <si>
    <t>Excel FIle: Roadway Crash Benefits  - Oates 4</t>
  </si>
  <si>
    <t>*ROW acquisition is included in design cost</t>
  </si>
  <si>
    <t>Excel File: State of Good Repair Benefits - Oates</t>
  </si>
  <si>
    <t>Cost in 2022 Dollars</t>
  </si>
  <si>
    <t>Amenity Benefits</t>
  </si>
  <si>
    <t>-</t>
  </si>
  <si>
    <t>There are numerous potential values for pedestrian facilities, bicycle facilities, transit vehicles, and transit stations.</t>
  </si>
  <si>
    <t>Workspace</t>
  </si>
  <si>
    <t xml:space="preserve">Project ID: </t>
  </si>
  <si>
    <t>Bike/Ped Growth Rate:</t>
  </si>
  <si>
    <t>Build Project Length (mile):</t>
  </si>
  <si>
    <t>Pedestrian Facility Benefit</t>
  </si>
  <si>
    <t>Added Sidewalk Width (ft)</t>
  </si>
  <si>
    <t>Service Life (years)</t>
  </si>
  <si>
    <t>Benefit Per Mile Walked</t>
  </si>
  <si>
    <t>Build Annual Miles Walked in Opening Year (existing users)</t>
  </si>
  <si>
    <t>Build Annual Miles Walked in Opening Year(new users)</t>
  </si>
  <si>
    <t>Opening Year Benefit</t>
  </si>
  <si>
    <t>Cycling Facility Benefit - Dedicated Bike Lane</t>
  </si>
  <si>
    <t>Add Bike Facility:</t>
  </si>
  <si>
    <t>Build Annual Cycling Miles in Opening Year (existing users)</t>
  </si>
  <si>
    <t>Build Annual Cycling Miles in Opening Year (new users)</t>
  </si>
  <si>
    <t>Total:</t>
  </si>
  <si>
    <t>Discounted Total:</t>
  </si>
  <si>
    <t xml:space="preserve">For recommended monetization values, please refer to the Parameter Excel </t>
  </si>
  <si>
    <t>Residual Value</t>
  </si>
  <si>
    <t xml:space="preserve">All values entered into input cells in this sheet should be entered as undiscounted 2022 dollar values. The template will automatically apply discounting to all costs and benefits for you. </t>
  </si>
  <si>
    <t xml:space="preserve">To calculate overall residual value for the entire project automatically, simply enter a useful life in the first row of Table 1 below. </t>
  </si>
  <si>
    <t>If there are multiple distinct components with unique useful lives, use multiple rows as needed and override the formula and names in the input cells of Table 1 below.</t>
  </si>
  <si>
    <t>For projects that involve capacity expansion or represent purely operational improvements, no residual value should be assumed.</t>
  </si>
  <si>
    <t>Table 1. Useful Life</t>
  </si>
  <si>
    <t>Project Component</t>
  </si>
  <si>
    <t>Capital Cost (2022 $)</t>
  </si>
  <si>
    <t>Useful Life (Years)</t>
  </si>
  <si>
    <t>Discounted Residual Value</t>
  </si>
  <si>
    <t>Overall Project if One Component</t>
  </si>
  <si>
    <t>Total Residual Value</t>
  </si>
  <si>
    <t>To manually calculate the residual value, please enter your estimated value in the blue italicized cell below in lieu of the automatic calculation</t>
  </si>
  <si>
    <t>To remove the residual value, please enter "0" in the blue cell below in lieu of the automatic calculation</t>
  </si>
  <si>
    <t>Table 2. Residual Value</t>
  </si>
  <si>
    <t>Total Discounted Residual Value</t>
  </si>
  <si>
    <t>Based onTxDOT Assumptions, see Residual Value Tab</t>
  </si>
  <si>
    <t>Tab: Residual Value</t>
  </si>
  <si>
    <t>Total Amenity Benefits</t>
  </si>
  <si>
    <t>Tab: Amenity Benefits</t>
  </si>
  <si>
    <t xml:space="preserve">State of Good Repair - Roadway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</si>
</sst>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_);\(0\)"/>
    <numFmt numFmtId="167" formatCode="_(* #,##0.0000_);_(* \(#,##0.0000\);_(* &quot;-&quot;????_);_(@_)"/>
    <numFmt numFmtId="168" formatCode="&quot;$&quot;#,##0.0"/>
    <numFmt numFmtId="169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Microsoft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u/>
      <sz val="10"/>
      <color indexed="12"/>
      <name val="Courier"/>
      <family val="3"/>
    </font>
    <font>
      <sz val="10"/>
      <color rgb="FF9C0006"/>
      <name val="Calibri"/>
      <family val="2"/>
      <scheme val="minor"/>
    </font>
    <font>
      <sz val="10"/>
      <color rgb="FF3F3F7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7.5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6" tint="-0.249977111117893"/>
        <bgColor theme="8" tint="0.599993896298104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8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8" tint="0.79998168889431442"/>
      </patternFill>
    </fill>
    <fill>
      <patternFill patternType="solid">
        <fgColor theme="0" tint="-0.14999847407452621"/>
        <bgColor theme="8" tint="0.5999938962981048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1EEDA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FBFBF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 style="thin">
        <color rgb="FFB2B2B2"/>
      </left>
      <right/>
      <top style="thick">
        <color theme="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18">
    <xf numFmtId="0" fontId="0" fillId="0" borderId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1" fillId="0" borderId="0" applyNumberFormat="0" applyFont="0" applyFill="0" applyAlignment="0" applyProtection="0"/>
    <xf numFmtId="0" fontId="12" fillId="0" borderId="0" applyNumberFormat="0" applyFont="0" applyFill="0" applyAlignment="0" applyProtection="0"/>
    <xf numFmtId="0" fontId="5" fillId="0" borderId="11" applyNumberFormat="0" applyFont="0" applyBorder="0" applyAlignment="0" applyProtection="0"/>
    <xf numFmtId="0" fontId="9" fillId="0" borderId="0"/>
    <xf numFmtId="0" fontId="14" fillId="0" borderId="0"/>
    <xf numFmtId="0" fontId="5" fillId="0" borderId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3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2" borderId="0" applyNumberFormat="0" applyBorder="0" applyAlignment="0" applyProtection="0"/>
    <xf numFmtId="0" fontId="17" fillId="3" borderId="1" applyNumberForma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/>
    <xf numFmtId="0" fontId="20" fillId="0" borderId="0"/>
    <xf numFmtId="9" fontId="1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2" fillId="21" borderId="26" applyNumberFormat="0" applyFont="0" applyAlignment="0" applyProtection="0"/>
  </cellStyleXfs>
  <cellXfs count="173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0" fontId="0" fillId="0" borderId="3" xfId="0" applyBorder="1"/>
    <xf numFmtId="0" fontId="0" fillId="4" borderId="0" xfId="0" applyFill="1"/>
    <xf numFmtId="164" fontId="1" fillId="4" borderId="0" xfId="0" applyNumberFormat="1" applyFont="1" applyFill="1"/>
    <xf numFmtId="0" fontId="1" fillId="0" borderId="0" xfId="0" applyFont="1" applyAlignment="1">
      <alignment wrapText="1"/>
    </xf>
    <xf numFmtId="0" fontId="23" fillId="0" borderId="13" xfId="120" applyFont="1" applyBorder="1" applyAlignment="1" applyProtection="1">
      <alignment horizontal="center" vertical="center"/>
      <protection hidden="1"/>
    </xf>
    <xf numFmtId="3" fontId="23" fillId="0" borderId="3" xfId="120" applyNumberFormat="1" applyFont="1" applyBorder="1" applyAlignment="1" applyProtection="1">
      <alignment horizontal="center" vertical="center" wrapText="1"/>
      <protection hidden="1"/>
    </xf>
    <xf numFmtId="0" fontId="23" fillId="0" borderId="3" xfId="120" applyFont="1" applyBorder="1" applyAlignment="1" applyProtection="1">
      <alignment horizontal="center" vertical="center" wrapText="1"/>
      <protection hidden="1"/>
    </xf>
    <xf numFmtId="0" fontId="23" fillId="7" borderId="3" xfId="120" applyFont="1" applyFill="1" applyBorder="1" applyAlignment="1" applyProtection="1">
      <alignment horizontal="center" vertical="center"/>
      <protection hidden="1"/>
    </xf>
    <xf numFmtId="0" fontId="3" fillId="9" borderId="13" xfId="120" applyFont="1" applyFill="1" applyBorder="1" applyAlignment="1" applyProtection="1">
      <alignment vertical="center"/>
      <protection hidden="1"/>
    </xf>
    <xf numFmtId="3" fontId="3" fillId="9" borderId="3" xfId="120" applyNumberFormat="1" applyFont="1" applyFill="1" applyBorder="1" applyAlignment="1" applyProtection="1">
      <alignment horizontal="center" vertical="center" wrapText="1"/>
      <protection hidden="1"/>
    </xf>
    <xf numFmtId="0" fontId="3" fillId="9" borderId="3" xfId="120" applyFont="1" applyFill="1" applyBorder="1" applyAlignment="1" applyProtection="1">
      <alignment horizontal="center" vertical="center" wrapText="1"/>
      <protection hidden="1"/>
    </xf>
    <xf numFmtId="0" fontId="1" fillId="7" borderId="3" xfId="120" applyFont="1" applyFill="1" applyBorder="1" applyAlignment="1" applyProtection="1">
      <alignment horizontal="center" vertical="center" wrapText="1"/>
      <protection hidden="1"/>
    </xf>
    <xf numFmtId="2" fontId="3" fillId="8" borderId="12" xfId="27" applyNumberFormat="1" applyFont="1" applyFill="1" applyBorder="1" applyAlignment="1" applyProtection="1">
      <alignment horizontal="center" vertical="center" wrapText="1"/>
      <protection hidden="1"/>
    </xf>
    <xf numFmtId="0" fontId="2" fillId="10" borderId="13" xfId="120" applyFill="1" applyBorder="1" applyAlignment="1" applyProtection="1">
      <alignment horizontal="center"/>
      <protection hidden="1"/>
    </xf>
    <xf numFmtId="166" fontId="2" fillId="10" borderId="3" xfId="212" applyNumberFormat="1" applyFont="1" applyFill="1" applyBorder="1" applyAlignment="1" applyProtection="1">
      <alignment horizontal="center"/>
      <protection hidden="1"/>
    </xf>
    <xf numFmtId="3" fontId="2" fillId="10" borderId="3" xfId="212" applyNumberFormat="1" applyFont="1" applyFill="1" applyBorder="1" applyAlignment="1" applyProtection="1">
      <alignment horizontal="center"/>
      <protection hidden="1"/>
    </xf>
    <xf numFmtId="165" fontId="2" fillId="7" borderId="2" xfId="213" applyNumberFormat="1" applyFont="1" applyFill="1" applyBorder="1" applyAlignment="1" applyProtection="1">
      <alignment horizontal="center"/>
      <protection hidden="1"/>
    </xf>
    <xf numFmtId="165" fontId="25" fillId="11" borderId="10" xfId="213" applyNumberFormat="1" applyFont="1" applyFill="1" applyBorder="1" applyAlignment="1" applyProtection="1">
      <alignment horizontal="center"/>
      <protection hidden="1"/>
    </xf>
    <xf numFmtId="0" fontId="26" fillId="0" borderId="8" xfId="27" applyFont="1" applyBorder="1" applyAlignment="1" applyProtection="1">
      <alignment vertical="center" wrapText="1"/>
      <protection hidden="1"/>
    </xf>
    <xf numFmtId="3" fontId="2" fillId="0" borderId="3" xfId="212" applyNumberFormat="1" applyFont="1" applyFill="1" applyBorder="1" applyAlignment="1" applyProtection="1">
      <alignment horizontal="center"/>
      <protection hidden="1"/>
    </xf>
    <xf numFmtId="165" fontId="1" fillId="0" borderId="22" xfId="213" applyNumberFormat="1" applyFont="1" applyFill="1" applyBorder="1" applyAlignment="1" applyProtection="1">
      <alignment horizontal="center"/>
      <protection hidden="1"/>
    </xf>
    <xf numFmtId="166" fontId="2" fillId="0" borderId="3" xfId="212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left" vertical="center"/>
      <protection hidden="1"/>
    </xf>
    <xf numFmtId="165" fontId="3" fillId="5" borderId="0" xfId="0" applyNumberFormat="1" applyFont="1" applyFill="1" applyAlignment="1" applyProtection="1">
      <alignment vertical="center"/>
      <protection hidden="1"/>
    </xf>
    <xf numFmtId="0" fontId="2" fillId="5" borderId="0" xfId="120" applyFill="1" applyProtection="1">
      <protection hidden="1"/>
    </xf>
    <xf numFmtId="0" fontId="2" fillId="0" borderId="0" xfId="120" applyProtection="1">
      <protection hidden="1"/>
    </xf>
    <xf numFmtId="0" fontId="0" fillId="0" borderId="0" xfId="0" applyProtection="1">
      <protection hidden="1"/>
    </xf>
    <xf numFmtId="0" fontId="24" fillId="0" borderId="0" xfId="0" applyFont="1" applyProtection="1">
      <protection hidden="1"/>
    </xf>
    <xf numFmtId="3" fontId="24" fillId="0" borderId="0" xfId="0" applyNumberFormat="1" applyFont="1" applyProtection="1">
      <protection hidden="1"/>
    </xf>
    <xf numFmtId="0" fontId="2" fillId="0" borderId="0" xfId="120" applyAlignment="1" applyProtection="1">
      <alignment horizontal="center" vertical="center"/>
      <protection hidden="1"/>
    </xf>
    <xf numFmtId="0" fontId="2" fillId="12" borderId="0" xfId="120" applyFill="1" applyProtection="1">
      <protection hidden="1"/>
    </xf>
    <xf numFmtId="0" fontId="3" fillId="9" borderId="15" xfId="120" applyFont="1" applyFill="1" applyBorder="1" applyAlignment="1" applyProtection="1">
      <alignment horizontal="center" vertical="center"/>
      <protection hidden="1"/>
    </xf>
    <xf numFmtId="0" fontId="2" fillId="0" borderId="6" xfId="120" applyBorder="1" applyProtection="1">
      <protection hidden="1"/>
    </xf>
    <xf numFmtId="0" fontId="2" fillId="0" borderId="0" xfId="120" applyAlignment="1" applyProtection="1">
      <alignment horizontal="center"/>
      <protection hidden="1"/>
    </xf>
    <xf numFmtId="0" fontId="3" fillId="0" borderId="7" xfId="120" applyFont="1" applyBorder="1" applyAlignment="1" applyProtection="1">
      <alignment horizontal="center" vertical="center"/>
      <protection hidden="1"/>
    </xf>
    <xf numFmtId="0" fontId="2" fillId="0" borderId="7" xfId="120" applyBorder="1" applyProtection="1">
      <protection hidden="1"/>
    </xf>
    <xf numFmtId="3" fontId="2" fillId="0" borderId="0" xfId="214" applyNumberFormat="1" applyFont="1" applyFill="1" applyBorder="1" applyAlignment="1" applyProtection="1">
      <alignment horizontal="center"/>
      <protection hidden="1"/>
    </xf>
    <xf numFmtId="3" fontId="2" fillId="0" borderId="6" xfId="120" applyNumberFormat="1" applyBorder="1" applyProtection="1">
      <protection hidden="1"/>
    </xf>
    <xf numFmtId="3" fontId="2" fillId="0" borderId="0" xfId="120" applyNumberFormat="1" applyProtection="1">
      <protection hidden="1"/>
    </xf>
    <xf numFmtId="3" fontId="2" fillId="0" borderId="7" xfId="120" applyNumberFormat="1" applyBorder="1" applyProtection="1">
      <protection hidden="1"/>
    </xf>
    <xf numFmtId="164" fontId="2" fillId="0" borderId="0" xfId="214" applyNumberFormat="1" applyFont="1" applyFill="1" applyBorder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3" fontId="2" fillId="0" borderId="8" xfId="120" applyNumberFormat="1" applyBorder="1" applyProtection="1">
      <protection hidden="1"/>
    </xf>
    <xf numFmtId="9" fontId="25" fillId="0" borderId="14" xfId="0" applyNumberFormat="1" applyFont="1" applyBorder="1" applyAlignment="1" applyProtection="1">
      <alignment horizontal="center"/>
      <protection hidden="1"/>
    </xf>
    <xf numFmtId="0" fontId="25" fillId="0" borderId="14" xfId="0" applyFont="1" applyBorder="1" applyProtection="1">
      <protection hidden="1"/>
    </xf>
    <xf numFmtId="0" fontId="24" fillId="0" borderId="5" xfId="0" applyFont="1" applyBorder="1" applyProtection="1">
      <protection hidden="1"/>
    </xf>
    <xf numFmtId="0" fontId="28" fillId="0" borderId="0" xfId="0" applyFont="1" applyProtection="1">
      <protection hidden="1"/>
    </xf>
    <xf numFmtId="165" fontId="24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2" fontId="0" fillId="0" borderId="0" xfId="0" applyNumberFormat="1"/>
    <xf numFmtId="0" fontId="3" fillId="9" borderId="3" xfId="0" applyFont="1" applyFill="1" applyBorder="1" applyAlignment="1">
      <alignment horizontal="center" wrapText="1"/>
    </xf>
    <xf numFmtId="10" fontId="3" fillId="9" borderId="3" xfId="214" applyNumberFormat="1" applyFont="1" applyFill="1" applyBorder="1" applyAlignment="1" applyProtection="1">
      <alignment horizontal="center" wrapText="1"/>
    </xf>
    <xf numFmtId="0" fontId="0" fillId="13" borderId="3" xfId="0" applyFill="1" applyBorder="1" applyAlignment="1">
      <alignment horizontal="center"/>
    </xf>
    <xf numFmtId="10" fontId="0" fillId="14" borderId="3" xfId="214" applyNumberFormat="1" applyFont="1" applyFill="1" applyBorder="1" applyAlignment="1" applyProtection="1">
      <alignment horizontal="center"/>
    </xf>
    <xf numFmtId="3" fontId="0" fillId="15" borderId="3" xfId="0" applyNumberFormat="1" applyFill="1" applyBorder="1" applyAlignment="1">
      <alignment horizontal="center"/>
    </xf>
    <xf numFmtId="43" fontId="0" fillId="0" borderId="3" xfId="212" applyFont="1" applyBorder="1" applyProtection="1"/>
    <xf numFmtId="0" fontId="0" fillId="15" borderId="3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10" fontId="0" fillId="0" borderId="0" xfId="214" applyNumberFormat="1" applyFont="1" applyProtection="1"/>
    <xf numFmtId="0" fontId="3" fillId="9" borderId="4" xfId="0" applyFont="1" applyFill="1" applyBorder="1" applyAlignment="1">
      <alignment horizontal="left" wrapText="1"/>
    </xf>
    <xf numFmtId="10" fontId="0" fillId="0" borderId="0" xfId="214" applyNumberFormat="1" applyFont="1" applyAlignment="1" applyProtection="1">
      <alignment wrapText="1"/>
    </xf>
    <xf numFmtId="0" fontId="3" fillId="9" borderId="2" xfId="0" applyFont="1" applyFill="1" applyBorder="1" applyAlignment="1">
      <alignment horizontal="center" wrapText="1"/>
    </xf>
    <xf numFmtId="0" fontId="0" fillId="14" borderId="3" xfId="0" applyFill="1" applyBorder="1" applyAlignment="1">
      <alignment wrapText="1"/>
    </xf>
    <xf numFmtId="10" fontId="0" fillId="14" borderId="3" xfId="214" applyNumberFormat="1" applyFont="1" applyFill="1" applyBorder="1" applyProtection="1">
      <protection locked="0"/>
    </xf>
    <xf numFmtId="167" fontId="0" fillId="0" borderId="3" xfId="212" applyNumberFormat="1" applyFont="1" applyBorder="1" applyProtection="1"/>
    <xf numFmtId="44" fontId="0" fillId="0" borderId="3" xfId="213" applyFont="1" applyBorder="1" applyProtection="1"/>
    <xf numFmtId="44" fontId="0" fillId="17" borderId="3" xfId="213" applyFont="1" applyFill="1" applyBorder="1" applyProtection="1"/>
    <xf numFmtId="10" fontId="0" fillId="0" borderId="0" xfId="214" applyNumberFormat="1" applyFont="1" applyFill="1" applyBorder="1" applyProtection="1"/>
    <xf numFmtId="0" fontId="0" fillId="0" borderId="0" xfId="0" applyAlignment="1" applyProtection="1">
      <alignment wrapText="1"/>
      <protection locked="0"/>
    </xf>
    <xf numFmtId="10" fontId="0" fillId="0" borderId="0" xfId="214" applyNumberFormat="1" applyFont="1" applyProtection="1">
      <protection locked="0"/>
    </xf>
    <xf numFmtId="0" fontId="1" fillId="15" borderId="3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8" borderId="0" xfId="0" applyFont="1" applyFill="1"/>
    <xf numFmtId="0" fontId="0" fillId="18" borderId="0" xfId="0" applyFill="1"/>
    <xf numFmtId="164" fontId="1" fillId="18" borderId="0" xfId="0" applyNumberFormat="1" applyFont="1" applyFill="1"/>
    <xf numFmtId="0" fontId="26" fillId="0" borderId="0" xfId="0" applyFont="1"/>
    <xf numFmtId="0" fontId="23" fillId="18" borderId="0" xfId="0" applyFont="1" applyFill="1"/>
    <xf numFmtId="164" fontId="0" fillId="19" borderId="23" xfId="0" applyNumberFormat="1" applyFill="1" applyBorder="1"/>
    <xf numFmtId="0" fontId="0" fillId="6" borderId="0" xfId="0" applyFill="1" applyAlignment="1">
      <alignment vertical="center"/>
    </xf>
    <xf numFmtId="165" fontId="0" fillId="6" borderId="0" xfId="0" applyNumberFormat="1" applyFill="1" applyAlignment="1">
      <alignment horizontal="right" vertical="center"/>
    </xf>
    <xf numFmtId="2" fontId="29" fillId="0" borderId="0" xfId="0" applyNumberFormat="1" applyFont="1"/>
    <xf numFmtId="167" fontId="1" fillId="0" borderId="3" xfId="212" applyNumberFormat="1" applyFont="1" applyBorder="1" applyProtection="1"/>
    <xf numFmtId="44" fontId="1" fillId="17" borderId="3" xfId="213" applyFont="1" applyFill="1" applyBorder="1" applyProtection="1"/>
    <xf numFmtId="0" fontId="3" fillId="0" borderId="0" xfId="0" applyFont="1" applyAlignment="1">
      <alignment wrapText="1"/>
    </xf>
    <xf numFmtId="0" fontId="25" fillId="0" borderId="0" xfId="0" applyFont="1" applyAlignment="1">
      <alignment wrapText="1"/>
    </xf>
    <xf numFmtId="3" fontId="18" fillId="0" borderId="0" xfId="0" applyNumberFormat="1" applyFont="1"/>
    <xf numFmtId="0" fontId="24" fillId="0" borderId="0" xfId="0" applyFont="1" applyAlignment="1" applyProtection="1">
      <alignment horizontal="center"/>
      <protection hidden="1"/>
    </xf>
    <xf numFmtId="0" fontId="0" fillId="4" borderId="0" xfId="0" applyFill="1" applyAlignment="1">
      <alignment wrapText="1"/>
    </xf>
    <xf numFmtId="0" fontId="0" fillId="18" borderId="0" xfId="0" applyFill="1" applyAlignment="1">
      <alignment wrapText="1"/>
    </xf>
    <xf numFmtId="165" fontId="0" fillId="0" borderId="0" xfId="0" applyNumberFormat="1" applyAlignment="1">
      <alignment wrapText="1"/>
    </xf>
    <xf numFmtId="0" fontId="3" fillId="9" borderId="16" xfId="120" applyFont="1" applyFill="1" applyBorder="1" applyAlignment="1" applyProtection="1">
      <alignment horizontal="center" vertical="center"/>
      <protection hidden="1"/>
    </xf>
    <xf numFmtId="0" fontId="3" fillId="9" borderId="17" xfId="120" applyFont="1" applyFill="1" applyBorder="1" applyAlignment="1" applyProtection="1">
      <alignment horizontal="center" vertical="center"/>
      <protection hidden="1"/>
    </xf>
    <xf numFmtId="3" fontId="30" fillId="0" borderId="0" xfId="0" applyNumberFormat="1" applyFont="1"/>
    <xf numFmtId="168" fontId="0" fillId="0" borderId="0" xfId="0" applyNumberFormat="1"/>
    <xf numFmtId="44" fontId="0" fillId="0" borderId="0" xfId="213" applyFont="1"/>
    <xf numFmtId="0" fontId="31" fillId="20" borderId="0" xfId="0" applyFont="1" applyFill="1" applyAlignment="1">
      <alignment vertical="top" wrapText="1"/>
    </xf>
    <xf numFmtId="18" fontId="0" fillId="0" borderId="0" xfId="0" applyNumberFormat="1"/>
    <xf numFmtId="8" fontId="1" fillId="0" borderId="0" xfId="0" applyNumberFormat="1" applyFont="1"/>
    <xf numFmtId="0" fontId="32" fillId="0" borderId="28" xfId="215" applyFill="1" applyBorder="1" applyAlignment="1" applyProtection="1"/>
    <xf numFmtId="0" fontId="0" fillId="22" borderId="0" xfId="0" applyFill="1"/>
    <xf numFmtId="0" fontId="0" fillId="22" borderId="29" xfId="217" applyFont="1" applyFill="1" applyBorder="1"/>
    <xf numFmtId="0" fontId="0" fillId="22" borderId="0" xfId="217" applyFont="1" applyFill="1" applyBorder="1"/>
    <xf numFmtId="0" fontId="0" fillId="22" borderId="0" xfId="217" applyFont="1" applyFill="1" applyBorder="1" applyAlignment="1">
      <alignment vertical="top"/>
    </xf>
    <xf numFmtId="0" fontId="0" fillId="22" borderId="0" xfId="0" applyFill="1" applyAlignment="1">
      <alignment vertical="top" wrapText="1"/>
    </xf>
    <xf numFmtId="0" fontId="0" fillId="21" borderId="26" xfId="217" applyFont="1" applyAlignment="1">
      <alignment vertical="top"/>
    </xf>
    <xf numFmtId="0" fontId="0" fillId="21" borderId="26" xfId="217" applyFont="1"/>
    <xf numFmtId="0" fontId="33" fillId="0" borderId="6" xfId="216" applyBorder="1" applyProtection="1"/>
    <xf numFmtId="0" fontId="34" fillId="5" borderId="3" xfId="0" applyFont="1" applyFill="1" applyBorder="1" applyAlignment="1">
      <alignment horizontal="right"/>
    </xf>
    <xf numFmtId="0" fontId="34" fillId="5" borderId="24" xfId="0" applyFont="1" applyFill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23" borderId="30" xfId="0" applyFill="1" applyBorder="1"/>
    <xf numFmtId="6" fontId="35" fillId="23" borderId="4" xfId="0" applyNumberFormat="1" applyFont="1" applyFill="1" applyBorder="1"/>
    <xf numFmtId="0" fontId="0" fillId="0" borderId="31" xfId="0" applyBorder="1"/>
    <xf numFmtId="0" fontId="0" fillId="0" borderId="27" xfId="0" applyBorder="1"/>
    <xf numFmtId="0" fontId="0" fillId="23" borderId="0" xfId="0" applyFill="1"/>
    <xf numFmtId="0" fontId="0" fillId="22" borderId="7" xfId="0" applyFill="1" applyBorder="1"/>
    <xf numFmtId="0" fontId="0" fillId="23" borderId="13" xfId="0" applyFill="1" applyBorder="1"/>
    <xf numFmtId="0" fontId="0" fillId="24" borderId="24" xfId="0" applyFill="1" applyBorder="1"/>
    <xf numFmtId="0" fontId="0" fillId="22" borderId="31" xfId="0" applyFill="1" applyBorder="1"/>
    <xf numFmtId="0" fontId="0" fillId="22" borderId="27" xfId="0" applyFill="1" applyBorder="1"/>
    <xf numFmtId="0" fontId="0" fillId="24" borderId="3" xfId="0" applyFill="1" applyBorder="1"/>
    <xf numFmtId="2" fontId="0" fillId="24" borderId="3" xfId="0" applyNumberFormat="1" applyFill="1" applyBorder="1"/>
    <xf numFmtId="0" fontId="34" fillId="5" borderId="0" xfId="0" applyFont="1" applyFill="1"/>
    <xf numFmtId="0" fontId="0" fillId="5" borderId="0" xfId="0" applyFill="1"/>
    <xf numFmtId="0" fontId="0" fillId="23" borderId="24" xfId="0" applyFill="1" applyBorder="1"/>
    <xf numFmtId="0" fontId="0" fillId="23" borderId="3" xfId="0" applyFill="1" applyBorder="1"/>
    <xf numFmtId="164" fontId="0" fillId="25" borderId="3" xfId="213" applyNumberFormat="1" applyFont="1" applyFill="1" applyBorder="1"/>
    <xf numFmtId="0" fontId="0" fillId="23" borderId="32" xfId="0" applyFill="1" applyBorder="1"/>
    <xf numFmtId="1" fontId="0" fillId="25" borderId="3" xfId="0" applyNumberFormat="1" applyFill="1" applyBorder="1"/>
    <xf numFmtId="165" fontId="0" fillId="25" borderId="3" xfId="213" applyNumberFormat="1" applyFont="1" applyFill="1" applyBorder="1"/>
    <xf numFmtId="0" fontId="34" fillId="5" borderId="31" xfId="0" applyFont="1" applyFill="1" applyBorder="1"/>
    <xf numFmtId="0" fontId="0" fillId="5" borderId="33" xfId="0" applyFill="1" applyBorder="1"/>
    <xf numFmtId="0" fontId="25" fillId="23" borderId="34" xfId="0" applyFont="1" applyFill="1" applyBorder="1"/>
    <xf numFmtId="0" fontId="0" fillId="24" borderId="33" xfId="0" applyFill="1" applyBorder="1" applyAlignment="1">
      <alignment horizontal="right"/>
    </xf>
    <xf numFmtId="0" fontId="0" fillId="23" borderId="34" xfId="0" applyFill="1" applyBorder="1"/>
    <xf numFmtId="0" fontId="0" fillId="23" borderId="2" xfId="0" applyFill="1" applyBorder="1"/>
    <xf numFmtId="6" fontId="0" fillId="25" borderId="3" xfId="0" applyNumberFormat="1" applyFill="1" applyBorder="1"/>
    <xf numFmtId="0" fontId="0" fillId="23" borderId="33" xfId="0" applyFill="1" applyBorder="1"/>
    <xf numFmtId="6" fontId="35" fillId="23" borderId="3" xfId="0" applyNumberFormat="1" applyFont="1" applyFill="1" applyBorder="1"/>
    <xf numFmtId="0" fontId="1" fillId="23" borderId="13" xfId="0" applyFont="1" applyFill="1" applyBorder="1"/>
    <xf numFmtId="6" fontId="1" fillId="23" borderId="3" xfId="0" applyNumberFormat="1" applyFont="1" applyFill="1" applyBorder="1"/>
    <xf numFmtId="0" fontId="0" fillId="23" borderId="35" xfId="0" applyFill="1" applyBorder="1"/>
    <xf numFmtId="0" fontId="1" fillId="23" borderId="24" xfId="0" applyFont="1" applyFill="1" applyBorder="1"/>
    <xf numFmtId="0" fontId="34" fillId="5" borderId="3" xfId="0" applyFont="1" applyFill="1" applyBorder="1"/>
    <xf numFmtId="0" fontId="35" fillId="24" borderId="3" xfId="0" applyFont="1" applyFill="1" applyBorder="1"/>
    <xf numFmtId="165" fontId="18" fillId="24" borderId="3" xfId="213" applyNumberFormat="1" applyFont="1" applyFill="1" applyBorder="1"/>
    <xf numFmtId="1" fontId="35" fillId="24" borderId="3" xfId="0" applyNumberFormat="1" applyFont="1" applyFill="1" applyBorder="1"/>
    <xf numFmtId="165" fontId="0" fillId="23" borderId="3" xfId="0" applyNumberFormat="1" applyFill="1" applyBorder="1"/>
    <xf numFmtId="169" fontId="35" fillId="23" borderId="32" xfId="213" applyNumberFormat="1" applyFont="1" applyFill="1" applyBorder="1"/>
    <xf numFmtId="43" fontId="35" fillId="23" borderId="24" xfId="212" applyFont="1" applyFill="1" applyBorder="1"/>
    <xf numFmtId="6" fontId="0" fillId="23" borderId="4" xfId="0" applyNumberFormat="1" applyFill="1" applyBorder="1"/>
    <xf numFmtId="0" fontId="0" fillId="23" borderId="27" xfId="0" applyFill="1" applyBorder="1"/>
    <xf numFmtId="6" fontId="0" fillId="23" borderId="3" xfId="0" applyNumberFormat="1" applyFill="1" applyBorder="1"/>
    <xf numFmtId="0" fontId="0" fillId="0" borderId="0" xfId="0" applyAlignment="1">
      <alignment horizontal="left" wrapText="1"/>
    </xf>
    <xf numFmtId="0" fontId="23" fillId="0" borderId="9" xfId="120" applyFont="1" applyBorder="1" applyAlignment="1" applyProtection="1">
      <alignment horizontal="center" vertical="center"/>
      <protection hidden="1"/>
    </xf>
    <xf numFmtId="0" fontId="23" fillId="0" borderId="18" xfId="120" applyFont="1" applyBorder="1" applyAlignment="1" applyProtection="1">
      <alignment horizontal="center" vertical="center"/>
      <protection hidden="1"/>
    </xf>
    <xf numFmtId="0" fontId="23" fillId="0" borderId="19" xfId="120" applyFont="1" applyBorder="1" applyAlignment="1" applyProtection="1">
      <alignment horizontal="center" vertical="center"/>
      <protection hidden="1"/>
    </xf>
    <xf numFmtId="2" fontId="3" fillId="8" borderId="20" xfId="27" applyNumberFormat="1" applyFont="1" applyFill="1" applyBorder="1" applyAlignment="1" applyProtection="1">
      <alignment horizontal="center" vertical="center" wrapText="1"/>
      <protection hidden="1"/>
    </xf>
    <xf numFmtId="2" fontId="3" fillId="8" borderId="21" xfId="27" applyNumberFormat="1" applyFont="1" applyFill="1" applyBorder="1" applyAlignment="1" applyProtection="1">
      <alignment horizontal="center" vertical="center" wrapText="1"/>
      <protection hidden="1"/>
    </xf>
    <xf numFmtId="0" fontId="3" fillId="9" borderId="16" xfId="120" applyFont="1" applyFill="1" applyBorder="1" applyAlignment="1" applyProtection="1">
      <alignment horizontal="center" vertical="center"/>
      <protection hidden="1"/>
    </xf>
    <xf numFmtId="0" fontId="3" fillId="9" borderId="17" xfId="120" applyFont="1" applyFill="1" applyBorder="1" applyAlignment="1" applyProtection="1">
      <alignment horizontal="center" vertical="center"/>
      <protection hidden="1"/>
    </xf>
    <xf numFmtId="0" fontId="0" fillId="15" borderId="3" xfId="0" applyFont="1" applyFill="1" applyBorder="1" applyAlignment="1">
      <alignment horizontal="center"/>
    </xf>
    <xf numFmtId="0" fontId="0" fillId="13" borderId="3" xfId="0" applyFont="1" applyFill="1" applyBorder="1" applyAlignment="1">
      <alignment horizontal="center"/>
    </xf>
  </cellXfs>
  <cellStyles count="218">
    <cellStyle name="Bad 2" xfId="111" xr:uid="{E2DEAF12-ABA4-43B8-9363-8B244CAB7F17}"/>
    <cellStyle name="Comma" xfId="212" builtinId="3"/>
    <cellStyle name="Comma 10" xfId="208" xr:uid="{DA6BF319-D87B-44FC-A0AD-5FC804484F61}"/>
    <cellStyle name="Comma 11" xfId="2" xr:uid="{987E2736-3E2C-45E5-A3E1-F61CEC8462E9}"/>
    <cellStyle name="Comma 2" xfId="11" xr:uid="{D732C5AA-75FA-4917-8E20-2C4F17BB726E}"/>
    <cellStyle name="Comma 2 2" xfId="12" xr:uid="{3EA190C1-02E4-4D5A-B4E0-68D299176004}"/>
    <cellStyle name="Comma 2 2 2" xfId="153" xr:uid="{E8E5CF8B-A74A-4D83-8FC9-85DDAC86C9EE}"/>
    <cellStyle name="Comma 2 3" xfId="17" xr:uid="{AFE5AAEA-61F3-481B-ADB9-223B7B351FBF}"/>
    <cellStyle name="Comma 2 4" xfId="32" xr:uid="{36BF0505-2D7E-4537-A945-B0BF7CE33533}"/>
    <cellStyle name="Comma 2 5" xfId="44" xr:uid="{7BCFC6D4-9594-4BFD-83F9-BF45D26D6AD8}"/>
    <cellStyle name="Comma 2 5 2" xfId="162" xr:uid="{5E70134A-E6E3-4087-ABCE-5F3E27B7871F}"/>
    <cellStyle name="Comma 2 6" xfId="152" xr:uid="{C5B9F8E5-6BB9-4A14-8841-85DCED9E934F}"/>
    <cellStyle name="Comma 3" xfId="16" xr:uid="{F162D60A-4FEE-475E-BF83-C875215462DA}"/>
    <cellStyle name="Comma 3 2" xfId="45" xr:uid="{B3B1714D-443C-4552-9463-99B384312422}"/>
    <cellStyle name="Comma 3 2 2" xfId="163" xr:uid="{F8655213-CA70-4274-80B6-D8C4E2BC43E4}"/>
    <cellStyle name="Comma 4" xfId="18" xr:uid="{E528E6B4-6F4A-45C1-991C-1C48129ADE87}"/>
    <cellStyle name="Comma 4 2" xfId="46" xr:uid="{89A5E375-C393-4302-A17E-5AAC3AAF564A}"/>
    <cellStyle name="Comma 5" xfId="19" xr:uid="{3391C625-656F-462C-BBBF-3303E6B06065}"/>
    <cellStyle name="Comma 5 2" xfId="105" xr:uid="{AFBCEF53-975A-4274-BDD6-19CB74DCD27D}"/>
    <cellStyle name="Comma 6" xfId="30" xr:uid="{B3FCE6BC-79DB-4BD8-AC86-6F9CB1EDA76B}"/>
    <cellStyle name="Comma 6 2" xfId="110" xr:uid="{8A8692BC-E121-49CA-9267-0CFFFEADA0D1}"/>
    <cellStyle name="Comma 6 2 2" xfId="173" xr:uid="{BE323518-B3E0-4472-BF6A-F0B554BD3AE5}"/>
    <cellStyle name="Comma 6 3" xfId="161" xr:uid="{E375411B-6C09-4A15-8540-FB0AE6D90AAB}"/>
    <cellStyle name="Comma 7" xfId="102" xr:uid="{2F664BE5-ECC3-4E69-8B81-FD0F1E4EB474}"/>
    <cellStyle name="Comma 8" xfId="114" xr:uid="{1F937F10-66C0-4339-A99E-BF1B52BEC1EF}"/>
    <cellStyle name="Comma 8 2" xfId="175" xr:uid="{4EA1364F-1D9D-47FB-858B-653123D9F2C3}"/>
    <cellStyle name="Comma 9" xfId="121" xr:uid="{8A6EFE86-21AB-4006-A452-AAB416C6AE7B}"/>
    <cellStyle name="Comma 9 2" xfId="128" xr:uid="{D93274D4-466F-4EB1-B568-4B7AD867B32A}"/>
    <cellStyle name="Comma 9 2 2" xfId="184" xr:uid="{F076FEA5-77F7-4298-B9D2-ACAC75365459}"/>
    <cellStyle name="Comma 9 3" xfId="142" xr:uid="{237481B4-8048-4AAF-9034-711D981ED190}"/>
    <cellStyle name="Comma 9 3 2" xfId="198" xr:uid="{2DAFF413-AD0B-44E9-9C97-0E634EB3B808}"/>
    <cellStyle name="Comma 9 4" xfId="147" xr:uid="{F5B091F1-2D07-4A14-9987-44C8C3BA9021}"/>
    <cellStyle name="Comma 9 4 2" xfId="203" xr:uid="{0F3ACE80-5A57-4B8A-A073-E8398C0B3FB8}"/>
    <cellStyle name="Comma 9 5" xfId="179" xr:uid="{E9819F49-30F8-451B-A624-CEF1C77E54A5}"/>
    <cellStyle name="Comma0" xfId="33" xr:uid="{6FFD9371-6BAD-41D2-B252-6D68D401D27C}"/>
    <cellStyle name="Currency" xfId="213" builtinId="4"/>
    <cellStyle name="Currency 10" xfId="3" xr:uid="{DFA283CA-4087-46A3-8321-E329A110B11B}"/>
    <cellStyle name="Currency 2" xfId="6" xr:uid="{F521E170-6FA0-4F55-BC94-02118C05FF52}"/>
    <cellStyle name="Currency 2 10" xfId="47" xr:uid="{A6D1A2D7-2AED-4622-AD35-9CA14E8981AE}"/>
    <cellStyle name="Currency 2 11" xfId="48" xr:uid="{F3560CFC-CC95-42A1-A07D-5EFC77AA4FFD}"/>
    <cellStyle name="Currency 2 12" xfId="49" xr:uid="{F0B47D8B-ABB7-4B4F-AFC4-E48B472C04C2}"/>
    <cellStyle name="Currency 2 13" xfId="50" xr:uid="{592ABA1D-717B-4AE6-917B-981305EEF1E2}"/>
    <cellStyle name="Currency 2 14" xfId="51" xr:uid="{A464753B-AF45-409B-AA04-9C2151D82152}"/>
    <cellStyle name="Currency 2 15" xfId="52" xr:uid="{B9D80CF1-7785-4E0E-8935-B649F2400505}"/>
    <cellStyle name="Currency 2 16" xfId="53" xr:uid="{BD564241-5C1C-49B8-9B68-4B10B56F7199}"/>
    <cellStyle name="Currency 2 17" xfId="104" xr:uid="{898C122B-06E2-41DA-9DEA-691867206DF5}"/>
    <cellStyle name="Currency 2 17 2" xfId="169" xr:uid="{4C909D11-CF31-4173-AF3F-6C698436FD1C}"/>
    <cellStyle name="Currency 2 18" xfId="43" xr:uid="{9E8B17CC-328B-4DF9-869B-2FE413677623}"/>
    <cellStyle name="Currency 2 2" xfId="54" xr:uid="{D49359F6-177C-4B51-B6A9-52F48720DFF8}"/>
    <cellStyle name="Currency 2 3" xfId="55" xr:uid="{3527A637-7A29-4EFD-B057-B544F92B37F8}"/>
    <cellStyle name="Currency 2 4" xfId="56" xr:uid="{E27B4E32-067C-4E80-AC60-B93948C4A436}"/>
    <cellStyle name="Currency 2 5" xfId="57" xr:uid="{B72C8152-5AD8-48BE-9F51-94B55EB800CC}"/>
    <cellStyle name="Currency 2 6" xfId="58" xr:uid="{E72E1959-76CB-44D4-97BE-5F0653A87D9B}"/>
    <cellStyle name="Currency 2 7" xfId="59" xr:uid="{2CDB5AF7-F1D8-4C0D-80A2-15609D307759}"/>
    <cellStyle name="Currency 2 8" xfId="60" xr:uid="{59AC4085-FED0-45E8-A49B-9B5F3239B436}"/>
    <cellStyle name="Currency 2 9" xfId="61" xr:uid="{9C3EBCEA-F0B9-435C-B324-0418CCBB277E}"/>
    <cellStyle name="Currency 3" xfId="14" xr:uid="{012B5002-64D3-4355-AD53-6689B3527C17}"/>
    <cellStyle name="Currency 3 2" xfId="62" xr:uid="{93392A2B-A601-4CCF-8F20-9CF447EDC25F}"/>
    <cellStyle name="Currency 3 2 2" xfId="164" xr:uid="{84D098BB-EFE5-4A94-BE9E-4330015D5924}"/>
    <cellStyle name="Currency 4" xfId="20" xr:uid="{858F0B1C-B63E-436D-A21A-05F621647BB8}"/>
    <cellStyle name="Currency 4 2" xfId="63" xr:uid="{5F62C9F8-7457-4F6B-8C92-7A7C882A13E0}"/>
    <cellStyle name="Currency 5" xfId="29" xr:uid="{22EEDC4A-C547-431F-8E70-E87BEF734719}"/>
    <cellStyle name="Currency 5 2" xfId="160" xr:uid="{7D90CFD7-B264-4804-9385-8846F350174C}"/>
    <cellStyle name="Currency 6" xfId="100" xr:uid="{895FE212-1C0C-4FA4-BD25-AE7110E64B2C}"/>
    <cellStyle name="Currency 7" xfId="116" xr:uid="{2AE5B708-510A-43BF-8A51-EEC3B414A6CB}"/>
    <cellStyle name="Currency 7 2" xfId="177" xr:uid="{516A53DF-CB0E-44D5-9631-46F69EF3B162}"/>
    <cellStyle name="Currency 8" xfId="123" xr:uid="{7B4B6652-BD0A-47B9-9266-FFFDFC016154}"/>
    <cellStyle name="Currency 8 2" xfId="181" xr:uid="{C05D6A96-54D0-4B60-B7D8-0C7C9119E357}"/>
    <cellStyle name="Currency 9" xfId="143" xr:uid="{995483C1-B7B7-4DED-A359-873CA2139245}"/>
    <cellStyle name="Currency 9 2" xfId="199" xr:uid="{59A8C4D8-843C-4AF1-9B6B-A68DF372D9C7}"/>
    <cellStyle name="Currency0" xfId="34" xr:uid="{04150862-B8A8-49DB-B610-92CD97C7CD9F}"/>
    <cellStyle name="Date" xfId="35" xr:uid="{4CABC825-21CD-4724-9925-D3D8E2BC67B7}"/>
    <cellStyle name="Fixed" xfId="36" xr:uid="{0D6AEECF-9229-4195-B5AE-3E80A781B023}"/>
    <cellStyle name="Heading 1" xfId="215" builtinId="16"/>
    <cellStyle name="Heading 1 2" xfId="37" xr:uid="{274847C5-69C7-4AC9-B118-527FEFA388BC}"/>
    <cellStyle name="Heading 2 2" xfId="38" xr:uid="{C7E304F9-FA00-44BC-AB38-35CB538D0135}"/>
    <cellStyle name="Heading 4" xfId="216" builtinId="19"/>
    <cellStyle name="Hyperlink 2" xfId="106" xr:uid="{68C0B409-0337-4C95-A66D-A84DA9C28E12}"/>
    <cellStyle name="Hyperlink 2 2" xfId="125" xr:uid="{159EF12C-A1BD-4D63-AE6A-1F843E3B0DE9}"/>
    <cellStyle name="Hyperlink 3" xfId="124" xr:uid="{71EF5C12-2C2B-4D1D-9220-266DB9762E46}"/>
    <cellStyle name="Input 2" xfId="112" xr:uid="{B707D7DC-552E-4D34-BBEC-0E8A76BA5007}"/>
    <cellStyle name="Normal" xfId="0" builtinId="0"/>
    <cellStyle name="Normal 10" xfId="113" xr:uid="{CDD19B77-6574-4C2C-963B-5C47E02127C1}"/>
    <cellStyle name="Normal 10 2" xfId="129" xr:uid="{B7FCB1F6-37FB-4C9B-9D3A-A5D6BF777EA8}"/>
    <cellStyle name="Normal 10 2 2" xfId="134" xr:uid="{AA296B72-0AAF-4CF6-AD36-A9004D14E0C2}"/>
    <cellStyle name="Normal 10 2 2 2" xfId="190" xr:uid="{652A1BF8-C7F0-44BC-9A5A-0B91AF751A35}"/>
    <cellStyle name="Normal 10 2 3" xfId="138" xr:uid="{7528EF67-1679-470C-840A-CEFA47497BFB}"/>
    <cellStyle name="Normal 10 2 3 2" xfId="194" xr:uid="{0B9DD0D9-AC0F-46C3-A5FD-F0F1992D6DC3}"/>
    <cellStyle name="Normal 10 2 4" xfId="185" xr:uid="{F79CACE6-1B9A-4947-894B-3ADAD5B8A260}"/>
    <cellStyle name="Normal 10 2 5" xfId="206" xr:uid="{A1D01ED2-BF8B-4FCB-A7E8-B73CE5316151}"/>
    <cellStyle name="Normal 10 3" xfId="132" xr:uid="{A0D07B6C-31BD-405A-A442-888D11AE2912}"/>
    <cellStyle name="Normal 10 3 2" xfId="148" xr:uid="{33AB44AE-3B9A-444A-BAD0-35721F8619E3}"/>
    <cellStyle name="Normal 10 3 2 2" xfId="204" xr:uid="{58AA5300-96C9-4636-A029-358F59B94A4A}"/>
    <cellStyle name="Normal 10 3 3" xfId="188" xr:uid="{3E39B1E3-B86F-4055-9FBD-527EA06DC505}"/>
    <cellStyle name="Normal 10 4" xfId="135" xr:uid="{0BA7AA44-1A4E-4233-BA5B-2A10C8C67756}"/>
    <cellStyle name="Normal 10 4 2" xfId="191" xr:uid="{210EED86-BE5A-4E2B-9CE1-4C52D95FC3D2}"/>
    <cellStyle name="Normal 10 5" xfId="136" xr:uid="{65B56D5F-C1D1-4565-A458-562C3983D9F0}"/>
    <cellStyle name="Normal 10 5 2" xfId="192" xr:uid="{56B9955F-F41E-4B80-A1C5-9A4BB9670615}"/>
    <cellStyle name="Normal 10 6" xfId="174" xr:uid="{3A7F401F-F889-4875-BFAE-BCC12C2960B4}"/>
    <cellStyle name="Normal 11" xfId="120" xr:uid="{8E539251-E2E5-44C5-B6D0-619131D21492}"/>
    <cellStyle name="Normal 11 2" xfId="127" xr:uid="{156A29EF-8CDF-4790-A9D6-8478FEFE0A64}"/>
    <cellStyle name="Normal 11 2 2" xfId="139" xr:uid="{350972B9-2B32-4D23-8DB1-C13B993C1A02}"/>
    <cellStyle name="Normal 11 2 2 2" xfId="195" xr:uid="{4700A9D3-06A7-417F-8569-DB8659ACF71B}"/>
    <cellStyle name="Normal 11 2 3" xfId="183" xr:uid="{797E90CB-3A05-49EA-96B4-96B45891929F}"/>
    <cellStyle name="Normal 11 3" xfId="130" xr:uid="{5DE8B90D-1F6E-4AD4-9430-FB758C39B720}"/>
    <cellStyle name="Normal 11 3 2" xfId="186" xr:uid="{01849043-2E68-458D-8F60-5F07F381A350}"/>
    <cellStyle name="Normal 11 4" xfId="141" xr:uid="{4849C3D7-159C-497B-B025-72DF6AC478C2}"/>
    <cellStyle name="Normal 11 4 2" xfId="197" xr:uid="{B6448C26-77F5-4B9F-A1CB-CFEE60044BFB}"/>
    <cellStyle name="Normal 11 5" xfId="145" xr:uid="{F17AF851-3265-4F46-B0C0-23BC07054BA4}"/>
    <cellStyle name="Normal 11 5 2" xfId="201" xr:uid="{03B25E67-9C54-42DD-9451-0EE39B222DA8}"/>
    <cellStyle name="Normal 11 6" xfId="178" xr:uid="{DEDFF796-24DC-4F6F-9495-7EDFA085E8BA}"/>
    <cellStyle name="Normal 12" xfId="207" xr:uid="{DD9B0B56-8769-44DC-B54A-620A45AE1ECB}"/>
    <cellStyle name="Normal 13" xfId="209" xr:uid="{B438D644-DE78-4FC5-9639-E8A4AA08C532}"/>
    <cellStyle name="Normal 14" xfId="210" xr:uid="{05BAF813-65CB-4310-9927-4A4B33E7DF4A}"/>
    <cellStyle name="Normal 15" xfId="211" xr:uid="{6ABF73D6-221E-45AE-BEAE-1617B24B3591}"/>
    <cellStyle name="Normal 16" xfId="1" xr:uid="{0575E82D-FE14-47D7-8C48-8EE9105DFDCB}"/>
    <cellStyle name="Normal 2" xfId="5" xr:uid="{21D0CE62-4EEB-4C33-B56E-565D5936330C}"/>
    <cellStyle name="Normal 2 10" xfId="64" xr:uid="{D986AE26-92DF-42B0-99BE-80D5FF30B8F0}"/>
    <cellStyle name="Normal 2 11" xfId="65" xr:uid="{FDA238F9-04FB-4752-8459-7D87A19832CA}"/>
    <cellStyle name="Normal 2 12" xfId="66" xr:uid="{A19B630D-7771-465B-AB15-5116AD8F301A}"/>
    <cellStyle name="Normal 2 13" xfId="67" xr:uid="{3860955E-7E0B-485B-AB18-2C66E4005BE5}"/>
    <cellStyle name="Normal 2 14" xfId="68" xr:uid="{7357AB0B-141F-4C99-AAB6-FE236B212F6B}"/>
    <cellStyle name="Normal 2 15" xfId="69" xr:uid="{B81CAC31-8A68-4975-BD97-523D594E5933}"/>
    <cellStyle name="Normal 2 16" xfId="70" xr:uid="{81F92E95-CFBB-4573-BB8B-B0484AD2EF48}"/>
    <cellStyle name="Normal 2 17" xfId="103" xr:uid="{C5ABC44C-B991-47E6-8391-5AAD26CFDBC6}"/>
    <cellStyle name="Normal 2 17 2" xfId="168" xr:uid="{667EDCCF-CF6E-4187-87C6-BC4EAE32E09A}"/>
    <cellStyle name="Normal 2 18" xfId="41" xr:uid="{F53B7656-F569-4D14-837D-D87E4F7509F4}"/>
    <cellStyle name="Normal 2 19" xfId="117" xr:uid="{4BB1A72F-A7E4-40F8-84D5-2CBC782F0E70}"/>
    <cellStyle name="Normal 2 2" xfId="15" xr:uid="{5E9E555C-2050-4B67-9547-5D404DD3BA81}"/>
    <cellStyle name="Normal 2 2 2" xfId="21" xr:uid="{65681AD7-E9A8-42B5-A6A3-52F93405E276}"/>
    <cellStyle name="Normal 2 2 3" xfId="71" xr:uid="{A8414F69-4A8D-417E-B634-0DC9CAA17B4B}"/>
    <cellStyle name="Normal 2 2 4" xfId="155" xr:uid="{262EA985-8FB0-43DF-AE9C-ED1181CD94D9}"/>
    <cellStyle name="Normal 2 20" xfId="118" xr:uid="{CC30345C-4A48-43AF-8261-E54741F7BA91}"/>
    <cellStyle name="Normal 2 21" xfId="150" xr:uid="{B5DBD411-681F-4184-BBA1-05B93FED9E06}"/>
    <cellStyle name="Normal 2 3" xfId="22" xr:uid="{422ABA86-40DD-44AE-B3D8-615C58FE0488}"/>
    <cellStyle name="Normal 2 3 2" xfId="72" xr:uid="{18A2D713-2971-41DE-B231-3B7EA5E4F0EE}"/>
    <cellStyle name="Normal 2 3 3" xfId="156" xr:uid="{1083CFCB-948B-41F2-A514-C734A32844F3}"/>
    <cellStyle name="Normal 2 4" xfId="73" xr:uid="{A4BA4663-CC42-40DB-AFB4-08C7C7774859}"/>
    <cellStyle name="Normal 2 5" xfId="74" xr:uid="{3742D895-F8E6-4073-A77E-DA529B9690F5}"/>
    <cellStyle name="Normal 2 6" xfId="75" xr:uid="{BBA210AD-F0F1-4624-A825-3AD125EDEE82}"/>
    <cellStyle name="Normal 2 7" xfId="76" xr:uid="{B1778F45-4963-4AF9-B40E-7F7879582523}"/>
    <cellStyle name="Normal 2 8" xfId="77" xr:uid="{B7F5308E-97AF-4FCD-8172-575DCCDAA373}"/>
    <cellStyle name="Normal 2 9" xfId="78" xr:uid="{1DE2166E-726E-4CD3-92D7-A419DD34A3B0}"/>
    <cellStyle name="Normal 3" xfId="8" xr:uid="{AF81E57D-9E71-40CC-93CD-3F9488CA68ED}"/>
    <cellStyle name="Normal 3 10" xfId="79" xr:uid="{2818B2B1-18F5-471B-AFBD-87A0C5FDE41D}"/>
    <cellStyle name="Normal 3 11" xfId="80" xr:uid="{2163BF51-E5FB-4F58-9D8D-E222B14184A5}"/>
    <cellStyle name="Normal 3 12" xfId="81" xr:uid="{7E0C9D75-FA89-4011-9AA3-16D9DDA6A5FC}"/>
    <cellStyle name="Normal 3 13" xfId="82" xr:uid="{3570BCEE-9B15-49E4-95D0-88ADACE53BA0}"/>
    <cellStyle name="Normal 3 14" xfId="83" xr:uid="{53D956B4-50C1-4C5B-AF9D-0EC2E30451F7}"/>
    <cellStyle name="Normal 3 15" xfId="84" xr:uid="{D253E9E8-A05C-4D4C-B3BD-64926F02F5A9}"/>
    <cellStyle name="Normal 3 16" xfId="85" xr:uid="{8E2A0EFA-E2C9-4BF4-BA49-ECB725FAA696}"/>
    <cellStyle name="Normal 3 17" xfId="42" xr:uid="{4C486DC4-2D2B-4342-90FE-690250ACEB45}"/>
    <cellStyle name="Normal 3 2" xfId="13" xr:uid="{A34E086F-31B6-496A-9309-7E12CE71C5E6}"/>
    <cellStyle name="Normal 3 2 2" xfId="86" xr:uid="{56BAD70A-303D-401C-8769-01913659B25A}"/>
    <cellStyle name="Normal 3 2 3" xfId="154" xr:uid="{53BDB6A0-A87A-4E1E-B6A7-CA9F7CC64C2B}"/>
    <cellStyle name="Normal 3 3" xfId="31" xr:uid="{17EAE787-3E26-4245-89E9-A2FF6DC7168C}"/>
    <cellStyle name="Normal 3 3 2" xfId="87" xr:uid="{C464CEBB-D1B4-43F6-AD75-3D23A17E9B3A}"/>
    <cellStyle name="Normal 3 4" xfId="88" xr:uid="{495C80EC-E84E-469D-86BF-E8A61EC80FF8}"/>
    <cellStyle name="Normal 3 5" xfId="89" xr:uid="{226587CA-EEA9-4932-A998-F7B1BE54F708}"/>
    <cellStyle name="Normal 3 6" xfId="90" xr:uid="{C475892D-828C-4444-8C28-3C22C4D235E6}"/>
    <cellStyle name="Normal 3 7" xfId="91" xr:uid="{C6AB2445-70B1-4516-B400-D667C5920E0C}"/>
    <cellStyle name="Normal 3 8" xfId="92" xr:uid="{38ACC1CB-6872-460F-9D95-80D1A0B0BBDF}"/>
    <cellStyle name="Normal 3 9" xfId="93" xr:uid="{E26852A9-ED8D-4A5F-96CC-D8DBD2C45F21}"/>
    <cellStyle name="Normal 4" xfId="7" xr:uid="{64C090D2-99C0-441B-8414-D8E8A86A4BAE}"/>
    <cellStyle name="Normal 4 2" xfId="94" xr:uid="{CCFB77EB-8D57-4CCD-9DFB-58EF8E1DF06F}"/>
    <cellStyle name="Normal 4 2 2" xfId="165" xr:uid="{192D8E0C-943E-4C00-A40D-FF03069A4504}"/>
    <cellStyle name="Normal 5" xfId="24" xr:uid="{97B60F5C-1D10-43E0-9557-045F8A71C559}"/>
    <cellStyle name="Normal 5 2" xfId="95" xr:uid="{6B547CF0-3BD3-468B-BD35-BBED83CC0CBD}"/>
    <cellStyle name="Normal 6" xfId="25" xr:uid="{6CDBDB2E-DCD5-4C7E-A71A-637FBBBB5BFB}"/>
    <cellStyle name="Normal 6 2" xfId="107" xr:uid="{8F7B80C1-A5DA-4C72-BD83-49A1B444F069}"/>
    <cellStyle name="Normal 6 2 2" xfId="170" xr:uid="{88265531-B6B5-4303-90FA-DAAD3CEDEC72}"/>
    <cellStyle name="Normal 7" xfId="26" xr:uid="{1825E076-4410-46AF-A12E-C7331CCB8BD7}"/>
    <cellStyle name="Normal 7 2" xfId="108" xr:uid="{7FBF4577-6EFE-4A26-96A0-E6EE0EED0236}"/>
    <cellStyle name="Normal 7 2 2" xfId="171" xr:uid="{D341AAE9-E4B1-4FA4-8DF0-E6044DA28E09}"/>
    <cellStyle name="Normal 7 3" xfId="157" xr:uid="{E1A5E352-50D1-4B61-9BDF-58C74F2AD0F7}"/>
    <cellStyle name="Normal 8" xfId="27" xr:uid="{F85B08E4-EBC5-4974-B763-41024B71BC55}"/>
    <cellStyle name="Normal 8 2" xfId="126" xr:uid="{238B7089-E17D-4F94-AC52-7961121DE103}"/>
    <cellStyle name="Normal 8 2 2" xfId="133" xr:uid="{D50234F0-3F87-467E-844C-314D57DD949C}"/>
    <cellStyle name="Normal 8 2 2 2" xfId="189" xr:uid="{B0CB57F7-66EA-4AF2-8955-1871CA3B1D63}"/>
    <cellStyle name="Normal 8 2 3" xfId="140" xr:uid="{C06594AD-93EF-4854-AC78-4C14F64CECDE}"/>
    <cellStyle name="Normal 8 2 3 2" xfId="196" xr:uid="{D3EE2A65-AA34-4AC5-A90C-BD4610A35CE8}"/>
    <cellStyle name="Normal 8 2 4" xfId="182" xr:uid="{EFE7C639-5DBD-47A9-B4C0-A57430B50296}"/>
    <cellStyle name="Normal 8 3" xfId="131" xr:uid="{32F7CD87-61F0-4C82-B0D9-BD7CBDBCB187}"/>
    <cellStyle name="Normal 8 3 2" xfId="149" xr:uid="{11BE5ED8-A27F-4D57-AEEF-DCBED317358B}"/>
    <cellStyle name="Normal 8 3 2 2" xfId="205" xr:uid="{6C736BA1-1EB7-4DAB-B8A4-800DD798035A}"/>
    <cellStyle name="Normal 8 3 3" xfId="187" xr:uid="{009BFBD4-A05F-40DC-8487-577F778DDB78}"/>
    <cellStyle name="Normal 8 4" xfId="137" xr:uid="{65AEFB35-E999-4322-8A94-28A56FC3CE59}"/>
    <cellStyle name="Normal 8 4 2" xfId="193" xr:uid="{E2DC6594-D2E6-43C4-AC5E-CDAA4A86D1FB}"/>
    <cellStyle name="Normal 8 5" xfId="146" xr:uid="{E6E43527-6C13-4305-A195-292969585833}"/>
    <cellStyle name="Normal 8 5 2" xfId="202" xr:uid="{9BDBE2AE-73F7-4885-8F9C-77950737E2A2}"/>
    <cellStyle name="Normal 8 6" xfId="158" xr:uid="{47A2FBE4-80E4-498C-82E2-1D20DAF44630}"/>
    <cellStyle name="Normal 9" xfId="40" xr:uid="{D846D40B-E81F-44E8-A3EB-F3A9AE4F8C7E}"/>
    <cellStyle name="Note" xfId="217" builtinId="10"/>
    <cellStyle name="Percent" xfId="214" builtinId="5"/>
    <cellStyle name="Percent 10" xfId="122" xr:uid="{FB921A22-661C-4966-99F4-E4A9ED8C3787}"/>
    <cellStyle name="Percent 10 2" xfId="180" xr:uid="{370D0816-B092-44E6-AE47-4106B617E653}"/>
    <cellStyle name="Percent 11" xfId="144" xr:uid="{07A4CE0B-86C3-4E59-8C71-B843050C0371}"/>
    <cellStyle name="Percent 11 2" xfId="200" xr:uid="{0F83DE76-CCBC-4810-89B8-67D26B68DD43}"/>
    <cellStyle name="Percent 12" xfId="4" xr:uid="{C5844373-3BC8-46CD-A710-653C500D1712}"/>
    <cellStyle name="Percent 2" xfId="10" xr:uid="{8386A176-E984-4897-858A-2345D721B207}"/>
    <cellStyle name="Percent 2 2" xfId="96" xr:uid="{0E6CA02D-54FE-4C74-977E-6896C39B5397}"/>
    <cellStyle name="Percent 2 3" xfId="151" xr:uid="{4B015E31-1BD4-4563-A0AB-8A92FFA2DB24}"/>
    <cellStyle name="Percent 3" xfId="9" xr:uid="{C0B4092C-220D-48E2-850A-897B70A11133}"/>
    <cellStyle name="Percent 3 2" xfId="97" xr:uid="{1FB54CDB-6A28-47DF-AD1F-2B93D156D1F6}"/>
    <cellStyle name="Percent 3 2 2" xfId="166" xr:uid="{FDD38A1A-9710-496D-AB53-594CF1726D3D}"/>
    <cellStyle name="Percent 4" xfId="23" xr:uid="{552F8790-AB26-450C-AA90-E29FE4641DE0}"/>
    <cellStyle name="Percent 4 2" xfId="98" xr:uid="{090E600E-4B76-4339-8BC1-09AC9AB821FF}"/>
    <cellStyle name="Percent 4 2 2" xfId="167" xr:uid="{DEE3B9ED-122F-4619-96AA-59A198723C1A}"/>
    <cellStyle name="Percent 5" xfId="28" xr:uid="{EEC4186D-F658-4B1F-A584-49ADF9B5FB1C}"/>
    <cellStyle name="Percent 5 2" xfId="99" xr:uid="{5DF39FBA-DAEA-4F30-B350-4270008994C5}"/>
    <cellStyle name="Percent 5 3" xfId="159" xr:uid="{FA7672C2-6F3B-42B5-976E-CD86B906BB50}"/>
    <cellStyle name="Percent 6" xfId="109" xr:uid="{0B221DEE-5EE7-447C-9489-C98CD1496446}"/>
    <cellStyle name="Percent 6 2" xfId="172" xr:uid="{8E657467-04CC-4565-9585-76902D4DE32B}"/>
    <cellStyle name="Percent 7" xfId="101" xr:uid="{13962F09-EC08-4C1B-8259-0DC74F593A94}"/>
    <cellStyle name="Percent 8" xfId="115" xr:uid="{77554B28-0A02-46F0-BAA5-86B2FCA39835}"/>
    <cellStyle name="Percent 8 2" xfId="176" xr:uid="{661C1C52-9479-4032-A382-70909DCE457B}"/>
    <cellStyle name="Percent 9" xfId="119" xr:uid="{56F81362-E3A3-4843-90E3-3E49B11E8BBA}"/>
    <cellStyle name="Total 2" xfId="39" xr:uid="{ED72F4F8-EA6D-4518-B1F0-88DBA177C2E6}"/>
  </cellStyles>
  <dxfs count="4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utx.sharepoint.com/sites/TDO-TrafficManagement/Shared%20Documents/1-Grants/2023%20TIP/2023%202024%20Submissions/Oates%20Rd/Oates_2023_HGAC_CFP_BCA%20Calculator_081524.xlsm" TargetMode="External"/><Relationship Id="rId1" Type="http://schemas.openxmlformats.org/officeDocument/2006/relationships/externalLinkPath" Target="Oates_2023_HGAC_CFP_BCA%20Calculator_0815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"/>
      <sheetName val="Sheet3"/>
      <sheetName val="OAte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"/>
      <sheetName val="Project Information Data"/>
      <sheetName val="Raw Crash Data"/>
      <sheetName val="Raw Bike_Ped Data"/>
      <sheetName val="Overview"/>
      <sheetName val="Output"/>
      <sheetName val="Summary"/>
      <sheetName val="Final BCR"/>
      <sheetName val="User Volumes"/>
      <sheetName val="Capital Costs"/>
      <sheetName val="Operations and Maintenance"/>
      <sheetName val="Safety"/>
      <sheetName val="Travel Time Savings"/>
      <sheetName val="Emissions Reduction"/>
      <sheetName val="Vehicle Operating Cost Savings"/>
      <sheetName val="Other Highway Use Externalities"/>
      <sheetName val="Amenity Benefits"/>
      <sheetName val="Health Benefits"/>
      <sheetName val="Residual Value"/>
      <sheetName val="Project Information"/>
      <sheetName val="Parameter Values"/>
      <sheetName val="Emission Factors"/>
      <sheetName val="Other Benefit 1"/>
      <sheetName val="Other Benefit 2"/>
      <sheetName val="Other Benefit 3"/>
      <sheetName val="Other Benefit 4"/>
    </sheetNames>
    <sheetDataSet>
      <sheetData sheetId="0">
        <row r="19">
          <cell r="B19">
            <v>2022</v>
          </cell>
        </row>
      </sheetData>
      <sheetData sheetId="1"/>
      <sheetData sheetId="2"/>
      <sheetData sheetId="3"/>
      <sheetData sheetId="4"/>
      <sheetData sheetId="5">
        <row r="4">
          <cell r="A4">
            <v>1201</v>
          </cell>
        </row>
      </sheetData>
      <sheetData sheetId="6"/>
      <sheetData sheetId="7"/>
      <sheetData sheetId="8"/>
      <sheetData sheetId="9">
        <row r="5">
          <cell r="A5">
            <v>17139701.759999998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B6">
            <v>2022</v>
          </cell>
        </row>
        <row r="7">
          <cell r="B7">
            <v>2025</v>
          </cell>
        </row>
        <row r="8">
          <cell r="B8">
            <v>3</v>
          </cell>
        </row>
        <row r="9">
          <cell r="B9">
            <v>2028</v>
          </cell>
        </row>
        <row r="10">
          <cell r="B10">
            <v>25</v>
          </cell>
        </row>
        <row r="11">
          <cell r="B11">
            <v>2052</v>
          </cell>
        </row>
        <row r="28">
          <cell r="B28">
            <v>20</v>
          </cell>
        </row>
        <row r="34">
          <cell r="B34" t="str">
            <v>Yes</v>
          </cell>
        </row>
      </sheetData>
      <sheetData sheetId="20">
        <row r="140">
          <cell r="B140">
            <v>0.11</v>
          </cell>
        </row>
        <row r="156">
          <cell r="B156">
            <v>1.86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iu, Haiqing" id="{C8B7C032-CDAB-4201-B49E-243B1ECD86D8}" userId="S::Haiqing.Liu@aecom.com::c9c4a449-fa2c-4631-b3fa-e648242e7fd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3-22T19:30:17.54" personId="{C8B7C032-CDAB-4201-B49E-243B1ECD86D8}" id="{3DE8820C-8317-49AE-A4B7-73EAAAAA02A5}">
    <text>I do not think we have data to calculate this benefit. Leaving blank for now.</text>
  </threadedComment>
</ThreadedComment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8"/>
  <sheetViews>
    <sheetView tabSelected="1" workbookViewId="0">
      <selection activeCell="C10" sqref="C10"/>
    </sheetView>
  </sheetViews>
  <sheetFormatPr defaultRowHeight="14.4" x14ac:dyDescent="0.3"/>
  <cols>
    <col min="1" max="1" width="57.109375" bestFit="1" customWidth="1"/>
    <col min="2" max="2" width="30" style="4" bestFit="1" customWidth="1"/>
    <col min="3" max="3" width="52.88671875" style="1" customWidth="1"/>
    <col min="4" max="4" width="75.6640625" customWidth="1"/>
    <col min="5" max="5" width="18.88671875" customWidth="1"/>
    <col min="6" max="6" width="19.33203125" customWidth="1"/>
  </cols>
  <sheetData>
    <row r="1" spans="1:6" x14ac:dyDescent="0.3">
      <c r="A1" t="s">
        <v>124</v>
      </c>
      <c r="B1" s="5"/>
      <c r="E1" s="4"/>
      <c r="F1" s="4"/>
    </row>
    <row r="2" spans="1:6" x14ac:dyDescent="0.3">
      <c r="A2" s="103" t="s">
        <v>93</v>
      </c>
      <c r="B2" s="5"/>
    </row>
    <row r="3" spans="1:6" x14ac:dyDescent="0.3">
      <c r="A3" s="3" t="s">
        <v>0</v>
      </c>
    </row>
    <row r="4" spans="1:6" ht="18" x14ac:dyDescent="0.35">
      <c r="A4" s="85" t="s">
        <v>124</v>
      </c>
    </row>
    <row r="5" spans="1:6" x14ac:dyDescent="0.3">
      <c r="A5" s="86" t="s">
        <v>1</v>
      </c>
      <c r="B5" s="4">
        <f>'Cost Summary and Discounting'!F13</f>
        <v>17853856.295097988</v>
      </c>
    </row>
    <row r="6" spans="1:6" x14ac:dyDescent="0.3">
      <c r="A6" s="86" t="s">
        <v>2</v>
      </c>
      <c r="B6" s="4">
        <f>SUM(B15,B18,B23,B28,B32,B35,B38, B41)</f>
        <v>23818923.380986702</v>
      </c>
    </row>
    <row r="7" spans="1:6" ht="15.6" x14ac:dyDescent="0.3">
      <c r="A7" s="86" t="s">
        <v>3</v>
      </c>
      <c r="B7" s="89">
        <f>B6/B5</f>
        <v>1.3341052480368907</v>
      </c>
    </row>
    <row r="8" spans="1:6" x14ac:dyDescent="0.3">
      <c r="A8" s="84" t="s">
        <v>4</v>
      </c>
    </row>
    <row r="9" spans="1:6" x14ac:dyDescent="0.3">
      <c r="A9" s="3" t="s">
        <v>5</v>
      </c>
      <c r="B9" s="5" t="s">
        <v>6</v>
      </c>
      <c r="C9" s="10" t="s">
        <v>7</v>
      </c>
      <c r="D9" s="3" t="s">
        <v>8</v>
      </c>
    </row>
    <row r="10" spans="1:6" ht="30" customHeight="1" x14ac:dyDescent="0.3">
      <c r="A10" s="163" t="s">
        <v>9</v>
      </c>
      <c r="B10" s="163"/>
    </row>
    <row r="11" spans="1:6" x14ac:dyDescent="0.3">
      <c r="A11" t="s">
        <v>10</v>
      </c>
      <c r="B11" s="4">
        <v>1362000</v>
      </c>
      <c r="C11" s="1" t="s">
        <v>11</v>
      </c>
      <c r="D11" t="s">
        <v>94</v>
      </c>
    </row>
    <row r="12" spans="1:6" x14ac:dyDescent="0.3">
      <c r="A12" t="s">
        <v>12</v>
      </c>
      <c r="B12" s="4">
        <v>2901000</v>
      </c>
      <c r="C12" s="1" t="s">
        <v>11</v>
      </c>
      <c r="D12" t="s">
        <v>95</v>
      </c>
    </row>
    <row r="13" spans="1:6" x14ac:dyDescent="0.3">
      <c r="A13" t="s">
        <v>125</v>
      </c>
      <c r="B13" s="4">
        <v>1377000</v>
      </c>
      <c r="C13" s="1" t="s">
        <v>11</v>
      </c>
      <c r="D13" t="s">
        <v>126</v>
      </c>
    </row>
    <row r="14" spans="1:6" x14ac:dyDescent="0.3">
      <c r="A14" t="s">
        <v>125</v>
      </c>
      <c r="B14" s="4">
        <v>1900000</v>
      </c>
      <c r="C14" s="1" t="s">
        <v>11</v>
      </c>
      <c r="D14" t="s">
        <v>127</v>
      </c>
    </row>
    <row r="15" spans="1:6" x14ac:dyDescent="0.3">
      <c r="A15" s="81" t="s">
        <v>13</v>
      </c>
      <c r="B15" s="83">
        <f>SUM(B11:B14)</f>
        <v>7540000</v>
      </c>
      <c r="C15" s="97"/>
      <c r="D15" s="82"/>
    </row>
    <row r="16" spans="1:6" x14ac:dyDescent="0.3">
      <c r="A16" s="8"/>
      <c r="B16" s="9"/>
      <c r="C16" s="96"/>
      <c r="D16" s="8"/>
    </row>
    <row r="17" spans="1:4" x14ac:dyDescent="0.3">
      <c r="A17" s="3" t="s">
        <v>14</v>
      </c>
      <c r="C17" s="98" t="s">
        <v>15</v>
      </c>
      <c r="D17" t="s">
        <v>16</v>
      </c>
    </row>
    <row r="18" spans="1:4" x14ac:dyDescent="0.3">
      <c r="A18" s="81" t="s">
        <v>17</v>
      </c>
      <c r="B18" s="83">
        <f>'Other Externalities '!T35</f>
        <v>20089.671160946866</v>
      </c>
      <c r="C18" s="97"/>
      <c r="D18" s="82"/>
    </row>
    <row r="19" spans="1:4" x14ac:dyDescent="0.3">
      <c r="A19" s="8"/>
      <c r="B19" s="9"/>
      <c r="C19" s="96"/>
      <c r="D19" s="8"/>
    </row>
    <row r="20" spans="1:4" x14ac:dyDescent="0.3">
      <c r="A20" s="3" t="s">
        <v>18</v>
      </c>
    </row>
    <row r="21" spans="1:4" ht="28.8" x14ac:dyDescent="0.3">
      <c r="A21" t="s">
        <v>19</v>
      </c>
      <c r="B21" s="4">
        <f>'Mortality Benefit - Walk '!J48</f>
        <v>1084591.8140028387</v>
      </c>
      <c r="C21" s="1" t="s">
        <v>20</v>
      </c>
      <c r="D21" t="s">
        <v>21</v>
      </c>
    </row>
    <row r="22" spans="1:4" ht="28.8" x14ac:dyDescent="0.3">
      <c r="A22" t="s">
        <v>22</v>
      </c>
      <c r="B22" s="4">
        <f>'Mortality Benefit - Bike'!J48</f>
        <v>6453534.5158229182</v>
      </c>
      <c r="C22" s="1" t="s">
        <v>20</v>
      </c>
      <c r="D22" t="s">
        <v>23</v>
      </c>
    </row>
    <row r="23" spans="1:4" x14ac:dyDescent="0.3">
      <c r="A23" s="81" t="s">
        <v>17</v>
      </c>
      <c r="B23" s="83">
        <f>SUM(B21:B22)</f>
        <v>7538126.3298257571</v>
      </c>
      <c r="C23" s="97"/>
      <c r="D23" s="82"/>
    </row>
    <row r="24" spans="1:4" x14ac:dyDescent="0.3">
      <c r="A24" s="8"/>
      <c r="B24" s="9"/>
      <c r="C24" s="96"/>
      <c r="D24" s="8"/>
    </row>
    <row r="25" spans="1:4" ht="28.8" x14ac:dyDescent="0.3">
      <c r="A25" s="1" t="s">
        <v>24</v>
      </c>
    </row>
    <row r="26" spans="1:4" x14ac:dyDescent="0.3">
      <c r="A26" s="87" t="s">
        <v>25</v>
      </c>
      <c r="B26" s="88">
        <v>155</v>
      </c>
      <c r="C26" s="1" t="s">
        <v>11</v>
      </c>
      <c r="D26" t="s">
        <v>97</v>
      </c>
    </row>
    <row r="27" spans="1:4" x14ac:dyDescent="0.3">
      <c r="A27" s="87" t="s">
        <v>26</v>
      </c>
      <c r="B27" s="88">
        <v>7507</v>
      </c>
      <c r="C27" s="1" t="s">
        <v>11</v>
      </c>
      <c r="D27" t="s">
        <v>98</v>
      </c>
    </row>
    <row r="28" spans="1:4" x14ac:dyDescent="0.3">
      <c r="A28" s="81" t="s">
        <v>27</v>
      </c>
      <c r="B28" s="83">
        <f>B26+B27</f>
        <v>7662</v>
      </c>
      <c r="C28" s="97"/>
      <c r="D28" s="82"/>
    </row>
    <row r="29" spans="1:4" x14ac:dyDescent="0.3">
      <c r="A29" s="8"/>
      <c r="B29" s="9"/>
      <c r="C29" s="96"/>
      <c r="D29" s="8"/>
    </row>
    <row r="30" spans="1:4" x14ac:dyDescent="0.3">
      <c r="A30" s="3" t="s">
        <v>28</v>
      </c>
    </row>
    <row r="31" spans="1:4" x14ac:dyDescent="0.3">
      <c r="A31" t="s">
        <v>29</v>
      </c>
      <c r="B31" s="4">
        <v>1972000</v>
      </c>
      <c r="C31" s="1" t="s">
        <v>11</v>
      </c>
      <c r="D31" t="s">
        <v>99</v>
      </c>
    </row>
    <row r="32" spans="1:4" x14ac:dyDescent="0.3">
      <c r="A32" s="81" t="s">
        <v>30</v>
      </c>
      <c r="B32" s="83">
        <v>1972000</v>
      </c>
      <c r="C32" s="97"/>
      <c r="D32" s="82"/>
    </row>
    <row r="33" spans="1:4" x14ac:dyDescent="0.3">
      <c r="A33" s="8"/>
      <c r="B33" s="9"/>
      <c r="C33" s="96"/>
      <c r="D33" s="8"/>
    </row>
    <row r="34" spans="1:4" x14ac:dyDescent="0.3">
      <c r="A34" s="3" t="s">
        <v>172</v>
      </c>
      <c r="C34" s="98" t="s">
        <v>31</v>
      </c>
      <c r="D34" s="6" t="s">
        <v>129</v>
      </c>
    </row>
    <row r="35" spans="1:4" x14ac:dyDescent="0.3">
      <c r="A35" s="81" t="s">
        <v>32</v>
      </c>
      <c r="B35" s="83">
        <v>3250102.38</v>
      </c>
      <c r="C35" s="97"/>
      <c r="D35" s="82"/>
    </row>
    <row r="36" spans="1:4" x14ac:dyDescent="0.3">
      <c r="A36" s="8"/>
      <c r="B36" s="8"/>
      <c r="C36" s="8"/>
      <c r="D36" s="8"/>
    </row>
    <row r="37" spans="1:4" x14ac:dyDescent="0.3">
      <c r="A37" s="3" t="s">
        <v>152</v>
      </c>
      <c r="C37" s="98" t="s">
        <v>168</v>
      </c>
      <c r="D37" s="6" t="s">
        <v>169</v>
      </c>
    </row>
    <row r="38" spans="1:4" x14ac:dyDescent="0.3">
      <c r="A38" s="81" t="s">
        <v>167</v>
      </c>
      <c r="B38" s="83">
        <v>1143121</v>
      </c>
      <c r="C38" s="97"/>
      <c r="D38" s="82"/>
    </row>
    <row r="39" spans="1:4" x14ac:dyDescent="0.3">
      <c r="A39" s="8"/>
      <c r="B39" s="8"/>
      <c r="C39" s="8"/>
      <c r="D39" s="8"/>
    </row>
    <row r="40" spans="1:4" x14ac:dyDescent="0.3">
      <c r="A40" s="3" t="s">
        <v>131</v>
      </c>
      <c r="C40" s="98" t="s">
        <v>168</v>
      </c>
      <c r="D40" s="6" t="s">
        <v>171</v>
      </c>
    </row>
    <row r="41" spans="1:4" x14ac:dyDescent="0.3">
      <c r="A41" s="81" t="s">
        <v>170</v>
      </c>
      <c r="B41" s="83">
        <v>2347822</v>
      </c>
      <c r="C41" s="97"/>
      <c r="D41" s="82"/>
    </row>
    <row r="42" spans="1:4" x14ac:dyDescent="0.3">
      <c r="A42" s="8"/>
      <c r="B42" s="8"/>
      <c r="C42" s="8"/>
      <c r="D42" s="8"/>
    </row>
    <row r="43" spans="1:4" ht="15.75" customHeight="1" x14ac:dyDescent="0.3">
      <c r="A43" s="3"/>
      <c r="B43" s="106"/>
      <c r="C43" s="3"/>
      <c r="D43" s="3"/>
    </row>
    <row r="44" spans="1:4" x14ac:dyDescent="0.3">
      <c r="A44" s="84" t="s">
        <v>33</v>
      </c>
    </row>
    <row r="45" spans="1:4" x14ac:dyDescent="0.3">
      <c r="A45" t="s">
        <v>34</v>
      </c>
    </row>
    <row r="46" spans="1:4" x14ac:dyDescent="0.3">
      <c r="A46" s="84" t="s">
        <v>121</v>
      </c>
    </row>
    <row r="47" spans="1:4" x14ac:dyDescent="0.3">
      <c r="A47" t="s">
        <v>122</v>
      </c>
    </row>
    <row r="48" spans="1:4" x14ac:dyDescent="0.3">
      <c r="A48" t="s">
        <v>123</v>
      </c>
    </row>
  </sheetData>
  <mergeCells count="1"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70C9D-6B72-49D2-A1BF-61FC4C1C6576}">
  <sheetPr codeName="Sheet2"/>
  <dimension ref="A1:F16"/>
  <sheetViews>
    <sheetView workbookViewId="0"/>
  </sheetViews>
  <sheetFormatPr defaultRowHeight="14.4" x14ac:dyDescent="0.3"/>
  <cols>
    <col min="1" max="1" width="19.109375" bestFit="1" customWidth="1"/>
    <col min="3" max="3" width="22" bestFit="1" customWidth="1"/>
    <col min="4" max="4" width="18.6640625" bestFit="1" customWidth="1"/>
    <col min="5" max="5" width="18.6640625" customWidth="1"/>
    <col min="6" max="6" width="16.5546875" customWidth="1"/>
  </cols>
  <sheetData>
    <row r="1" spans="1:6" x14ac:dyDescent="0.3">
      <c r="D1" s="101">
        <v>29500000</v>
      </c>
      <c r="E1" s="101"/>
    </row>
    <row r="2" spans="1:6" x14ac:dyDescent="0.3">
      <c r="B2" t="s">
        <v>35</v>
      </c>
      <c r="C2" t="s">
        <v>36</v>
      </c>
      <c r="D2" t="s">
        <v>91</v>
      </c>
      <c r="E2" t="s">
        <v>130</v>
      </c>
      <c r="F2" t="s">
        <v>37</v>
      </c>
    </row>
    <row r="3" spans="1:6" x14ac:dyDescent="0.3">
      <c r="B3">
        <v>2022</v>
      </c>
    </row>
    <row r="4" spans="1:6" x14ac:dyDescent="0.3">
      <c r="B4">
        <v>2023</v>
      </c>
    </row>
    <row r="5" spans="1:6" x14ac:dyDescent="0.3">
      <c r="B5">
        <v>2024</v>
      </c>
    </row>
    <row r="6" spans="1:6" x14ac:dyDescent="0.3">
      <c r="B6">
        <v>2025</v>
      </c>
      <c r="C6" t="s">
        <v>38</v>
      </c>
      <c r="D6" s="6">
        <v>1450000</v>
      </c>
      <c r="E6" s="6">
        <f>D6/(1+5.79%)^(B6-2021)</f>
        <v>1157682.6741773398</v>
      </c>
      <c r="F6" s="102">
        <f>E6/(1+3.7%)^(B6-2022)</f>
        <v>1038133.6406228653</v>
      </c>
    </row>
    <row r="7" spans="1:6" x14ac:dyDescent="0.3">
      <c r="B7">
        <v>2026</v>
      </c>
      <c r="C7" t="s">
        <v>38</v>
      </c>
      <c r="D7" s="6">
        <v>1450000</v>
      </c>
      <c r="E7" s="6">
        <f t="shared" ref="E7:E10" si="0">D7/(1+5.79%)^(B7-2021)</f>
        <v>1094321.4615533978</v>
      </c>
      <c r="F7" s="102">
        <f>E7/(1+3.7%)^(B7-2022)</f>
        <v>946302.28991431347</v>
      </c>
    </row>
    <row r="8" spans="1:6" x14ac:dyDescent="0.3">
      <c r="B8">
        <v>2026</v>
      </c>
      <c r="C8" t="s">
        <v>39</v>
      </c>
      <c r="D8" s="6">
        <v>8866666.6600000001</v>
      </c>
      <c r="E8" s="6">
        <f t="shared" si="0"/>
        <v>6691712.8403296443</v>
      </c>
      <c r="F8" s="102">
        <f t="shared" ref="F8:F10" si="1">E8/(1+3.7%)^(B8-2022)</f>
        <v>5786584.1132861366</v>
      </c>
    </row>
    <row r="9" spans="1:6" x14ac:dyDescent="0.3">
      <c r="B9">
        <v>2027</v>
      </c>
      <c r="C9" t="s">
        <v>39</v>
      </c>
      <c r="D9" s="6">
        <v>8866666.6600000001</v>
      </c>
      <c r="E9" s="6">
        <f t="shared" si="0"/>
        <v>6325468.2298228992</v>
      </c>
      <c r="F9" s="102">
        <f t="shared" si="1"/>
        <v>5274713.7583356062</v>
      </c>
    </row>
    <row r="10" spans="1:6" x14ac:dyDescent="0.3">
      <c r="A10" t="s">
        <v>40</v>
      </c>
      <c r="B10">
        <v>2028</v>
      </c>
      <c r="C10" t="s">
        <v>39</v>
      </c>
      <c r="D10" s="6">
        <v>8866666.6600000001</v>
      </c>
      <c r="E10" s="6">
        <f t="shared" si="0"/>
        <v>5979268.5790933911</v>
      </c>
      <c r="F10" s="102">
        <f t="shared" si="1"/>
        <v>4808122.4929390652</v>
      </c>
    </row>
    <row r="11" spans="1:6" x14ac:dyDescent="0.3">
      <c r="D11" s="6">
        <v>0</v>
      </c>
      <c r="E11" s="6"/>
      <c r="F11" s="102">
        <f t="shared" ref="F11" si="2">D11/(1+3.7%)^(B11-2022)</f>
        <v>0</v>
      </c>
    </row>
    <row r="12" spans="1:6" x14ac:dyDescent="0.3">
      <c r="D12" s="6"/>
      <c r="E12" s="6"/>
    </row>
    <row r="13" spans="1:6" x14ac:dyDescent="0.3">
      <c r="B13" t="s">
        <v>41</v>
      </c>
      <c r="D13" s="6">
        <f>SUM(D6:D11)</f>
        <v>29499999.98</v>
      </c>
      <c r="E13" s="6">
        <f>SUM(E6:E11)</f>
        <v>21248453.784976676</v>
      </c>
      <c r="F13" s="6">
        <f>SUM(F6:F11)</f>
        <v>17853856.295097988</v>
      </c>
    </row>
    <row r="14" spans="1:6" x14ac:dyDescent="0.3">
      <c r="B14" t="s">
        <v>42</v>
      </c>
      <c r="D14" s="6">
        <f>D1-D13</f>
        <v>1.9999999552965164E-2</v>
      </c>
      <c r="E14" s="6"/>
    </row>
    <row r="16" spans="1:6" x14ac:dyDescent="0.3">
      <c r="B16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9FF51-29BF-4F65-9156-A58CB294760A}">
  <sheetPr codeName="Sheet3"/>
  <dimension ref="B1:T37"/>
  <sheetViews>
    <sheetView workbookViewId="0">
      <selection activeCell="E25" sqref="E25"/>
    </sheetView>
  </sheetViews>
  <sheetFormatPr defaultRowHeight="14.4" x14ac:dyDescent="0.3"/>
  <cols>
    <col min="2" max="2" width="19" customWidth="1"/>
    <col min="3" max="3" width="17.88671875" customWidth="1"/>
    <col min="4" max="4" width="21.88671875" customWidth="1"/>
    <col min="5" max="5" width="23.88671875" customWidth="1"/>
    <col min="7" max="7" width="4.5546875" style="66" customWidth="1"/>
    <col min="8" max="8" width="32.88671875" style="77" customWidth="1"/>
    <col min="9" max="9" width="14" style="66" bestFit="1" customWidth="1"/>
    <col min="10" max="10" width="7.109375" style="66" customWidth="1"/>
    <col min="11" max="11" width="7.33203125" style="78" customWidth="1"/>
    <col min="12" max="12" width="7.44140625" style="65" customWidth="1"/>
    <col min="13" max="13" width="10.109375" style="65" customWidth="1"/>
    <col min="14" max="14" width="9" style="66" customWidth="1"/>
    <col min="15" max="16" width="13" style="66" customWidth="1"/>
    <col min="17" max="17" width="16.5546875" style="66" customWidth="1"/>
    <col min="18" max="18" width="23.33203125" style="66" customWidth="1"/>
    <col min="19" max="19" width="20" style="66" customWidth="1"/>
    <col min="20" max="20" width="17.44140625" style="66" customWidth="1"/>
  </cols>
  <sheetData>
    <row r="1" spans="2:20" x14ac:dyDescent="0.3">
      <c r="G1"/>
      <c r="H1" s="1"/>
      <c r="I1"/>
      <c r="J1"/>
      <c r="K1" s="67"/>
      <c r="L1" t="s">
        <v>43</v>
      </c>
      <c r="M1" s="56"/>
      <c r="N1"/>
      <c r="O1"/>
      <c r="P1"/>
      <c r="Q1"/>
      <c r="R1"/>
      <c r="S1"/>
      <c r="T1"/>
    </row>
    <row r="2" spans="2:20" x14ac:dyDescent="0.3">
      <c r="B2" t="s">
        <v>44</v>
      </c>
      <c r="G2"/>
      <c r="H2" s="1"/>
      <c r="I2"/>
      <c r="J2"/>
      <c r="K2" s="67"/>
      <c r="L2" s="56"/>
      <c r="M2" s="56"/>
      <c r="N2"/>
      <c r="O2"/>
      <c r="P2"/>
      <c r="Q2"/>
      <c r="R2"/>
      <c r="S2"/>
      <c r="T2"/>
    </row>
    <row r="3" spans="2:20" x14ac:dyDescent="0.3">
      <c r="B3" s="3" t="s">
        <v>45</v>
      </c>
      <c r="G3"/>
      <c r="H3" s="1"/>
      <c r="I3"/>
      <c r="J3"/>
      <c r="K3" s="67"/>
      <c r="L3"/>
      <c r="M3"/>
      <c r="N3"/>
      <c r="O3"/>
      <c r="P3"/>
      <c r="Q3"/>
      <c r="R3"/>
      <c r="S3"/>
      <c r="T3" s="67"/>
    </row>
    <row r="4" spans="2:20" ht="43.2" x14ac:dyDescent="0.3">
      <c r="B4" s="3"/>
      <c r="C4" s="3" t="s">
        <v>46</v>
      </c>
      <c r="D4" s="10" t="s">
        <v>47</v>
      </c>
      <c r="E4" s="3"/>
      <c r="G4" s="1"/>
      <c r="H4" s="68" t="s">
        <v>48</v>
      </c>
      <c r="I4" s="1"/>
      <c r="J4" s="1"/>
      <c r="K4" s="69"/>
      <c r="L4" s="57" t="s">
        <v>35</v>
      </c>
      <c r="M4" s="58" t="s">
        <v>49</v>
      </c>
      <c r="N4" s="57" t="s">
        <v>50</v>
      </c>
      <c r="O4" s="57" t="s">
        <v>51</v>
      </c>
      <c r="P4" s="57" t="s">
        <v>52</v>
      </c>
      <c r="Q4" s="57" t="s">
        <v>53</v>
      </c>
      <c r="R4" s="57" t="s">
        <v>54</v>
      </c>
      <c r="S4" s="57" t="s">
        <v>17</v>
      </c>
      <c r="T4" s="70" t="s">
        <v>55</v>
      </c>
    </row>
    <row r="5" spans="2:20" x14ac:dyDescent="0.3">
      <c r="B5" s="3" t="s">
        <v>56</v>
      </c>
      <c r="C5">
        <v>0.14399999999999999</v>
      </c>
      <c r="D5">
        <v>35.700000000000003</v>
      </c>
      <c r="G5"/>
      <c r="H5" s="71" t="s">
        <v>57</v>
      </c>
      <c r="I5" s="72">
        <v>1.5650307834140342E-2</v>
      </c>
      <c r="J5"/>
      <c r="K5" s="67"/>
      <c r="L5" s="59">
        <v>2023</v>
      </c>
      <c r="M5" s="60">
        <f>$I$5</f>
        <v>1.5650307834140342E-2</v>
      </c>
      <c r="N5" s="61">
        <v>0</v>
      </c>
      <c r="O5" s="62">
        <f>D5</f>
        <v>35.700000000000003</v>
      </c>
      <c r="P5" s="62">
        <f>O5*260</f>
        <v>9282</v>
      </c>
      <c r="Q5" s="62"/>
      <c r="R5" s="73">
        <f>(Q5*(1/907184))*260</f>
        <v>0</v>
      </c>
      <c r="S5" s="74">
        <f>R5+Q5</f>
        <v>0</v>
      </c>
      <c r="T5" s="75">
        <f t="shared" ref="T5:T11" si="0">S5/(1.031^(L5-$F$5))</f>
        <v>0</v>
      </c>
    </row>
    <row r="6" spans="2:20" x14ac:dyDescent="0.3">
      <c r="B6" s="3" t="s">
        <v>58</v>
      </c>
      <c r="C6">
        <v>4.7999999999999996E-3</v>
      </c>
      <c r="D6">
        <v>35.700000000000003</v>
      </c>
      <c r="G6"/>
      <c r="H6" s="71" t="s">
        <v>59</v>
      </c>
      <c r="I6" s="72">
        <v>1.5650307834140342E-2</v>
      </c>
      <c r="J6"/>
      <c r="K6" s="67"/>
      <c r="L6" s="63">
        <f t="shared" ref="L6:L31" si="1">L5+1</f>
        <v>2024</v>
      </c>
      <c r="M6" s="60">
        <f t="shared" ref="M6:M31" si="2">$I$5</f>
        <v>1.5650307834140342E-2</v>
      </c>
      <c r="N6" s="61">
        <v>0</v>
      </c>
      <c r="O6" s="62">
        <f>M6*O5+O5</f>
        <v>36.258715989678812</v>
      </c>
      <c r="P6" s="62">
        <f t="shared" ref="P6:P31" si="3">O6*260</f>
        <v>9427.2661573164914</v>
      </c>
      <c r="Q6" s="62"/>
      <c r="R6" s="73">
        <f t="shared" ref="R6:R11" si="4">(Q6*(1/907184))*260</f>
        <v>0</v>
      </c>
      <c r="S6" s="74">
        <f t="shared" ref="S6:S31" si="5">R6+Q6</f>
        <v>0</v>
      </c>
      <c r="T6" s="75">
        <f t="shared" si="0"/>
        <v>0</v>
      </c>
    </row>
    <row r="7" spans="2:20" x14ac:dyDescent="0.3">
      <c r="G7"/>
      <c r="H7" s="1"/>
      <c r="I7" s="76"/>
      <c r="J7"/>
      <c r="K7" s="67"/>
      <c r="L7" s="59">
        <f t="shared" si="1"/>
        <v>2025</v>
      </c>
      <c r="M7" s="60">
        <f t="shared" si="2"/>
        <v>1.5650307834140342E-2</v>
      </c>
      <c r="N7" s="61">
        <v>0</v>
      </c>
      <c r="O7" s="62">
        <f t="shared" ref="O7:O14" si="6">O6+(O6*M6)</f>
        <v>36.826176056587954</v>
      </c>
      <c r="P7" s="62">
        <f t="shared" si="3"/>
        <v>9574.8057747128678</v>
      </c>
      <c r="Q7" s="62"/>
      <c r="R7" s="73">
        <f t="shared" si="4"/>
        <v>0</v>
      </c>
      <c r="S7" s="74">
        <f t="shared" si="5"/>
        <v>0</v>
      </c>
      <c r="T7" s="75">
        <f t="shared" si="0"/>
        <v>0</v>
      </c>
    </row>
    <row r="8" spans="2:20" ht="28.8" x14ac:dyDescent="0.3">
      <c r="G8"/>
      <c r="H8" s="1" t="s">
        <v>60</v>
      </c>
      <c r="I8" s="56"/>
      <c r="J8"/>
      <c r="K8" s="67"/>
      <c r="L8" s="63">
        <f t="shared" si="1"/>
        <v>2026</v>
      </c>
      <c r="M8" s="60">
        <f t="shared" si="2"/>
        <v>1.5650307834140342E-2</v>
      </c>
      <c r="N8" s="61">
        <v>0</v>
      </c>
      <c r="O8" s="62">
        <f t="shared" si="6"/>
        <v>37.402517048227807</v>
      </c>
      <c r="P8" s="62">
        <f t="shared" si="3"/>
        <v>9724.6544325392297</v>
      </c>
      <c r="Q8" s="62"/>
      <c r="R8" s="73">
        <f t="shared" si="4"/>
        <v>0</v>
      </c>
      <c r="S8" s="74">
        <f t="shared" si="5"/>
        <v>0</v>
      </c>
      <c r="T8" s="75">
        <f t="shared" si="0"/>
        <v>0</v>
      </c>
    </row>
    <row r="9" spans="2:20" x14ac:dyDescent="0.3">
      <c r="G9"/>
      <c r="H9" s="1"/>
      <c r="I9" s="56"/>
      <c r="J9"/>
      <c r="K9" s="67"/>
      <c r="L9" s="59">
        <f>L8+1</f>
        <v>2027</v>
      </c>
      <c r="M9" s="60">
        <f t="shared" si="2"/>
        <v>1.5650307834140342E-2</v>
      </c>
      <c r="N9" s="61">
        <v>0</v>
      </c>
      <c r="O9" s="62">
        <f>O8+(O8*M8)</f>
        <v>37.987877953804258</v>
      </c>
      <c r="P9" s="62">
        <f t="shared" si="3"/>
        <v>9876.8482679891076</v>
      </c>
      <c r="Q9" s="62"/>
      <c r="R9" s="73">
        <f t="shared" si="4"/>
        <v>0</v>
      </c>
      <c r="S9" s="74">
        <f t="shared" si="5"/>
        <v>0</v>
      </c>
      <c r="T9" s="75">
        <f t="shared" si="0"/>
        <v>0</v>
      </c>
    </row>
    <row r="10" spans="2:20" x14ac:dyDescent="0.3">
      <c r="B10" t="s">
        <v>61</v>
      </c>
      <c r="G10"/>
      <c r="H10" s="92"/>
      <c r="I10"/>
      <c r="J10"/>
      <c r="K10" s="67"/>
      <c r="L10" s="79">
        <f t="shared" si="1"/>
        <v>2028</v>
      </c>
      <c r="M10" s="60">
        <f t="shared" si="2"/>
        <v>1.5650307834140342E-2</v>
      </c>
      <c r="N10" s="61">
        <v>0</v>
      </c>
      <c r="O10" s="62">
        <f t="shared" si="6"/>
        <v>38.582399937747049</v>
      </c>
      <c r="P10" s="62">
        <f t="shared" si="3"/>
        <v>10031.423983814233</v>
      </c>
      <c r="Q10" s="62"/>
      <c r="R10" s="73">
        <f t="shared" si="4"/>
        <v>0</v>
      </c>
      <c r="S10" s="74">
        <f t="shared" si="5"/>
        <v>0</v>
      </c>
      <c r="T10" s="75">
        <f t="shared" si="0"/>
        <v>0</v>
      </c>
    </row>
    <row r="11" spans="2:20" x14ac:dyDescent="0.3">
      <c r="B11" t="s">
        <v>62</v>
      </c>
      <c r="G11"/>
      <c r="H11" s="93"/>
      <c r="I11" s="94"/>
      <c r="J11"/>
      <c r="K11" s="67"/>
      <c r="L11" s="59">
        <f t="shared" si="1"/>
        <v>2029</v>
      </c>
      <c r="M11" s="60">
        <f t="shared" si="2"/>
        <v>1.5650307834140342E-2</v>
      </c>
      <c r="N11" s="61">
        <v>0</v>
      </c>
      <c r="O11" s="62">
        <f t="shared" si="6"/>
        <v>39.18622637375271</v>
      </c>
      <c r="P11" s="62">
        <f t="shared" si="3"/>
        <v>10188.418857175704</v>
      </c>
      <c r="Q11" s="62"/>
      <c r="R11" s="73">
        <f t="shared" si="4"/>
        <v>0</v>
      </c>
      <c r="S11" s="74">
        <f t="shared" si="5"/>
        <v>0</v>
      </c>
      <c r="T11" s="75">
        <f t="shared" si="0"/>
        <v>0</v>
      </c>
    </row>
    <row r="12" spans="2:20" x14ac:dyDescent="0.3">
      <c r="D12" s="2"/>
      <c r="G12"/>
      <c r="H12" s="93"/>
      <c r="I12" s="94"/>
      <c r="J12"/>
      <c r="K12" s="67"/>
      <c r="L12" s="171">
        <f t="shared" si="1"/>
        <v>2030</v>
      </c>
      <c r="M12" s="60">
        <f t="shared" si="2"/>
        <v>1.5650307834140342E-2</v>
      </c>
      <c r="N12" s="61">
        <v>0</v>
      </c>
      <c r="O12" s="62">
        <f t="shared" si="6"/>
        <v>39.799502879360247</v>
      </c>
      <c r="P12" s="62">
        <f t="shared" si="3"/>
        <v>10347.870748633664</v>
      </c>
      <c r="Q12" s="62">
        <f t="shared" ref="Q12:Q31" si="7">$C$5*P12</f>
        <v>1490.0933878032477</v>
      </c>
      <c r="R12" s="73">
        <f>$C$6*P12</f>
        <v>49.669779593441582</v>
      </c>
      <c r="S12" s="74">
        <f t="shared" si="5"/>
        <v>1539.7631673966891</v>
      </c>
      <c r="T12" s="75">
        <f>S12/(1.031^(L12-2022))</f>
        <v>1206.103574051861</v>
      </c>
    </row>
    <row r="13" spans="2:20" x14ac:dyDescent="0.3">
      <c r="D13" s="2"/>
      <c r="G13"/>
      <c r="H13" s="1"/>
      <c r="I13"/>
      <c r="J13"/>
      <c r="K13" s="67"/>
      <c r="L13" s="59">
        <f t="shared" si="1"/>
        <v>2031</v>
      </c>
      <c r="M13" s="60">
        <f t="shared" si="2"/>
        <v>1.5650307834140342E-2</v>
      </c>
      <c r="N13" s="61">
        <v>0</v>
      </c>
      <c r="O13" s="62">
        <f t="shared" si="6"/>
        <v>40.422377351067993</v>
      </c>
      <c r="P13" s="62">
        <f t="shared" si="3"/>
        <v>10509.818111277678</v>
      </c>
      <c r="Q13" s="62">
        <f t="shared" si="7"/>
        <v>1513.4138080239857</v>
      </c>
      <c r="R13" s="73">
        <f t="shared" ref="R13:R31" si="8">$C$6*P13</f>
        <v>50.447126934132854</v>
      </c>
      <c r="S13" s="74">
        <f t="shared" si="5"/>
        <v>1563.8609349581186</v>
      </c>
      <c r="T13" s="75">
        <f t="shared" ref="T13:T31" si="9">S13/(1.031^(L13-2022))</f>
        <v>1188.1469119938215</v>
      </c>
    </row>
    <row r="14" spans="2:20" x14ac:dyDescent="0.3">
      <c r="G14"/>
      <c r="H14" s="1"/>
      <c r="I14"/>
      <c r="J14"/>
      <c r="K14" s="67"/>
      <c r="L14" s="63">
        <f t="shared" si="1"/>
        <v>2032</v>
      </c>
      <c r="M14" s="60">
        <f t="shared" si="2"/>
        <v>1.5650307834140342E-2</v>
      </c>
      <c r="N14" s="61">
        <v>0</v>
      </c>
      <c r="O14" s="62">
        <f t="shared" si="6"/>
        <v>41.054999999999993</v>
      </c>
      <c r="P14" s="62">
        <f t="shared" si="3"/>
        <v>10674.299999999997</v>
      </c>
      <c r="Q14" s="62">
        <f t="shared" si="7"/>
        <v>1537.0991999999994</v>
      </c>
      <c r="R14" s="73">
        <f t="shared" si="8"/>
        <v>51.23663999999998</v>
      </c>
      <c r="S14" s="74">
        <f t="shared" si="5"/>
        <v>1588.3358399999995</v>
      </c>
      <c r="T14" s="75">
        <f t="shared" si="9"/>
        <v>1170.4575915797361</v>
      </c>
    </row>
    <row r="15" spans="2:20" x14ac:dyDescent="0.3">
      <c r="G15"/>
      <c r="H15" s="92"/>
      <c r="I15"/>
      <c r="J15"/>
      <c r="K15" s="67"/>
      <c r="L15" s="59">
        <f t="shared" si="1"/>
        <v>2033</v>
      </c>
      <c r="M15" s="60">
        <f t="shared" si="2"/>
        <v>1.5650307834140342E-2</v>
      </c>
      <c r="N15" s="61">
        <v>0</v>
      </c>
      <c r="O15" s="62">
        <f>O14+(O14*M15)</f>
        <v>41.697523388130627</v>
      </c>
      <c r="P15" s="62">
        <f t="shared" si="3"/>
        <v>10841.356080913964</v>
      </c>
      <c r="Q15" s="62">
        <f t="shared" si="7"/>
        <v>1561.1552756516107</v>
      </c>
      <c r="R15" s="73">
        <f t="shared" si="8"/>
        <v>52.038509188387017</v>
      </c>
      <c r="S15" s="74">
        <f t="shared" si="5"/>
        <v>1613.1937848399978</v>
      </c>
      <c r="T15" s="75">
        <f t="shared" si="9"/>
        <v>1153.031632584642</v>
      </c>
    </row>
    <row r="16" spans="2:20" x14ac:dyDescent="0.3">
      <c r="G16"/>
      <c r="H16" s="1"/>
      <c r="I16"/>
      <c r="J16"/>
      <c r="K16" s="67"/>
      <c r="L16" s="63">
        <f t="shared" si="1"/>
        <v>2034</v>
      </c>
      <c r="M16" s="60">
        <f t="shared" si="2"/>
        <v>1.5650307834140342E-2</v>
      </c>
      <c r="N16" s="61">
        <v>0</v>
      </c>
      <c r="O16" s="62">
        <f t="shared" ref="O16:O31" si="10">O15+(O15*M16)</f>
        <v>42.350102465076141</v>
      </c>
      <c r="P16" s="62">
        <f t="shared" si="3"/>
        <v>11011.026640919798</v>
      </c>
      <c r="Q16" s="62">
        <f t="shared" si="7"/>
        <v>1585.5878362924507</v>
      </c>
      <c r="R16" s="73">
        <f t="shared" si="8"/>
        <v>52.852927876415023</v>
      </c>
      <c r="S16" s="74">
        <f t="shared" si="5"/>
        <v>1638.4407641688656</v>
      </c>
      <c r="T16" s="75">
        <f t="shared" si="9"/>
        <v>1135.8651140417971</v>
      </c>
    </row>
    <row r="17" spans="7:20" x14ac:dyDescent="0.3">
      <c r="G17"/>
      <c r="H17" s="92"/>
      <c r="I17"/>
      <c r="J17"/>
      <c r="K17" s="67"/>
      <c r="L17" s="59">
        <f t="shared" si="1"/>
        <v>2035</v>
      </c>
      <c r="M17" s="60">
        <f t="shared" si="2"/>
        <v>1.5650307834140342E-2</v>
      </c>
      <c r="N17" s="61">
        <v>0</v>
      </c>
      <c r="O17" s="62">
        <f t="shared" si="10"/>
        <v>43.012894605461966</v>
      </c>
      <c r="P17" s="62">
        <f t="shared" si="3"/>
        <v>11183.352597420111</v>
      </c>
      <c r="Q17" s="62">
        <f t="shared" si="7"/>
        <v>1610.402774028496</v>
      </c>
      <c r="R17" s="73">
        <f t="shared" si="8"/>
        <v>53.680092467616525</v>
      </c>
      <c r="S17" s="74">
        <f t="shared" si="5"/>
        <v>1664.0828664961125</v>
      </c>
      <c r="T17" s="75">
        <f t="shared" si="9"/>
        <v>1118.9541733604387</v>
      </c>
    </row>
    <row r="18" spans="7:20" x14ac:dyDescent="0.3">
      <c r="G18"/>
      <c r="H18" s="1"/>
      <c r="I18"/>
      <c r="J18"/>
      <c r="K18" s="67"/>
      <c r="L18" s="63">
        <f t="shared" si="1"/>
        <v>2036</v>
      </c>
      <c r="M18" s="60">
        <f t="shared" si="2"/>
        <v>1.5650307834140342E-2</v>
      </c>
      <c r="N18" s="61">
        <v>0</v>
      </c>
      <c r="O18" s="62">
        <f t="shared" si="10"/>
        <v>43.686059646874881</v>
      </c>
      <c r="P18" s="62">
        <f t="shared" si="3"/>
        <v>11358.37550818747</v>
      </c>
      <c r="Q18" s="62">
        <f t="shared" si="7"/>
        <v>1635.6060731789955</v>
      </c>
      <c r="R18" s="73">
        <f t="shared" si="8"/>
        <v>54.520202439299851</v>
      </c>
      <c r="S18" s="74">
        <f t="shared" si="5"/>
        <v>1690.1262756182955</v>
      </c>
      <c r="T18" s="75">
        <f t="shared" si="9"/>
        <v>1102.2950054566691</v>
      </c>
    </row>
    <row r="19" spans="7:20" x14ac:dyDescent="0.3">
      <c r="G19"/>
      <c r="H19" s="1"/>
      <c r="I19"/>
      <c r="J19"/>
      <c r="K19" s="67"/>
      <c r="L19" s="59">
        <f t="shared" si="1"/>
        <v>2037</v>
      </c>
      <c r="M19" s="60">
        <f t="shared" si="2"/>
        <v>1.5650307834140342E-2</v>
      </c>
      <c r="N19" s="61">
        <v>0</v>
      </c>
      <c r="O19" s="62">
        <f t="shared" si="10"/>
        <v>44.369759928409088</v>
      </c>
      <c r="P19" s="62">
        <f t="shared" si="3"/>
        <v>11536.137581386363</v>
      </c>
      <c r="Q19" s="62">
        <f t="shared" si="7"/>
        <v>1661.2038117196362</v>
      </c>
      <c r="R19" s="73">
        <f t="shared" si="8"/>
        <v>55.373460390654536</v>
      </c>
      <c r="S19" s="74">
        <f t="shared" si="5"/>
        <v>1716.5772721102908</v>
      </c>
      <c r="T19" s="75">
        <f t="shared" si="9"/>
        <v>1085.8838618972854</v>
      </c>
    </row>
    <row r="20" spans="7:20" x14ac:dyDescent="0.3">
      <c r="G20"/>
      <c r="H20" s="1"/>
      <c r="I20"/>
      <c r="J20"/>
      <c r="K20" s="67"/>
      <c r="L20" s="63">
        <f t="shared" si="1"/>
        <v>2038</v>
      </c>
      <c r="M20" s="60">
        <f t="shared" si="2"/>
        <v>1.5650307834140342E-2</v>
      </c>
      <c r="N20" s="61">
        <v>0</v>
      </c>
      <c r="O20" s="62">
        <f t="shared" si="10"/>
        <v>45.064160329815593</v>
      </c>
      <c r="P20" s="62">
        <f t="shared" si="3"/>
        <v>11716.681685752053</v>
      </c>
      <c r="Q20" s="62">
        <f t="shared" si="7"/>
        <v>1687.2021627482957</v>
      </c>
      <c r="R20" s="73">
        <f t="shared" si="8"/>
        <v>56.240072091609854</v>
      </c>
      <c r="S20" s="74">
        <f t="shared" si="5"/>
        <v>1743.4422348399055</v>
      </c>
      <c r="T20" s="75">
        <f t="shared" si="9"/>
        <v>1069.7170500563559</v>
      </c>
    </row>
    <row r="21" spans="7:20" x14ac:dyDescent="0.3">
      <c r="G21"/>
      <c r="H21" s="1"/>
      <c r="I21"/>
      <c r="J21"/>
      <c r="K21" s="67"/>
      <c r="L21" s="59">
        <f>L20+1</f>
        <v>2039</v>
      </c>
      <c r="M21" s="60">
        <f t="shared" si="2"/>
        <v>1.5650307834140342E-2</v>
      </c>
      <c r="N21" s="61">
        <v>0</v>
      </c>
      <c r="O21" s="62">
        <f>O20+(O20*M21)</f>
        <v>45.769428311264264</v>
      </c>
      <c r="P21" s="62">
        <f t="shared" si="3"/>
        <v>11900.051360928708</v>
      </c>
      <c r="Q21" s="62">
        <f t="shared" si="7"/>
        <v>1713.6073959737339</v>
      </c>
      <c r="R21" s="73">
        <f t="shared" si="8"/>
        <v>57.120246532457791</v>
      </c>
      <c r="S21" s="74">
        <f t="shared" si="5"/>
        <v>1770.7276425061916</v>
      </c>
      <c r="T21" s="75">
        <f t="shared" si="9"/>
        <v>1053.7909322843516</v>
      </c>
    </row>
    <row r="22" spans="7:20" x14ac:dyDescent="0.3">
      <c r="G22"/>
      <c r="H22" s="1"/>
      <c r="I22"/>
      <c r="J22"/>
      <c r="K22" s="67"/>
      <c r="L22" s="63">
        <f t="shared" si="1"/>
        <v>2040</v>
      </c>
      <c r="M22" s="60">
        <f t="shared" si="2"/>
        <v>1.5650307834140342E-2</v>
      </c>
      <c r="N22" s="61">
        <v>0</v>
      </c>
      <c r="O22" s="62">
        <f t="shared" si="10"/>
        <v>46.485733953728165</v>
      </c>
      <c r="P22" s="62">
        <f t="shared" si="3"/>
        <v>12086.290827969322</v>
      </c>
      <c r="Q22" s="62">
        <f t="shared" si="7"/>
        <v>1740.4258792275823</v>
      </c>
      <c r="R22" s="73">
        <f t="shared" si="8"/>
        <v>58.014195974252743</v>
      </c>
      <c r="S22" s="74">
        <f t="shared" si="5"/>
        <v>1798.440075201835</v>
      </c>
      <c r="T22" s="75">
        <f t="shared" si="9"/>
        <v>1038.1019250896484</v>
      </c>
    </row>
    <row r="23" spans="7:20" x14ac:dyDescent="0.3">
      <c r="G23"/>
      <c r="H23" s="1"/>
      <c r="I23"/>
      <c r="J23"/>
      <c r="K23" s="67"/>
      <c r="L23" s="59">
        <f t="shared" si="1"/>
        <v>2041</v>
      </c>
      <c r="M23" s="60">
        <f t="shared" si="2"/>
        <v>1.5650307834140342E-2</v>
      </c>
      <c r="N23" s="61">
        <v>0</v>
      </c>
      <c r="O23" s="62">
        <f t="shared" si="10"/>
        <v>47.21324999999996</v>
      </c>
      <c r="P23" s="62">
        <f t="shared" si="3"/>
        <v>12275.444999999989</v>
      </c>
      <c r="Q23" s="62">
        <f t="shared" si="7"/>
        <v>1767.6640799999982</v>
      </c>
      <c r="R23" s="73">
        <f t="shared" si="8"/>
        <v>58.922135999999938</v>
      </c>
      <c r="S23" s="74">
        <f t="shared" si="5"/>
        <v>1826.5862159999981</v>
      </c>
      <c r="T23" s="75">
        <f t="shared" si="9"/>
        <v>1022.6464983322164</v>
      </c>
    </row>
    <row r="24" spans="7:20" x14ac:dyDescent="0.3">
      <c r="G24"/>
      <c r="H24" s="1"/>
      <c r="I24"/>
      <c r="J24"/>
      <c r="K24" s="67"/>
      <c r="L24" s="63">
        <f t="shared" si="1"/>
        <v>2042</v>
      </c>
      <c r="M24" s="60">
        <f t="shared" si="2"/>
        <v>1.5650307834140342E-2</v>
      </c>
      <c r="N24" s="61">
        <v>0</v>
      </c>
      <c r="O24" s="62">
        <f t="shared" si="10"/>
        <v>47.952151896350188</v>
      </c>
      <c r="P24" s="62">
        <f t="shared" si="3"/>
        <v>12467.559493051049</v>
      </c>
      <c r="Q24" s="62">
        <f t="shared" si="7"/>
        <v>1795.3285669993509</v>
      </c>
      <c r="R24" s="73">
        <f t="shared" si="8"/>
        <v>59.844285566645027</v>
      </c>
      <c r="S24" s="74">
        <f t="shared" si="5"/>
        <v>1855.172852565996</v>
      </c>
      <c r="T24" s="75">
        <f t="shared" si="9"/>
        <v>1007.4211744293128</v>
      </c>
    </row>
    <row r="25" spans="7:20" x14ac:dyDescent="0.3">
      <c r="G25"/>
      <c r="H25" s="1"/>
      <c r="I25"/>
      <c r="J25"/>
      <c r="K25" s="67"/>
      <c r="L25" s="59">
        <f t="shared" si="1"/>
        <v>2043</v>
      </c>
      <c r="M25" s="60">
        <f t="shared" si="2"/>
        <v>1.5650307834140342E-2</v>
      </c>
      <c r="N25" s="61">
        <v>0</v>
      </c>
      <c r="O25" s="62">
        <f t="shared" si="10"/>
        <v>48.702617834837525</v>
      </c>
      <c r="P25" s="62">
        <f t="shared" si="3"/>
        <v>12662.680637057756</v>
      </c>
      <c r="Q25" s="62">
        <f t="shared" si="7"/>
        <v>1823.4260117363167</v>
      </c>
      <c r="R25" s="73">
        <f t="shared" si="8"/>
        <v>60.780867057877224</v>
      </c>
      <c r="S25" s="74">
        <f t="shared" si="5"/>
        <v>1884.2068787941939</v>
      </c>
      <c r="T25" s="75">
        <f t="shared" si="9"/>
        <v>992.42252757299968</v>
      </c>
    </row>
    <row r="26" spans="7:20" x14ac:dyDescent="0.3">
      <c r="G26"/>
      <c r="H26" s="1"/>
      <c r="I26"/>
      <c r="J26"/>
      <c r="K26" s="67"/>
      <c r="L26" s="63">
        <f t="shared" si="1"/>
        <v>2044</v>
      </c>
      <c r="M26" s="60">
        <f t="shared" si="2"/>
        <v>1.5650307834140342E-2</v>
      </c>
      <c r="N26" s="61">
        <v>0</v>
      </c>
      <c r="O26" s="62">
        <f t="shared" si="10"/>
        <v>49.464828796281225</v>
      </c>
      <c r="P26" s="62">
        <f t="shared" si="3"/>
        <v>12860.855487033119</v>
      </c>
      <c r="Q26" s="62">
        <f t="shared" si="7"/>
        <v>1851.9631901327691</v>
      </c>
      <c r="R26" s="73">
        <f t="shared" si="8"/>
        <v>61.732106337758964</v>
      </c>
      <c r="S26" s="74">
        <f t="shared" si="5"/>
        <v>1913.6952964705281</v>
      </c>
      <c r="T26" s="75">
        <f t="shared" si="9"/>
        <v>977.64718295931425</v>
      </c>
    </row>
    <row r="27" spans="7:20" x14ac:dyDescent="0.3">
      <c r="G27"/>
      <c r="H27" s="1"/>
      <c r="I27"/>
      <c r="J27"/>
      <c r="K27" s="67"/>
      <c r="L27" s="59">
        <f t="shared" si="1"/>
        <v>2045</v>
      </c>
      <c r="M27" s="60">
        <f t="shared" si="2"/>
        <v>1.5650307834140342E-2</v>
      </c>
      <c r="N27" s="61">
        <v>0</v>
      </c>
      <c r="O27" s="62">
        <f t="shared" si="10"/>
        <v>50.238968593906073</v>
      </c>
      <c r="P27" s="62">
        <f t="shared" si="3"/>
        <v>13062.131834415579</v>
      </c>
      <c r="Q27" s="62">
        <f t="shared" si="7"/>
        <v>1880.9469841558432</v>
      </c>
      <c r="R27" s="73">
        <f t="shared" si="8"/>
        <v>62.69823280519477</v>
      </c>
      <c r="S27" s="74">
        <f t="shared" si="5"/>
        <v>1943.6452169610379</v>
      </c>
      <c r="T27" s="75">
        <f t="shared" si="9"/>
        <v>963.09181602891124</v>
      </c>
    </row>
    <row r="28" spans="7:20" x14ac:dyDescent="0.3">
      <c r="G28"/>
      <c r="H28" s="1"/>
      <c r="I28"/>
      <c r="J28"/>
      <c r="K28" s="67"/>
      <c r="L28" s="59">
        <f t="shared" si="1"/>
        <v>2046</v>
      </c>
      <c r="M28" s="60">
        <f t="shared" si="2"/>
        <v>1.5650307834140342E-2</v>
      </c>
      <c r="N28" s="61">
        <v>0</v>
      </c>
      <c r="O28" s="62">
        <f t="shared" si="10"/>
        <v>51.025223917670409</v>
      </c>
      <c r="P28" s="62">
        <f t="shared" si="3"/>
        <v>13266.558218594306</v>
      </c>
      <c r="Q28" s="62">
        <f t="shared" si="7"/>
        <v>1910.3843834775798</v>
      </c>
      <c r="R28" s="73">
        <f t="shared" si="8"/>
        <v>63.679479449252661</v>
      </c>
      <c r="S28" s="74">
        <f t="shared" si="5"/>
        <v>1974.0638629268326</v>
      </c>
      <c r="T28" s="75">
        <f t="shared" si="9"/>
        <v>948.75315171901559</v>
      </c>
    </row>
    <row r="29" spans="7:20" x14ac:dyDescent="0.3">
      <c r="G29"/>
      <c r="H29" s="1"/>
      <c r="I29"/>
      <c r="J29"/>
      <c r="K29" s="67"/>
      <c r="L29" s="59">
        <f t="shared" si="1"/>
        <v>2047</v>
      </c>
      <c r="M29" s="60">
        <f t="shared" si="2"/>
        <v>1.5650307834140342E-2</v>
      </c>
      <c r="N29" s="61">
        <v>0</v>
      </c>
      <c r="O29" s="62">
        <f t="shared" si="10"/>
        <v>51.823784379287893</v>
      </c>
      <c r="P29" s="62">
        <f t="shared" si="3"/>
        <v>13474.183938614853</v>
      </c>
      <c r="Q29" s="62">
        <f t="shared" si="7"/>
        <v>1940.2824871605387</v>
      </c>
      <c r="R29" s="73">
        <f t="shared" si="8"/>
        <v>64.676082905351294</v>
      </c>
      <c r="S29" s="74">
        <f t="shared" si="5"/>
        <v>2004.9585700658899</v>
      </c>
      <c r="T29" s="75">
        <f t="shared" si="9"/>
        <v>934.62796372650735</v>
      </c>
    </row>
    <row r="30" spans="7:20" x14ac:dyDescent="0.3">
      <c r="G30"/>
      <c r="H30" s="1"/>
      <c r="I30"/>
      <c r="J30"/>
      <c r="K30" s="67"/>
      <c r="L30" s="80">
        <f t="shared" si="1"/>
        <v>2048</v>
      </c>
      <c r="M30" s="60">
        <f t="shared" si="2"/>
        <v>1.5650307834140342E-2</v>
      </c>
      <c r="N30" s="61">
        <v>0</v>
      </c>
      <c r="O30" s="62">
        <f t="shared" si="10"/>
        <v>52.63484255795386</v>
      </c>
      <c r="P30" s="62">
        <f t="shared" si="3"/>
        <v>13685.059065068004</v>
      </c>
      <c r="Q30" s="62">
        <f t="shared" si="7"/>
        <v>1970.6485053697925</v>
      </c>
      <c r="R30" s="73">
        <f t="shared" si="8"/>
        <v>65.688283512326421</v>
      </c>
      <c r="S30" s="74">
        <f t="shared" si="5"/>
        <v>2036.336788882119</v>
      </c>
      <c r="T30" s="75">
        <f t="shared" si="9"/>
        <v>920.71307378198173</v>
      </c>
    </row>
    <row r="31" spans="7:20" x14ac:dyDescent="0.3">
      <c r="G31"/>
      <c r="H31" s="1"/>
      <c r="I31"/>
      <c r="J31"/>
      <c r="K31" s="67"/>
      <c r="L31" s="172">
        <f t="shared" si="1"/>
        <v>2049</v>
      </c>
      <c r="M31" s="60">
        <f t="shared" si="2"/>
        <v>1.5650307834140342E-2</v>
      </c>
      <c r="N31" s="61">
        <v>0</v>
      </c>
      <c r="O31" s="62">
        <v>0</v>
      </c>
      <c r="P31" s="62">
        <f t="shared" si="3"/>
        <v>0</v>
      </c>
      <c r="Q31" s="62">
        <f t="shared" si="7"/>
        <v>0</v>
      </c>
      <c r="R31" s="73">
        <f t="shared" si="8"/>
        <v>0</v>
      </c>
      <c r="S31" s="74">
        <f t="shared" si="5"/>
        <v>0</v>
      </c>
      <c r="T31" s="75">
        <f t="shared" si="9"/>
        <v>0</v>
      </c>
    </row>
    <row r="32" spans="7:20" x14ac:dyDescent="0.3">
      <c r="G32"/>
      <c r="H32" s="1"/>
      <c r="I32"/>
      <c r="J32"/>
      <c r="K32" s="67"/>
      <c r="L32" s="59"/>
      <c r="M32" s="60"/>
      <c r="N32" s="61"/>
      <c r="O32" s="62"/>
      <c r="P32" s="62"/>
      <c r="Q32" s="62"/>
      <c r="R32" s="73"/>
      <c r="S32" s="74"/>
      <c r="T32" s="75"/>
    </row>
    <row r="33" spans="7:20" x14ac:dyDescent="0.3">
      <c r="G33"/>
      <c r="H33" s="1"/>
      <c r="I33"/>
      <c r="J33"/>
      <c r="K33" s="67"/>
      <c r="L33" s="59"/>
      <c r="M33" s="60"/>
      <c r="N33" s="61"/>
      <c r="O33" s="62"/>
      <c r="P33" s="62"/>
      <c r="Q33" s="62"/>
      <c r="R33" s="73"/>
      <c r="S33" s="74"/>
      <c r="T33" s="75"/>
    </row>
    <row r="34" spans="7:20" x14ac:dyDescent="0.3">
      <c r="G34"/>
      <c r="H34" s="1"/>
      <c r="I34"/>
      <c r="J34"/>
      <c r="K34" s="67"/>
      <c r="L34" s="59"/>
      <c r="M34" s="60"/>
      <c r="N34" s="61"/>
      <c r="O34" s="62"/>
      <c r="P34" s="62"/>
      <c r="Q34" s="62"/>
      <c r="R34" s="73"/>
      <c r="S34" s="74"/>
      <c r="T34" s="75"/>
    </row>
    <row r="35" spans="7:20" x14ac:dyDescent="0.3">
      <c r="G35"/>
      <c r="H35" s="1"/>
      <c r="I35"/>
      <c r="J35"/>
      <c r="K35" s="67"/>
      <c r="L35" s="64" t="s">
        <v>41</v>
      </c>
      <c r="M35" s="64"/>
      <c r="N35" s="62"/>
      <c r="O35" s="7"/>
      <c r="P35" s="7"/>
      <c r="Q35" s="90">
        <f>SUM(Q5:Q34)</f>
        <v>32676.44181368022</v>
      </c>
      <c r="R35" s="90">
        <f>SUM(R5:R34)</f>
        <v>1089.214727122674</v>
      </c>
      <c r="S35" s="90">
        <f>SUM(S5:S34)</f>
        <v>33765.656540802891</v>
      </c>
      <c r="T35" s="91">
        <f>SUM(T5:T34)</f>
        <v>20089.671160946866</v>
      </c>
    </row>
    <row r="36" spans="7:20" x14ac:dyDescent="0.3">
      <c r="G36"/>
      <c r="H36" s="1"/>
      <c r="I36"/>
      <c r="J36"/>
      <c r="K36" s="67"/>
      <c r="L36" s="56"/>
      <c r="M36" s="56"/>
      <c r="N36"/>
      <c r="O36"/>
      <c r="P36"/>
      <c r="Q36"/>
      <c r="R36"/>
      <c r="S36"/>
      <c r="T36"/>
    </row>
    <row r="37" spans="7:20" x14ac:dyDescent="0.3">
      <c r="G37"/>
      <c r="H37" s="1"/>
      <c r="I37"/>
      <c r="J37"/>
      <c r="K37" s="67"/>
      <c r="L37" s="56"/>
      <c r="M37" s="56"/>
      <c r="N37"/>
      <c r="O37"/>
      <c r="P37"/>
      <c r="Q37"/>
      <c r="R37"/>
      <c r="S37"/>
      <c r="T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A022-408E-4540-BCAF-227AF57417A0}">
  <sheetPr codeName="Sheet4"/>
  <dimension ref="A1:AA55"/>
  <sheetViews>
    <sheetView topLeftCell="A25" workbookViewId="0">
      <selection activeCell="D49" sqref="D49"/>
    </sheetView>
  </sheetViews>
  <sheetFormatPr defaultColWidth="9.109375" defaultRowHeight="14.4" x14ac:dyDescent="0.3"/>
  <cols>
    <col min="1" max="1" width="64.109375" style="34" bestFit="1" customWidth="1"/>
    <col min="2" max="2" width="19.44140625" style="34" customWidth="1"/>
    <col min="3" max="3" width="28.109375" style="34" customWidth="1"/>
    <col min="4" max="4" width="61.33203125" style="34" customWidth="1"/>
    <col min="5" max="5" width="7.5546875" style="34" customWidth="1"/>
    <col min="6" max="6" width="31" style="34" customWidth="1"/>
    <col min="7" max="7" width="19.88671875" style="34" customWidth="1"/>
    <col min="8" max="8" width="23.109375" style="35" customWidth="1"/>
    <col min="9" max="9" width="19.88671875" style="34" customWidth="1"/>
    <col min="10" max="10" width="18.109375" style="34" bestFit="1" customWidth="1"/>
    <col min="11" max="17" width="9.109375" style="32"/>
    <col min="18" max="27" width="9.109375" style="33"/>
    <col min="28" max="28" width="9.109375" style="32"/>
    <col min="29" max="29" width="11.109375" style="32" bestFit="1" customWidth="1"/>
    <col min="30" max="16384" width="9.109375" style="32"/>
  </cols>
  <sheetData>
    <row r="1" spans="1:11" ht="25.35" customHeight="1" x14ac:dyDescent="0.3">
      <c r="A1" s="29" t="s">
        <v>63</v>
      </c>
      <c r="B1" s="30" t="s">
        <v>64</v>
      </c>
      <c r="C1" s="31"/>
      <c r="D1" s="31"/>
      <c r="E1" s="31"/>
      <c r="F1" s="32"/>
      <c r="G1" s="32"/>
      <c r="H1" s="32"/>
      <c r="I1" s="32"/>
      <c r="J1" s="32"/>
    </row>
    <row r="2" spans="1:11" x14ac:dyDescent="0.3">
      <c r="A2" s="32"/>
      <c r="B2" s="32"/>
      <c r="C2" s="32"/>
      <c r="D2" s="32"/>
      <c r="E2" s="32"/>
    </row>
    <row r="3" spans="1:11" ht="60" customHeight="1" x14ac:dyDescent="0.3">
      <c r="C3" s="32"/>
      <c r="D3" s="32"/>
      <c r="E3" s="36"/>
      <c r="F3" s="164" t="s">
        <v>65</v>
      </c>
      <c r="G3" s="165"/>
      <c r="H3" s="165"/>
      <c r="I3" s="165"/>
      <c r="J3" s="166"/>
      <c r="K3" s="37"/>
    </row>
    <row r="4" spans="1:11" ht="18.75" customHeight="1" x14ac:dyDescent="0.3">
      <c r="A4" s="38" t="s">
        <v>66</v>
      </c>
      <c r="B4" s="99" t="s">
        <v>67</v>
      </c>
      <c r="C4" s="99" t="s">
        <v>68</v>
      </c>
      <c r="D4" s="100"/>
      <c r="E4" s="36"/>
      <c r="F4" s="11"/>
      <c r="G4" s="13"/>
      <c r="H4" s="12"/>
      <c r="I4" s="14"/>
      <c r="J4" s="167"/>
      <c r="K4" s="37"/>
    </row>
    <row r="5" spans="1:11" ht="60" customHeight="1" x14ac:dyDescent="0.3">
      <c r="A5" s="39" t="s">
        <v>69</v>
      </c>
      <c r="B5" s="40">
        <v>2028</v>
      </c>
      <c r="C5" s="32" t="s">
        <v>70</v>
      </c>
      <c r="D5" s="41"/>
      <c r="E5" s="32"/>
      <c r="F5" s="15"/>
      <c r="G5" s="17"/>
      <c r="H5" s="16"/>
      <c r="I5" s="18" t="s">
        <v>71</v>
      </c>
      <c r="J5" s="168"/>
      <c r="K5" s="37"/>
    </row>
    <row r="6" spans="1:11" ht="60" customHeight="1" x14ac:dyDescent="0.3">
      <c r="A6" s="39" t="s">
        <v>72</v>
      </c>
      <c r="B6" s="40">
        <v>2024</v>
      </c>
      <c r="C6" s="32" t="s">
        <v>70</v>
      </c>
      <c r="D6" s="42"/>
      <c r="E6" s="32"/>
      <c r="F6" s="15"/>
      <c r="G6" s="17" t="s">
        <v>73</v>
      </c>
      <c r="H6" s="16" t="s">
        <v>74</v>
      </c>
      <c r="I6" s="18" t="s">
        <v>75</v>
      </c>
      <c r="J6" s="19" t="s">
        <v>76</v>
      </c>
      <c r="K6" s="37"/>
    </row>
    <row r="7" spans="1:11" ht="20.100000000000001" customHeight="1" x14ac:dyDescent="0.3">
      <c r="A7" s="39" t="s">
        <v>77</v>
      </c>
      <c r="B7" s="40">
        <v>2048</v>
      </c>
      <c r="C7" s="32" t="s">
        <v>70</v>
      </c>
      <c r="D7" s="42"/>
      <c r="E7" s="32"/>
      <c r="F7" s="20">
        <v>2020</v>
      </c>
      <c r="G7" s="21">
        <v>0</v>
      </c>
      <c r="H7" s="22">
        <f t="shared" ref="H7:H37" si="0">IF(F7&lt;$B$5,0,G7*$B$8)</f>
        <v>0</v>
      </c>
      <c r="I7" s="23"/>
      <c r="J7" s="24">
        <v>0</v>
      </c>
      <c r="K7" s="37"/>
    </row>
    <row r="8" spans="1:11" ht="20.100000000000001" customHeight="1" x14ac:dyDescent="0.3">
      <c r="A8" s="39" t="s">
        <v>78</v>
      </c>
      <c r="B8" s="43">
        <v>260</v>
      </c>
      <c r="C8" s="32"/>
      <c r="D8" s="42"/>
      <c r="E8" s="32"/>
      <c r="F8" s="20">
        <v>2021</v>
      </c>
      <c r="G8" s="21">
        <v>0</v>
      </c>
      <c r="H8" s="22">
        <f t="shared" si="0"/>
        <v>0</v>
      </c>
      <c r="I8" s="23"/>
      <c r="J8" s="24">
        <v>0</v>
      </c>
      <c r="K8" s="37"/>
    </row>
    <row r="9" spans="1:11" ht="20.100000000000001" customHeight="1" x14ac:dyDescent="0.3">
      <c r="A9" s="44" t="s">
        <v>79</v>
      </c>
      <c r="B9" s="43"/>
      <c r="C9" s="45" t="s">
        <v>80</v>
      </c>
      <c r="D9" s="46"/>
      <c r="E9" s="32"/>
      <c r="F9" s="20">
        <v>2022</v>
      </c>
      <c r="G9" s="21">
        <v>0</v>
      </c>
      <c r="H9" s="22">
        <f t="shared" si="0"/>
        <v>0</v>
      </c>
      <c r="I9" s="23"/>
      <c r="J9" s="24">
        <v>0</v>
      </c>
      <c r="K9" s="37"/>
    </row>
    <row r="10" spans="1:11" ht="20.100000000000001" customHeight="1" x14ac:dyDescent="0.3">
      <c r="A10" s="34" t="s">
        <v>92</v>
      </c>
      <c r="B10" s="95">
        <v>34</v>
      </c>
      <c r="C10" s="45" t="s">
        <v>96</v>
      </c>
      <c r="D10" s="46"/>
      <c r="E10" s="32"/>
      <c r="F10" s="20">
        <v>2023</v>
      </c>
      <c r="G10" s="21">
        <v>0</v>
      </c>
      <c r="H10" s="22">
        <f t="shared" si="0"/>
        <v>0</v>
      </c>
      <c r="I10" s="23"/>
      <c r="J10" s="24">
        <v>0</v>
      </c>
      <c r="K10" s="37"/>
    </row>
    <row r="11" spans="1:11" ht="20.100000000000001" customHeight="1" x14ac:dyDescent="0.3">
      <c r="A11" s="44" t="s">
        <v>81</v>
      </c>
      <c r="B11" s="47">
        <v>7.63</v>
      </c>
      <c r="C11" s="48" t="s">
        <v>82</v>
      </c>
      <c r="D11" s="46"/>
      <c r="E11" s="32"/>
      <c r="F11" s="20">
        <v>2024</v>
      </c>
      <c r="G11" s="21">
        <f>B10</f>
        <v>34</v>
      </c>
      <c r="H11" s="22">
        <f t="shared" si="0"/>
        <v>0</v>
      </c>
      <c r="I11" s="23"/>
      <c r="J11" s="24">
        <v>0</v>
      </c>
      <c r="K11" s="37"/>
    </row>
    <row r="12" spans="1:11" ht="20.100000000000001" customHeight="1" x14ac:dyDescent="0.3">
      <c r="A12" s="49"/>
      <c r="B12" s="50"/>
      <c r="C12" s="51"/>
      <c r="D12" s="52"/>
      <c r="E12" s="32"/>
      <c r="F12" s="20">
        <v>2025</v>
      </c>
      <c r="G12" s="21">
        <f>G11+G11*'Other Externalities '!$I$5</f>
        <v>34.53211046636077</v>
      </c>
      <c r="H12" s="22">
        <f t="shared" si="0"/>
        <v>0</v>
      </c>
      <c r="I12" s="23"/>
      <c r="J12" s="24">
        <v>0</v>
      </c>
      <c r="K12" s="37"/>
    </row>
    <row r="13" spans="1:11" ht="20.100000000000001" customHeight="1" x14ac:dyDescent="0.3">
      <c r="A13" s="53"/>
      <c r="E13" s="32"/>
      <c r="F13" s="20">
        <v>2026</v>
      </c>
      <c r="G13" s="21">
        <f>G12+G12*'Other Externalities '!$I$5</f>
        <v>35.072548625321858</v>
      </c>
      <c r="H13" s="22">
        <f t="shared" si="0"/>
        <v>0</v>
      </c>
      <c r="I13" s="23"/>
      <c r="J13" s="24">
        <v>0</v>
      </c>
      <c r="K13" s="37"/>
    </row>
    <row r="14" spans="1:11" ht="20.100000000000001" customHeight="1" x14ac:dyDescent="0.3">
      <c r="A14" s="1" t="s">
        <v>60</v>
      </c>
      <c r="E14" s="32"/>
      <c r="F14" s="20">
        <v>2027</v>
      </c>
      <c r="G14" s="21">
        <f>G13+G13*'Other Externalities '!$I$5</f>
        <v>35.621444807835999</v>
      </c>
      <c r="H14" s="22">
        <f t="shared" si="0"/>
        <v>0</v>
      </c>
      <c r="I14" s="23"/>
      <c r="J14" s="24">
        <v>0</v>
      </c>
      <c r="K14" s="37"/>
    </row>
    <row r="15" spans="1:11" ht="20.100000000000001" customHeight="1" x14ac:dyDescent="0.3">
      <c r="A15" s="53"/>
      <c r="E15" s="32"/>
      <c r="F15" s="20">
        <v>2028</v>
      </c>
      <c r="G15" s="21">
        <f>G14+G14*'Other Externalities '!$I$5</f>
        <v>36.178931384575471</v>
      </c>
      <c r="H15" s="22">
        <f t="shared" si="0"/>
        <v>9406.5221599896231</v>
      </c>
      <c r="I15" s="23">
        <f t="shared" ref="I15:I16" si="1">H15*$B$11</f>
        <v>71771.764080720823</v>
      </c>
      <c r="J15" s="24">
        <f t="shared" ref="J15:J16" si="2">I15/(1+3.1%)^(F15-2022)</f>
        <v>59758.767148727413</v>
      </c>
      <c r="K15" s="37"/>
    </row>
    <row r="16" spans="1:11" ht="20.100000000000001" customHeight="1" x14ac:dyDescent="0.3">
      <c r="A16" s="53"/>
      <c r="E16" s="32"/>
      <c r="F16" s="20">
        <v>2029</v>
      </c>
      <c r="G16" s="21">
        <f>G15+G15*'Other Externalities '!$I$5</f>
        <v>36.745142797854321</v>
      </c>
      <c r="H16" s="22">
        <f t="shared" si="0"/>
        <v>9553.7371274421239</v>
      </c>
      <c r="I16" s="23">
        <f t="shared" si="1"/>
        <v>72895.014282383403</v>
      </c>
      <c r="J16" s="24">
        <f t="shared" si="2"/>
        <v>58869.069108044343</v>
      </c>
      <c r="K16" s="37"/>
    </row>
    <row r="17" spans="5:11" ht="20.100000000000001" customHeight="1" x14ac:dyDescent="0.3">
      <c r="E17" s="32"/>
      <c r="F17" s="20">
        <v>2030</v>
      </c>
      <c r="G17" s="21">
        <f>G16+G16*'Other Externalities '!$I$5</f>
        <v>37.320215594050183</v>
      </c>
      <c r="H17" s="22">
        <f t="shared" si="0"/>
        <v>9703.2560544530479</v>
      </c>
      <c r="I17" s="23">
        <f>H17*$B$11</f>
        <v>74035.843695476753</v>
      </c>
      <c r="J17" s="24">
        <f>I17/(1+3.1%)^(F17-2022)</f>
        <v>57992.61703345734</v>
      </c>
      <c r="K17" s="37"/>
    </row>
    <row r="18" spans="5:11" ht="20.100000000000001" customHeight="1" x14ac:dyDescent="0.3">
      <c r="E18" s="32"/>
      <c r="F18" s="20">
        <v>2031</v>
      </c>
      <c r="G18" s="21">
        <f>G17+G17*'Other Externalities '!$I$5</f>
        <v>37.90428845653355</v>
      </c>
      <c r="H18" s="22">
        <f t="shared" si="0"/>
        <v>9855.114998698722</v>
      </c>
      <c r="I18" s="23">
        <f t="shared" ref="I18:I47" si="3">H18*$B$11</f>
        <v>75194.527440071251</v>
      </c>
      <c r="J18" s="24">
        <f t="shared" ref="J18:J37" si="4">I18/(1+3.1%)^(F18-2022)</f>
        <v>57129.213716914019</v>
      </c>
      <c r="K18" s="37"/>
    </row>
    <row r="19" spans="5:11" ht="20.100000000000001" customHeight="1" x14ac:dyDescent="0.3">
      <c r="E19" s="32"/>
      <c r="F19" s="20">
        <v>2032</v>
      </c>
      <c r="G19" s="21">
        <f>G18+G18*'Other Externalities '!$I$5</f>
        <v>38.49750223911235</v>
      </c>
      <c r="H19" s="22">
        <f t="shared" si="0"/>
        <v>10009.350582169211</v>
      </c>
      <c r="I19" s="23">
        <f t="shared" si="3"/>
        <v>76371.344941951073</v>
      </c>
      <c r="J19" s="24">
        <f t="shared" si="4"/>
        <v>56278.664886426879</v>
      </c>
      <c r="K19" s="37"/>
    </row>
    <row r="20" spans="5:11" ht="20.100000000000001" customHeight="1" x14ac:dyDescent="0.3">
      <c r="E20" s="32"/>
      <c r="F20" s="20">
        <v>2033</v>
      </c>
      <c r="G20" s="21">
        <f>G19+G19*'Other Externalities '!$I$5</f>
        <v>39.099999999999966</v>
      </c>
      <c r="H20" s="22">
        <f t="shared" si="0"/>
        <v>10165.999999999991</v>
      </c>
      <c r="I20" s="23">
        <f t="shared" si="3"/>
        <v>77566.579999999929</v>
      </c>
      <c r="J20" s="24">
        <f t="shared" si="4"/>
        <v>55440.779162360712</v>
      </c>
      <c r="K20" s="37"/>
    </row>
    <row r="21" spans="5:11" ht="20.100000000000001" customHeight="1" x14ac:dyDescent="0.3">
      <c r="E21" s="32"/>
      <c r="F21" s="20">
        <v>2034</v>
      </c>
      <c r="G21" s="21">
        <f>G20+G20*'Other Externalities '!$I$5</f>
        <v>39.711927036314854</v>
      </c>
      <c r="H21" s="22">
        <f t="shared" si="0"/>
        <v>10325.101029441863</v>
      </c>
      <c r="I21" s="23">
        <f t="shared" si="3"/>
        <v>78780.520854641407</v>
      </c>
      <c r="J21" s="24">
        <f t="shared" si="4"/>
        <v>54615.368014370761</v>
      </c>
      <c r="K21" s="37"/>
    </row>
    <row r="22" spans="5:11" ht="20.100000000000001" customHeight="1" x14ac:dyDescent="0.3">
      <c r="E22" s="32"/>
      <c r="F22" s="20">
        <v>2035</v>
      </c>
      <c r="G22" s="21">
        <f>G21+G21*'Other Externalities '!$I$5</f>
        <v>40.333430919120104</v>
      </c>
      <c r="H22" s="22">
        <f t="shared" si="0"/>
        <v>10486.692038971227</v>
      </c>
      <c r="I22" s="23">
        <f t="shared" si="3"/>
        <v>80013.460257350453</v>
      </c>
      <c r="J22" s="24">
        <f t="shared" si="4"/>
        <v>53802.245718982078</v>
      </c>
      <c r="K22" s="37"/>
    </row>
    <row r="23" spans="5:11" ht="20.100000000000001" customHeight="1" x14ac:dyDescent="0.3">
      <c r="E23" s="32"/>
      <c r="F23" s="20">
        <v>2036</v>
      </c>
      <c r="G23" s="21">
        <f>G22+G22*'Other Externalities '!$I$5</f>
        <v>40.964661529011366</v>
      </c>
      <c r="H23" s="22">
        <f t="shared" si="0"/>
        <v>10650.811997542954</v>
      </c>
      <c r="I23" s="23">
        <f t="shared" si="3"/>
        <v>81265.695541252746</v>
      </c>
      <c r="J23" s="24">
        <f t="shared" si="4"/>
        <v>53001.229317800404</v>
      </c>
      <c r="K23" s="37"/>
    </row>
    <row r="24" spans="5:11" ht="20.100000000000001" customHeight="1" x14ac:dyDescent="0.3">
      <c r="E24" s="32"/>
      <c r="F24" s="20">
        <v>2037</v>
      </c>
      <c r="G24" s="21">
        <f>G23+G23*'Other Externalities '!$I$5</f>
        <v>41.605771092261762</v>
      </c>
      <c r="H24" s="22">
        <f t="shared" si="0"/>
        <v>10817.500483988058</v>
      </c>
      <c r="I24" s="23">
        <f t="shared" si="3"/>
        <v>82537.528692828884</v>
      </c>
      <c r="J24" s="24">
        <f t="shared" si="4"/>
        <v>52212.138576345154</v>
      </c>
      <c r="K24" s="37"/>
    </row>
    <row r="25" spans="5:11" ht="20.100000000000001" customHeight="1" x14ac:dyDescent="0.3">
      <c r="E25" s="32"/>
      <c r="F25" s="20">
        <v>2038</v>
      </c>
      <c r="G25" s="21">
        <f>G24+G24*'Other Externalities '!$I$5</f>
        <v>42.256914217532433</v>
      </c>
      <c r="H25" s="22">
        <f t="shared" si="0"/>
        <v>10986.797696558433</v>
      </c>
      <c r="I25" s="23">
        <f t="shared" si="3"/>
        <v>83829.266424740839</v>
      </c>
      <c r="J25" s="24">
        <f t="shared" si="4"/>
        <v>51434.795943495388</v>
      </c>
      <c r="K25" s="37"/>
    </row>
    <row r="26" spans="5:11" ht="20.100000000000001" customHeight="1" x14ac:dyDescent="0.3">
      <c r="E26" s="32"/>
      <c r="F26" s="20">
        <v>2039</v>
      </c>
      <c r="G26" s="21">
        <f>G25+G25*'Other Externalities '!$I$5</f>
        <v>42.91824793315768</v>
      </c>
      <c r="H26" s="22">
        <f t="shared" si="0"/>
        <v>11158.744462620996</v>
      </c>
      <c r="I26" s="23">
        <f t="shared" si="3"/>
        <v>85141.220249798207</v>
      </c>
      <c r="J26" s="24">
        <f t="shared" si="4"/>
        <v>50669.02651153956</v>
      </c>
      <c r="K26" s="37"/>
    </row>
    <row r="27" spans="5:11" ht="20.100000000000001" customHeight="1" x14ac:dyDescent="0.3">
      <c r="E27" s="32"/>
      <c r="F27" s="20">
        <v>2040</v>
      </c>
      <c r="G27" s="21">
        <f>G26+G26*'Other Externalities '!$I$5</f>
        <v>43.589931725013557</v>
      </c>
      <c r="H27" s="22">
        <f t="shared" si="0"/>
        <v>11333.382248503525</v>
      </c>
      <c r="I27" s="23">
        <f t="shared" si="3"/>
        <v>86473.706556081903</v>
      </c>
      <c r="J27" s="24">
        <f t="shared" si="4"/>
        <v>49914.657976819966</v>
      </c>
      <c r="K27" s="37"/>
    </row>
    <row r="28" spans="5:11" ht="20.100000000000001" customHeight="1" x14ac:dyDescent="0.3">
      <c r="E28" s="32"/>
      <c r="F28" s="20">
        <v>2041</v>
      </c>
      <c r="G28" s="21">
        <f>G27+G27*'Other Externalities '!$I$5</f>
        <v>44.27212757497918</v>
      </c>
      <c r="H28" s="22">
        <f t="shared" si="0"/>
        <v>11510.753169494586</v>
      </c>
      <c r="I28" s="23">
        <f t="shared" si="3"/>
        <v>87827.046683243694</v>
      </c>
      <c r="J28" s="24">
        <f t="shared" si="4"/>
        <v>49171.520600963173</v>
      </c>
      <c r="K28" s="37"/>
    </row>
    <row r="29" spans="5:11" ht="20.100000000000001" customHeight="1" x14ac:dyDescent="0.3">
      <c r="E29" s="32"/>
      <c r="F29" s="20">
        <v>2042</v>
      </c>
      <c r="G29" s="21">
        <f>G28+G28*'Other Externalities '!$I$5</f>
        <v>44.964999999999939</v>
      </c>
      <c r="H29" s="22">
        <f t="shared" si="0"/>
        <v>11690.899999999985</v>
      </c>
      <c r="I29" s="23">
        <f t="shared" si="3"/>
        <v>89201.566999999879</v>
      </c>
      <c r="J29" s="24">
        <f t="shared" si="4"/>
        <v>48439.447172687702</v>
      </c>
      <c r="K29" s="37"/>
    </row>
    <row r="30" spans="5:11" ht="20.100000000000001" customHeight="1" x14ac:dyDescent="0.3">
      <c r="E30" s="32"/>
      <c r="F30" s="20">
        <v>2043</v>
      </c>
      <c r="G30" s="21">
        <f>G29+G29*'Other Externalities '!$I$5</f>
        <v>45.668716091762057</v>
      </c>
      <c r="H30" s="22">
        <f t="shared" si="0"/>
        <v>11873.866183858136</v>
      </c>
      <c r="I30" s="23">
        <f t="shared" si="3"/>
        <v>90597.598982837575</v>
      </c>
      <c r="J30" s="24">
        <f t="shared" si="4"/>
        <v>47718.27297018026</v>
      </c>
      <c r="K30" s="37"/>
    </row>
    <row r="31" spans="5:11" ht="20.100000000000001" customHeight="1" x14ac:dyDescent="0.3">
      <c r="E31" s="32"/>
      <c r="F31" s="20">
        <v>2044</v>
      </c>
      <c r="G31" s="21">
        <f>G30+G30*'Other Externalities '!$I$5</f>
        <v>46.383445556988093</v>
      </c>
      <c r="H31" s="22">
        <f t="shared" si="0"/>
        <v>12059.695844816904</v>
      </c>
      <c r="I31" s="23">
        <f t="shared" si="3"/>
        <v>92015.479295952973</v>
      </c>
      <c r="J31" s="24">
        <f t="shared" si="4"/>
        <v>47007.83572403212</v>
      </c>
      <c r="K31" s="37"/>
    </row>
    <row r="32" spans="5:11" ht="20.100000000000001" customHeight="1" x14ac:dyDescent="0.3">
      <c r="F32" s="20">
        <v>2045</v>
      </c>
      <c r="G32" s="21">
        <f>G31+G31*'Other Externalities '!$I$5</f>
        <v>47.109360758363046</v>
      </c>
      <c r="H32" s="22">
        <f t="shared" si="0"/>
        <v>12248.433797174392</v>
      </c>
      <c r="I32" s="23">
        <f t="shared" si="3"/>
        <v>93455.549872440606</v>
      </c>
      <c r="J32" s="24">
        <f t="shared" si="4"/>
        <v>46307.975580727376</v>
      </c>
      <c r="K32" s="37"/>
    </row>
    <row r="33" spans="6:11" ht="20.100000000000001" customHeight="1" x14ac:dyDescent="0.3">
      <c r="F33" s="20">
        <v>2046</v>
      </c>
      <c r="G33" s="21">
        <f>G32+G32*'Other Externalities '!$I$5</f>
        <v>47.846636756100999</v>
      </c>
      <c r="H33" s="22">
        <f t="shared" si="0"/>
        <v>12440.125556586259</v>
      </c>
      <c r="I33" s="23">
        <f t="shared" si="3"/>
        <v>94918.157996753158</v>
      </c>
      <c r="J33" s="24">
        <f t="shared" si="4"/>
        <v>45618.535066674704</v>
      </c>
      <c r="K33" s="37"/>
    </row>
    <row r="34" spans="6:11" ht="20.100000000000001" customHeight="1" x14ac:dyDescent="0.3">
      <c r="F34" s="20">
        <v>2047</v>
      </c>
      <c r="G34" s="21">
        <f>G33+G33*'Other Externalities '!$I$5</f>
        <v>48.595451350162271</v>
      </c>
      <c r="H34" s="22">
        <f t="shared" si="0"/>
        <v>12634.817351042191</v>
      </c>
      <c r="I34" s="23">
        <f t="shared" si="3"/>
        <v>96403.656388451913</v>
      </c>
      <c r="J34" s="24">
        <f t="shared" si="4"/>
        <v>44939.359052774671</v>
      </c>
      <c r="K34" s="37"/>
    </row>
    <row r="35" spans="6:11" ht="20.100000000000001" customHeight="1" x14ac:dyDescent="0.3">
      <c r="F35" s="20">
        <v>2048</v>
      </c>
      <c r="G35" s="21">
        <f>G34+G34*'Other Externalities '!$I$5</f>
        <v>49.355985123131305</v>
      </c>
      <c r="H35" s="22">
        <f t="shared" si="0"/>
        <v>12832.556132014139</v>
      </c>
      <c r="I35" s="23">
        <f t="shared" si="3"/>
        <v>97912.40328726788</v>
      </c>
      <c r="J35" s="24">
        <f t="shared" si="4"/>
        <v>44270.294719514612</v>
      </c>
      <c r="K35" s="37"/>
    </row>
    <row r="36" spans="6:11" ht="20.100000000000001" customHeight="1" x14ac:dyDescent="0.3">
      <c r="F36" s="20">
        <v>2049</v>
      </c>
      <c r="G36" s="21">
        <v>0</v>
      </c>
      <c r="H36" s="22">
        <f t="shared" si="0"/>
        <v>0</v>
      </c>
      <c r="I36" s="23">
        <f t="shared" si="3"/>
        <v>0</v>
      </c>
      <c r="J36" s="24">
        <f t="shared" si="4"/>
        <v>0</v>
      </c>
      <c r="K36" s="37"/>
    </row>
    <row r="37" spans="6:11" ht="20.100000000000001" customHeight="1" x14ac:dyDescent="0.3">
      <c r="F37" s="20">
        <v>2050</v>
      </c>
      <c r="G37" s="21">
        <v>0</v>
      </c>
      <c r="H37" s="22">
        <f t="shared" si="0"/>
        <v>0</v>
      </c>
      <c r="I37" s="23">
        <f t="shared" si="3"/>
        <v>0</v>
      </c>
      <c r="J37" s="24">
        <f t="shared" si="4"/>
        <v>0</v>
      </c>
      <c r="K37" s="37"/>
    </row>
    <row r="38" spans="6:11" ht="20.100000000000001" customHeight="1" x14ac:dyDescent="0.3">
      <c r="F38" s="20">
        <v>2051</v>
      </c>
      <c r="G38" s="21"/>
      <c r="H38" s="22"/>
      <c r="I38" s="23">
        <f t="shared" si="3"/>
        <v>0</v>
      </c>
      <c r="J38" s="24">
        <v>0</v>
      </c>
      <c r="K38" s="37"/>
    </row>
    <row r="39" spans="6:11" ht="20.100000000000001" customHeight="1" x14ac:dyDescent="0.3">
      <c r="F39" s="20">
        <v>2052</v>
      </c>
      <c r="G39" s="21"/>
      <c r="H39" s="22"/>
      <c r="I39" s="23">
        <f t="shared" si="3"/>
        <v>0</v>
      </c>
      <c r="J39" s="24">
        <v>0</v>
      </c>
      <c r="K39" s="37"/>
    </row>
    <row r="40" spans="6:11" ht="20.100000000000001" customHeight="1" x14ac:dyDescent="0.3">
      <c r="F40" s="20">
        <v>2053</v>
      </c>
      <c r="G40" s="21"/>
      <c r="H40" s="22"/>
      <c r="I40" s="23">
        <f t="shared" si="3"/>
        <v>0</v>
      </c>
      <c r="J40" s="24">
        <v>0</v>
      </c>
      <c r="K40" s="37"/>
    </row>
    <row r="41" spans="6:11" ht="20.100000000000001" customHeight="1" x14ac:dyDescent="0.3">
      <c r="F41" s="20">
        <v>2054</v>
      </c>
      <c r="G41" s="21"/>
      <c r="H41" s="22"/>
      <c r="I41" s="23">
        <f t="shared" si="3"/>
        <v>0</v>
      </c>
      <c r="J41" s="24">
        <v>0</v>
      </c>
      <c r="K41" s="37"/>
    </row>
    <row r="42" spans="6:11" ht="20.100000000000001" customHeight="1" x14ac:dyDescent="0.3">
      <c r="F42" s="20">
        <v>2055</v>
      </c>
      <c r="G42" s="21"/>
      <c r="H42" s="22"/>
      <c r="I42" s="23">
        <f t="shared" si="3"/>
        <v>0</v>
      </c>
      <c r="J42" s="24">
        <v>0</v>
      </c>
      <c r="K42" s="37"/>
    </row>
    <row r="43" spans="6:11" ht="20.100000000000001" customHeight="1" x14ac:dyDescent="0.3">
      <c r="F43" s="20">
        <v>2056</v>
      </c>
      <c r="G43" s="21"/>
      <c r="H43" s="22"/>
      <c r="I43" s="23">
        <f t="shared" si="3"/>
        <v>0</v>
      </c>
      <c r="J43" s="24">
        <v>0</v>
      </c>
      <c r="K43" s="37"/>
    </row>
    <row r="44" spans="6:11" ht="20.100000000000001" customHeight="1" x14ac:dyDescent="0.3">
      <c r="F44" s="20">
        <v>2057</v>
      </c>
      <c r="G44" s="21"/>
      <c r="H44" s="22"/>
      <c r="I44" s="23">
        <f t="shared" si="3"/>
        <v>0</v>
      </c>
      <c r="J44" s="24">
        <v>0</v>
      </c>
      <c r="K44" s="37"/>
    </row>
    <row r="45" spans="6:11" ht="20.100000000000001" customHeight="1" x14ac:dyDescent="0.3">
      <c r="F45" s="20">
        <v>2058</v>
      </c>
      <c r="G45" s="21"/>
      <c r="H45" s="22"/>
      <c r="I45" s="23">
        <f t="shared" si="3"/>
        <v>0</v>
      </c>
      <c r="J45" s="24">
        <v>0</v>
      </c>
      <c r="K45" s="37"/>
    </row>
    <row r="46" spans="6:11" ht="20.100000000000001" customHeight="1" x14ac:dyDescent="0.3">
      <c r="F46" s="20">
        <v>2059</v>
      </c>
      <c r="G46" s="21"/>
      <c r="H46" s="22"/>
      <c r="I46" s="23">
        <f t="shared" si="3"/>
        <v>0</v>
      </c>
      <c r="J46" s="24">
        <v>0</v>
      </c>
      <c r="K46" s="37"/>
    </row>
    <row r="47" spans="6:11" ht="20.100000000000001" customHeight="1" x14ac:dyDescent="0.3">
      <c r="F47" s="20">
        <v>2060</v>
      </c>
      <c r="G47" s="21"/>
      <c r="H47" s="22"/>
      <c r="I47" s="23">
        <f t="shared" si="3"/>
        <v>0</v>
      </c>
      <c r="J47" s="24">
        <v>0</v>
      </c>
      <c r="K47" s="37"/>
    </row>
    <row r="48" spans="6:11" ht="20.100000000000001" customHeight="1" x14ac:dyDescent="0.3">
      <c r="F48" s="25" t="s">
        <v>83</v>
      </c>
      <c r="G48" s="28"/>
      <c r="H48" s="26"/>
      <c r="I48" s="27">
        <f>SUMIFS($I$7:$I$47,$F$7:$F$47,"&gt;="&amp;$B$6,$F$7:$F$47,"&lt;="&amp;$B$7)</f>
        <v>1768207.9325242448</v>
      </c>
      <c r="J48" s="27">
        <f>SUM(J7:J47)</f>
        <v>1084591.8140028387</v>
      </c>
      <c r="K48" s="37"/>
    </row>
    <row r="49" spans="7:9" ht="19.5" customHeight="1" x14ac:dyDescent="0.3">
      <c r="G49" s="54"/>
      <c r="I49" s="54"/>
    </row>
    <row r="50" spans="7:9" ht="20.100000000000001" customHeight="1" x14ac:dyDescent="0.3"/>
    <row r="51" spans="7:9" ht="20.100000000000001" customHeight="1" x14ac:dyDescent="0.3"/>
    <row r="52" spans="7:9" ht="20.100000000000001" customHeight="1" x14ac:dyDescent="0.3"/>
    <row r="53" spans="7:9" ht="20.100000000000001" customHeight="1" x14ac:dyDescent="0.3"/>
    <row r="54" spans="7:9" ht="20.100000000000001" customHeight="1" x14ac:dyDescent="0.3"/>
    <row r="55" spans="7:9" ht="20.100000000000001" customHeight="1" x14ac:dyDescent="0.3"/>
  </sheetData>
  <mergeCells count="2">
    <mergeCell ref="F3:J3"/>
    <mergeCell ref="J4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1636-9C76-4548-980F-324A9C5068FE}">
  <sheetPr codeName="Sheet5"/>
  <dimension ref="A1:AA55"/>
  <sheetViews>
    <sheetView topLeftCell="A26" workbookViewId="0">
      <selection activeCell="I38" sqref="I38"/>
    </sheetView>
  </sheetViews>
  <sheetFormatPr defaultColWidth="9.109375" defaultRowHeight="14.4" x14ac:dyDescent="0.3"/>
  <cols>
    <col min="1" max="1" width="64.109375" style="34" bestFit="1" customWidth="1"/>
    <col min="2" max="3" width="28.109375" style="34" customWidth="1"/>
    <col min="4" max="4" width="36.5546875" style="34" customWidth="1"/>
    <col min="5" max="5" width="7.5546875" style="34" customWidth="1"/>
    <col min="6" max="6" width="31" style="34" customWidth="1"/>
    <col min="7" max="7" width="19.88671875" style="35" customWidth="1"/>
    <col min="8" max="8" width="23.109375" style="35" customWidth="1"/>
    <col min="9" max="9" width="19.88671875" style="34" customWidth="1"/>
    <col min="10" max="10" width="18.109375" style="34" bestFit="1" customWidth="1"/>
    <col min="11" max="17" width="9.109375" style="32"/>
    <col min="18" max="27" width="9.109375" style="33"/>
    <col min="28" max="28" width="9.109375" style="32"/>
    <col min="29" max="29" width="11.109375" style="32" bestFit="1" customWidth="1"/>
    <col min="30" max="16384" width="9.109375" style="32"/>
  </cols>
  <sheetData>
    <row r="1" spans="1:11" ht="25.35" customHeight="1" x14ac:dyDescent="0.3">
      <c r="A1" s="29" t="s">
        <v>63</v>
      </c>
      <c r="B1" s="30" t="s">
        <v>84</v>
      </c>
      <c r="C1" s="31"/>
      <c r="D1" s="31"/>
      <c r="E1" s="31"/>
      <c r="F1" s="32"/>
      <c r="G1" s="32"/>
      <c r="H1" s="32"/>
      <c r="I1" s="32"/>
      <c r="J1" s="32"/>
    </row>
    <row r="2" spans="1:11" x14ac:dyDescent="0.3">
      <c r="A2" s="32"/>
      <c r="B2" s="32"/>
      <c r="C2" s="32"/>
      <c r="D2" s="32"/>
      <c r="E2" s="32"/>
    </row>
    <row r="3" spans="1:11" ht="60" customHeight="1" x14ac:dyDescent="0.3">
      <c r="A3" s="38" t="s">
        <v>66</v>
      </c>
      <c r="B3" s="99" t="s">
        <v>67</v>
      </c>
      <c r="C3" s="169" t="s">
        <v>68</v>
      </c>
      <c r="D3" s="170"/>
      <c r="E3" s="36"/>
      <c r="F3" s="164" t="s">
        <v>65</v>
      </c>
      <c r="G3" s="165"/>
      <c r="H3" s="165"/>
      <c r="I3" s="165"/>
      <c r="J3" s="166"/>
      <c r="K3" s="37"/>
    </row>
    <row r="4" spans="1:11" ht="18.75" customHeight="1" x14ac:dyDescent="0.3">
      <c r="A4" s="39" t="s">
        <v>69</v>
      </c>
      <c r="B4" s="40">
        <v>2028</v>
      </c>
      <c r="C4" s="32" t="s">
        <v>70</v>
      </c>
      <c r="D4" s="41"/>
      <c r="E4" s="36"/>
      <c r="F4" s="11"/>
      <c r="G4" s="12"/>
      <c r="H4" s="12"/>
      <c r="I4" s="14"/>
      <c r="J4" s="167"/>
      <c r="K4" s="37"/>
    </row>
    <row r="5" spans="1:11" ht="60" customHeight="1" x14ac:dyDescent="0.3">
      <c r="A5" s="39" t="s">
        <v>72</v>
      </c>
      <c r="B5" s="40">
        <v>2022</v>
      </c>
      <c r="C5" s="32" t="s">
        <v>70</v>
      </c>
      <c r="D5" s="42"/>
      <c r="E5" s="32"/>
      <c r="F5" s="15"/>
      <c r="G5" s="16"/>
      <c r="H5" s="16"/>
      <c r="I5" s="18"/>
      <c r="J5" s="168"/>
      <c r="K5" s="37"/>
    </row>
    <row r="6" spans="1:11" ht="77.099999999999994" customHeight="1" x14ac:dyDescent="0.3">
      <c r="A6" s="39" t="s">
        <v>77</v>
      </c>
      <c r="B6" s="40">
        <v>2048</v>
      </c>
      <c r="C6" s="32" t="s">
        <v>70</v>
      </c>
      <c r="D6" s="42"/>
      <c r="E6" s="32"/>
      <c r="F6" s="15"/>
      <c r="G6" s="16" t="s">
        <v>85</v>
      </c>
      <c r="H6" s="16" t="s">
        <v>86</v>
      </c>
      <c r="I6" s="18" t="s">
        <v>87</v>
      </c>
      <c r="J6" s="19" t="s">
        <v>76</v>
      </c>
      <c r="K6" s="37"/>
    </row>
    <row r="7" spans="1:11" ht="20.100000000000001" customHeight="1" x14ac:dyDescent="0.3">
      <c r="A7" s="39" t="s">
        <v>78</v>
      </c>
      <c r="B7" s="43">
        <v>260</v>
      </c>
      <c r="C7" s="32"/>
      <c r="D7" s="42"/>
      <c r="E7" s="32"/>
      <c r="F7" s="20">
        <v>2020</v>
      </c>
      <c r="G7" s="21">
        <v>0</v>
      </c>
      <c r="H7" s="22">
        <f>IF(F7&lt;$B$5,0,G7*$B$8)</f>
        <v>0</v>
      </c>
      <c r="I7" s="23"/>
      <c r="J7" s="24">
        <v>0</v>
      </c>
      <c r="K7" s="37"/>
    </row>
    <row r="8" spans="1:11" ht="20.100000000000001" customHeight="1" x14ac:dyDescent="0.3">
      <c r="A8" s="44" t="s">
        <v>88</v>
      </c>
      <c r="C8" s="45" t="s">
        <v>80</v>
      </c>
      <c r="D8" s="46"/>
      <c r="E8" s="32"/>
      <c r="F8" s="20">
        <v>2021</v>
      </c>
      <c r="G8" s="21">
        <v>0</v>
      </c>
      <c r="H8" s="22">
        <f>IF(F8&lt;$B$5,0,G8*$B$8)</f>
        <v>0</v>
      </c>
      <c r="I8" s="23"/>
      <c r="J8" s="24">
        <v>0</v>
      </c>
      <c r="K8" s="37"/>
    </row>
    <row r="9" spans="1:11" ht="20.100000000000001" customHeight="1" x14ac:dyDescent="0.3">
      <c r="A9" s="44" t="s">
        <v>89</v>
      </c>
      <c r="B9" s="43">
        <v>36</v>
      </c>
      <c r="C9" s="45" t="s">
        <v>80</v>
      </c>
      <c r="D9" s="46"/>
      <c r="E9" s="32"/>
      <c r="F9" s="20">
        <v>2022</v>
      </c>
      <c r="G9" s="21">
        <v>0</v>
      </c>
      <c r="H9" s="22">
        <f>IF(F9&lt;$B$5,0,G9*$B$7)</f>
        <v>0</v>
      </c>
      <c r="I9" s="23"/>
      <c r="J9" s="24">
        <v>0</v>
      </c>
      <c r="K9" s="37"/>
    </row>
    <row r="10" spans="1:11" ht="20.100000000000001" customHeight="1" x14ac:dyDescent="0.3">
      <c r="A10" s="44" t="s">
        <v>90</v>
      </c>
      <c r="B10" s="47">
        <v>6.8</v>
      </c>
      <c r="C10" s="48" t="s">
        <v>82</v>
      </c>
      <c r="D10" s="42"/>
      <c r="E10" s="32"/>
      <c r="F10" s="20">
        <v>2023</v>
      </c>
      <c r="G10" s="21">
        <v>0</v>
      </c>
      <c r="H10" s="22">
        <f>IF(F10&lt;$B$5,0,G10*$B$7)</f>
        <v>0</v>
      </c>
      <c r="I10" s="23"/>
      <c r="J10" s="24">
        <v>0</v>
      </c>
      <c r="K10" s="37"/>
    </row>
    <row r="11" spans="1:11" ht="20.100000000000001" customHeight="1" x14ac:dyDescent="0.3">
      <c r="A11" s="49"/>
      <c r="B11" s="50"/>
      <c r="C11" s="51"/>
      <c r="D11" s="52"/>
      <c r="E11" s="32"/>
      <c r="F11" s="20">
        <v>2024</v>
      </c>
      <c r="G11" s="21">
        <v>227</v>
      </c>
      <c r="H11" s="22">
        <f>IF(F11&lt;$B$5,0,G11*$B$7)</f>
        <v>59020</v>
      </c>
      <c r="I11" s="23"/>
      <c r="J11" s="24">
        <v>0</v>
      </c>
      <c r="K11" s="37"/>
    </row>
    <row r="12" spans="1:11" ht="20.100000000000001" customHeight="1" x14ac:dyDescent="0.3">
      <c r="A12" s="55"/>
      <c r="E12" s="32"/>
      <c r="F12" s="20">
        <v>2025</v>
      </c>
      <c r="G12" s="21">
        <f>G11+G11*'Other Externalities '!$I$5</f>
        <v>230.55261987834984</v>
      </c>
      <c r="H12" s="22">
        <f t="shared" ref="H12:H37" si="0">IF(F12&lt;$B$5,0,G12*$B$7)</f>
        <v>59943.68116837096</v>
      </c>
      <c r="I12" s="23"/>
      <c r="J12" s="24">
        <v>0</v>
      </c>
      <c r="K12" s="37"/>
    </row>
    <row r="13" spans="1:11" ht="20.100000000000001" customHeight="1" x14ac:dyDescent="0.3">
      <c r="A13" s="53"/>
      <c r="E13" s="32"/>
      <c r="F13" s="20">
        <v>2026</v>
      </c>
      <c r="G13" s="21">
        <f>G12+G12*'Other Externalities '!$I$5</f>
        <v>234.16083935141356</v>
      </c>
      <c r="H13" s="22">
        <f t="shared" si="0"/>
        <v>60881.818231367528</v>
      </c>
      <c r="I13" s="23"/>
      <c r="J13" s="24">
        <v>0</v>
      </c>
      <c r="K13" s="37"/>
    </row>
    <row r="14" spans="1:11" ht="20.100000000000001" customHeight="1" x14ac:dyDescent="0.3">
      <c r="C14" s="32"/>
      <c r="D14" s="32"/>
      <c r="E14" s="32"/>
      <c r="F14" s="20">
        <v>2027</v>
      </c>
      <c r="G14" s="21">
        <f>G13+G13*'Other Externalities '!$I$5</f>
        <v>237.82552856996386</v>
      </c>
      <c r="H14" s="22">
        <f t="shared" si="0"/>
        <v>61834.637428190603</v>
      </c>
      <c r="I14" s="23"/>
      <c r="J14" s="24">
        <v>0</v>
      </c>
      <c r="K14" s="37"/>
    </row>
    <row r="15" spans="1:11" ht="20.100000000000001" customHeight="1" x14ac:dyDescent="0.3">
      <c r="E15" s="32"/>
      <c r="F15" s="20">
        <v>2028</v>
      </c>
      <c r="G15" s="21">
        <f>G14+G14*'Other Externalities '!$I$5</f>
        <v>241.54757130290093</v>
      </c>
      <c r="H15" s="22">
        <f t="shared" si="0"/>
        <v>62802.368538754243</v>
      </c>
      <c r="I15" s="23">
        <f t="shared" ref="I15:I16" si="1">H15*$B$10</f>
        <v>427056.10606352886</v>
      </c>
      <c r="J15" s="24">
        <f t="shared" ref="J15:J16" si="2">I15/(1+3.1%)^(F15-2022)</f>
        <v>355576.41265428893</v>
      </c>
      <c r="K15" s="37"/>
    </row>
    <row r="16" spans="1:11" ht="20.100000000000001" customHeight="1" x14ac:dyDescent="0.3">
      <c r="E16" s="32"/>
      <c r="F16" s="20">
        <v>2029</v>
      </c>
      <c r="G16" s="21">
        <f>G15+G15*'Other Externalities '!$I$5</f>
        <v>245.32786515038029</v>
      </c>
      <c r="H16" s="22">
        <f t="shared" si="0"/>
        <v>63785.244939098877</v>
      </c>
      <c r="I16" s="23">
        <f t="shared" si="1"/>
        <v>433739.66558587237</v>
      </c>
      <c r="J16" s="24">
        <f t="shared" si="2"/>
        <v>350282.53440435295</v>
      </c>
      <c r="K16" s="37"/>
    </row>
    <row r="17" spans="1:11" ht="20.100000000000001" customHeight="1" x14ac:dyDescent="0.3">
      <c r="E17" s="32"/>
      <c r="F17" s="20">
        <v>2030</v>
      </c>
      <c r="G17" s="21">
        <f>G16+G16*'Other Externalities '!$I$5</f>
        <v>249.16732176027622</v>
      </c>
      <c r="H17" s="22">
        <f t="shared" si="0"/>
        <v>64783.503657671819</v>
      </c>
      <c r="I17" s="23">
        <f>H17*$B$10</f>
        <v>440527.82487216836</v>
      </c>
      <c r="J17" s="24">
        <f>I17/(1+3.1%)^(F17-2022)</f>
        <v>345067.47225674486</v>
      </c>
      <c r="K17" s="37"/>
    </row>
    <row r="18" spans="1:11" ht="20.100000000000001" customHeight="1" x14ac:dyDescent="0.3">
      <c r="E18" s="32"/>
      <c r="F18" s="20">
        <v>2031</v>
      </c>
      <c r="G18" s="21">
        <f>G17+G17*'Other Externalities '!$I$5</f>
        <v>253.06686704803283</v>
      </c>
      <c r="H18" s="22">
        <f t="shared" si="0"/>
        <v>65797.385432488532</v>
      </c>
      <c r="I18" s="23">
        <f t="shared" ref="I18:I47" si="3">H18*$B$10</f>
        <v>447422.22094092198</v>
      </c>
      <c r="J18" s="24">
        <f t="shared" ref="J18:J37" si="4">I18/(1+3.1%)^(F18-2022)</f>
        <v>339930.0527847833</v>
      </c>
      <c r="K18" s="37"/>
    </row>
    <row r="19" spans="1:11" ht="20.100000000000001" customHeight="1" x14ac:dyDescent="0.3">
      <c r="E19" s="32"/>
      <c r="F19" s="20">
        <v>2032</v>
      </c>
      <c r="G19" s="21">
        <f>G18+G18*'Other Externalities '!$I$5</f>
        <v>257.02744141995601</v>
      </c>
      <c r="H19" s="22">
        <f t="shared" si="0"/>
        <v>66827.13476918856</v>
      </c>
      <c r="I19" s="23">
        <f t="shared" si="3"/>
        <v>454424.51643048221</v>
      </c>
      <c r="J19" s="24">
        <f t="shared" si="4"/>
        <v>334869.1200319503</v>
      </c>
      <c r="K19" s="37"/>
    </row>
    <row r="20" spans="1:11" ht="20.100000000000001" customHeight="1" x14ac:dyDescent="0.3">
      <c r="E20" s="32"/>
      <c r="F20" s="20">
        <v>2033</v>
      </c>
      <c r="G20" s="21">
        <f>G19+G19*'Other Externalities '!$I$5</f>
        <v>261.04999999999978</v>
      </c>
      <c r="H20" s="22">
        <f t="shared" si="0"/>
        <v>67872.999999999942</v>
      </c>
      <c r="I20" s="23">
        <f t="shared" si="3"/>
        <v>461536.39999999962</v>
      </c>
      <c r="J20" s="24">
        <f t="shared" si="4"/>
        <v>329883.53525179246</v>
      </c>
      <c r="K20" s="37"/>
    </row>
    <row r="21" spans="1:11" ht="20.100000000000001" customHeight="1" x14ac:dyDescent="0.3">
      <c r="E21" s="32"/>
      <c r="F21" s="20">
        <v>2034</v>
      </c>
      <c r="G21" s="21">
        <f>G20+G20*'Other Externalities '!$I$5</f>
        <v>265.1355128601021</v>
      </c>
      <c r="H21" s="22">
        <f t="shared" si="0"/>
        <v>68935.233343626547</v>
      </c>
      <c r="I21" s="23">
        <f t="shared" si="3"/>
        <v>468759.58673666051</v>
      </c>
      <c r="J21" s="24">
        <f t="shared" si="4"/>
        <v>324972.17665169493</v>
      </c>
      <c r="K21" s="37"/>
    </row>
    <row r="22" spans="1:11" ht="20.100000000000001" customHeight="1" x14ac:dyDescent="0.3">
      <c r="E22" s="32"/>
      <c r="F22" s="20">
        <v>2035</v>
      </c>
      <c r="G22" s="21">
        <f>G21+G21*'Other Externalities '!$I$5</f>
        <v>269.28496525412538</v>
      </c>
      <c r="H22" s="22">
        <f t="shared" si="0"/>
        <v>70014.090966072603</v>
      </c>
      <c r="I22" s="23">
        <f t="shared" si="3"/>
        <v>476095.81856929371</v>
      </c>
      <c r="J22" s="24">
        <f t="shared" si="4"/>
        <v>320133.93914047006</v>
      </c>
      <c r="K22" s="37"/>
    </row>
    <row r="23" spans="1:11" ht="20.100000000000001" customHeight="1" x14ac:dyDescent="0.3">
      <c r="E23" s="32"/>
      <c r="F23" s="20">
        <v>2036</v>
      </c>
      <c r="G23" s="21">
        <f>G22+G22*'Other Externalities '!$I$5</f>
        <v>273.49935785545824</v>
      </c>
      <c r="H23" s="22">
        <f t="shared" si="0"/>
        <v>71109.833042419137</v>
      </c>
      <c r="I23" s="23">
        <f t="shared" si="3"/>
        <v>483546.86468845012</v>
      </c>
      <c r="J23" s="24">
        <f t="shared" si="4"/>
        <v>315367.73407970357</v>
      </c>
      <c r="K23" s="37"/>
    </row>
    <row r="24" spans="1:11" ht="20.100000000000001" customHeight="1" x14ac:dyDescent="0.3">
      <c r="E24" s="32"/>
      <c r="F24" s="20">
        <v>2037</v>
      </c>
      <c r="G24" s="21">
        <f>G23+G23*'Other Externalities '!$I$5</f>
        <v>277.77970699833588</v>
      </c>
      <c r="H24" s="22">
        <f t="shared" si="0"/>
        <v>72222.723819567327</v>
      </c>
      <c r="I24" s="23">
        <f t="shared" si="3"/>
        <v>491114.52197305782</v>
      </c>
      <c r="J24" s="24">
        <f t="shared" si="4"/>
        <v>310672.48903880338</v>
      </c>
      <c r="K24" s="37"/>
    </row>
    <row r="25" spans="1:11" ht="20.100000000000001" customHeight="1" x14ac:dyDescent="0.3">
      <c r="E25" s="32"/>
      <c r="F25" s="20">
        <v>2038</v>
      </c>
      <c r="G25" s="21">
        <f>G24+G24*'Other Externalities '!$I$5</f>
        <v>282.12704492293716</v>
      </c>
      <c r="H25" s="22">
        <f t="shared" si="0"/>
        <v>73353.031679963664</v>
      </c>
      <c r="I25" s="23">
        <f t="shared" si="3"/>
        <v>498800.61542375293</v>
      </c>
      <c r="J25" s="24">
        <f t="shared" si="4"/>
        <v>306047.14755369473</v>
      </c>
      <c r="K25" s="37"/>
    </row>
    <row r="26" spans="1:11" ht="20.100000000000001" customHeight="1" x14ac:dyDescent="0.3">
      <c r="A26" s="53"/>
      <c r="E26" s="32"/>
      <c r="F26" s="20">
        <v>2039</v>
      </c>
      <c r="G26" s="21">
        <f>G25+G25*'Other Externalities '!$I$5</f>
        <v>286.54242002431749</v>
      </c>
      <c r="H26" s="22">
        <f t="shared" si="0"/>
        <v>74501.02920632255</v>
      </c>
      <c r="I26" s="23">
        <f t="shared" si="3"/>
        <v>506606.99860299332</v>
      </c>
      <c r="J26" s="24">
        <f t="shared" si="4"/>
        <v>301490.66888910829</v>
      </c>
      <c r="K26" s="37"/>
    </row>
    <row r="27" spans="1:11" ht="20.100000000000001" customHeight="1" x14ac:dyDescent="0.3">
      <c r="A27" s="53"/>
      <c r="E27" s="32"/>
      <c r="F27" s="20">
        <v>2040</v>
      </c>
      <c r="G27" s="21">
        <f>G26+G26*'Other Externalities '!$I$5</f>
        <v>291.02689710523759</v>
      </c>
      <c r="H27" s="22">
        <f t="shared" si="0"/>
        <v>75666.993247361781</v>
      </c>
      <c r="I27" s="23">
        <f t="shared" si="3"/>
        <v>514535.55408206012</v>
      </c>
      <c r="J27" s="24">
        <f t="shared" si="4"/>
        <v>297002.02780440717</v>
      </c>
      <c r="K27" s="37"/>
    </row>
    <row r="28" spans="1:11" ht="20.100000000000001" customHeight="1" x14ac:dyDescent="0.3">
      <c r="A28" s="53"/>
      <c r="E28" s="32"/>
      <c r="F28" s="20">
        <v>2041</v>
      </c>
      <c r="G28" s="21">
        <f>G27+G27*'Other Externalities '!$I$5</f>
        <v>295.58155763294923</v>
      </c>
      <c r="H28" s="22">
        <f t="shared" si="0"/>
        <v>76851.204984566793</v>
      </c>
      <c r="I28" s="23">
        <f t="shared" si="3"/>
        <v>522588.19389505417</v>
      </c>
      <c r="J28" s="24">
        <f t="shared" si="4"/>
        <v>292580.21432290011</v>
      </c>
      <c r="K28" s="37"/>
    </row>
    <row r="29" spans="1:11" ht="20.100000000000001" customHeight="1" x14ac:dyDescent="0.3">
      <c r="E29" s="32"/>
      <c r="F29" s="20">
        <v>2042</v>
      </c>
      <c r="G29" s="21">
        <f>G28+G28*'Other Externalities '!$I$5</f>
        <v>300.20749999999958</v>
      </c>
      <c r="H29" s="22">
        <f t="shared" si="0"/>
        <v>78053.949999999895</v>
      </c>
      <c r="I29" s="23">
        <f t="shared" si="3"/>
        <v>530766.85999999929</v>
      </c>
      <c r="J29" s="24">
        <f t="shared" si="4"/>
        <v>288224.23350459</v>
      </c>
      <c r="K29" s="37"/>
    </row>
    <row r="30" spans="1:11" ht="20.100000000000001" customHeight="1" x14ac:dyDescent="0.3">
      <c r="E30" s="32"/>
      <c r="F30" s="20">
        <v>2043</v>
      </c>
      <c r="G30" s="21">
        <f>G29+G29*'Other Externalities '!$I$5</f>
        <v>304.90583978911724</v>
      </c>
      <c r="H30" s="22">
        <f t="shared" si="0"/>
        <v>79275.51834517048</v>
      </c>
      <c r="I30" s="23">
        <f t="shared" si="3"/>
        <v>539073.52474715922</v>
      </c>
      <c r="J30" s="24">
        <f t="shared" si="4"/>
        <v>283933.10522230447</v>
      </c>
      <c r="K30" s="37"/>
    </row>
    <row r="31" spans="1:11" ht="20.100000000000001" customHeight="1" x14ac:dyDescent="0.3">
      <c r="E31" s="32"/>
      <c r="F31" s="20">
        <v>2044</v>
      </c>
      <c r="G31" s="21">
        <f>G30+G30*'Other Externalities '!$I$5</f>
        <v>309.67771004224397</v>
      </c>
      <c r="H31" s="22">
        <f t="shared" si="0"/>
        <v>80516.204610983434</v>
      </c>
      <c r="I31" s="23">
        <f t="shared" si="3"/>
        <v>547510.19135468733</v>
      </c>
      <c r="J31" s="24">
        <f t="shared" si="4"/>
        <v>279705.8639411609</v>
      </c>
      <c r="K31" s="37"/>
    </row>
    <row r="32" spans="1:11" ht="20.100000000000001" customHeight="1" x14ac:dyDescent="0.3">
      <c r="F32" s="20">
        <v>2045</v>
      </c>
      <c r="G32" s="21">
        <f>G31+G31*'Other Externalities '!$I$5</f>
        <v>314.52426153377672</v>
      </c>
      <c r="H32" s="22">
        <f t="shared" si="0"/>
        <v>81776.307998781951</v>
      </c>
      <c r="I32" s="23">
        <f t="shared" si="3"/>
        <v>556078.89439171727</v>
      </c>
      <c r="J32" s="24">
        <f t="shared" si="4"/>
        <v>275541.55850131356</v>
      </c>
      <c r="K32" s="37"/>
    </row>
    <row r="33" spans="1:11" ht="20.100000000000001" customHeight="1" x14ac:dyDescent="0.3">
      <c r="A33" s="32"/>
      <c r="B33" s="32"/>
      <c r="C33" s="32"/>
      <c r="D33" s="32"/>
      <c r="F33" s="20">
        <v>2046</v>
      </c>
      <c r="G33" s="21">
        <f>G32+G32*'Other Externalities '!$I$5</f>
        <v>319.44666304808601</v>
      </c>
      <c r="H33" s="22">
        <f t="shared" si="0"/>
        <v>83056.132392502361</v>
      </c>
      <c r="I33" s="23">
        <f t="shared" si="3"/>
        <v>564781.70026901609</v>
      </c>
      <c r="J33" s="24">
        <f t="shared" si="4"/>
        <v>271439.25190393592</v>
      </c>
      <c r="K33" s="37"/>
    </row>
    <row r="34" spans="1:11" ht="20.100000000000001" customHeight="1" x14ac:dyDescent="0.3">
      <c r="A34" s="32"/>
      <c r="B34" s="32"/>
      <c r="C34" s="32"/>
      <c r="D34" s="32"/>
      <c r="F34" s="20">
        <v>2047</v>
      </c>
      <c r="G34" s="21">
        <f>G33+G33*'Other Externalities '!$I$5</f>
        <v>324.44610166137744</v>
      </c>
      <c r="H34" s="22">
        <f t="shared" si="0"/>
        <v>84355.986431958139</v>
      </c>
      <c r="I34" s="23">
        <f t="shared" si="3"/>
        <v>573620.70773731533</v>
      </c>
      <c r="J34" s="24">
        <f t="shared" si="4"/>
        <v>267398.02110038925</v>
      </c>
      <c r="K34" s="37"/>
    </row>
    <row r="35" spans="1:11" ht="20.100000000000001" customHeight="1" x14ac:dyDescent="0.3">
      <c r="A35" s="32"/>
      <c r="B35" s="32"/>
      <c r="C35" s="32"/>
      <c r="D35" s="32"/>
      <c r="F35" s="20">
        <v>2048</v>
      </c>
      <c r="G35" s="21">
        <f>G34+G34*'Other Externalities '!$I$5</f>
        <v>329.52378302796478</v>
      </c>
      <c r="H35" s="22">
        <f t="shared" si="0"/>
        <v>85676.183587270847</v>
      </c>
      <c r="I35" s="23">
        <f t="shared" si="3"/>
        <v>582598.04839344171</v>
      </c>
      <c r="J35" s="24">
        <f t="shared" si="4"/>
        <v>263416.95678452984</v>
      </c>
      <c r="K35" s="37"/>
    </row>
    <row r="36" spans="1:11" ht="20.100000000000001" customHeight="1" x14ac:dyDescent="0.3">
      <c r="F36" s="20">
        <v>2049</v>
      </c>
      <c r="G36" s="21">
        <v>0</v>
      </c>
      <c r="H36" s="22">
        <f t="shared" si="0"/>
        <v>0</v>
      </c>
      <c r="I36" s="23">
        <f t="shared" si="3"/>
        <v>0</v>
      </c>
      <c r="J36" s="24">
        <f t="shared" si="4"/>
        <v>0</v>
      </c>
      <c r="K36" s="37"/>
    </row>
    <row r="37" spans="1:11" ht="20.100000000000001" customHeight="1" x14ac:dyDescent="0.3">
      <c r="F37" s="20">
        <v>2050</v>
      </c>
      <c r="G37" s="21">
        <v>0</v>
      </c>
      <c r="H37" s="22">
        <f t="shared" si="0"/>
        <v>0</v>
      </c>
      <c r="I37" s="23">
        <v>0</v>
      </c>
      <c r="J37" s="24">
        <f t="shared" si="4"/>
        <v>0</v>
      </c>
      <c r="K37" s="37"/>
    </row>
    <row r="38" spans="1:11" ht="20.100000000000001" customHeight="1" x14ac:dyDescent="0.3">
      <c r="F38" s="20">
        <v>2051</v>
      </c>
      <c r="G38" s="21"/>
      <c r="H38" s="22"/>
      <c r="I38" s="23">
        <f t="shared" si="3"/>
        <v>0</v>
      </c>
      <c r="J38" s="24">
        <v>0</v>
      </c>
      <c r="K38" s="37"/>
    </row>
    <row r="39" spans="1:11" ht="20.100000000000001" customHeight="1" x14ac:dyDescent="0.3">
      <c r="F39" s="20">
        <v>2052</v>
      </c>
      <c r="G39" s="21"/>
      <c r="H39" s="22"/>
      <c r="I39" s="23">
        <f t="shared" si="3"/>
        <v>0</v>
      </c>
      <c r="J39" s="24">
        <v>0</v>
      </c>
      <c r="K39" s="37"/>
    </row>
    <row r="40" spans="1:11" ht="20.100000000000001" customHeight="1" x14ac:dyDescent="0.3">
      <c r="F40" s="20">
        <v>2053</v>
      </c>
      <c r="G40" s="21"/>
      <c r="H40" s="22"/>
      <c r="I40" s="23">
        <f t="shared" si="3"/>
        <v>0</v>
      </c>
      <c r="J40" s="24">
        <v>0</v>
      </c>
      <c r="K40" s="37"/>
    </row>
    <row r="41" spans="1:11" ht="20.100000000000001" customHeight="1" x14ac:dyDescent="0.3">
      <c r="F41" s="20">
        <v>2054</v>
      </c>
      <c r="G41" s="21"/>
      <c r="H41" s="22"/>
      <c r="I41" s="23">
        <f t="shared" si="3"/>
        <v>0</v>
      </c>
      <c r="J41" s="24">
        <v>0</v>
      </c>
      <c r="K41" s="37"/>
    </row>
    <row r="42" spans="1:11" ht="20.100000000000001" customHeight="1" x14ac:dyDescent="0.3">
      <c r="F42" s="20">
        <v>2055</v>
      </c>
      <c r="G42" s="21"/>
      <c r="H42" s="22"/>
      <c r="I42" s="23">
        <f t="shared" si="3"/>
        <v>0</v>
      </c>
      <c r="J42" s="24">
        <v>0</v>
      </c>
      <c r="K42" s="37"/>
    </row>
    <row r="43" spans="1:11" ht="20.100000000000001" customHeight="1" x14ac:dyDescent="0.3">
      <c r="F43" s="20">
        <v>2056</v>
      </c>
      <c r="G43" s="21"/>
      <c r="H43" s="22"/>
      <c r="I43" s="23">
        <f t="shared" si="3"/>
        <v>0</v>
      </c>
      <c r="J43" s="24">
        <v>0</v>
      </c>
      <c r="K43" s="37"/>
    </row>
    <row r="44" spans="1:11" ht="20.100000000000001" customHeight="1" x14ac:dyDescent="0.3">
      <c r="F44" s="20">
        <v>2057</v>
      </c>
      <c r="G44" s="21"/>
      <c r="H44" s="22"/>
      <c r="I44" s="23">
        <f t="shared" si="3"/>
        <v>0</v>
      </c>
      <c r="J44" s="24">
        <v>0</v>
      </c>
      <c r="K44" s="37"/>
    </row>
    <row r="45" spans="1:11" ht="20.100000000000001" customHeight="1" x14ac:dyDescent="0.3">
      <c r="F45" s="20">
        <v>2058</v>
      </c>
      <c r="G45" s="21"/>
      <c r="H45" s="22"/>
      <c r="I45" s="23">
        <f t="shared" si="3"/>
        <v>0</v>
      </c>
      <c r="J45" s="24">
        <v>0</v>
      </c>
      <c r="K45" s="37"/>
    </row>
    <row r="46" spans="1:11" ht="20.100000000000001" customHeight="1" x14ac:dyDescent="0.3">
      <c r="F46" s="20">
        <v>2059</v>
      </c>
      <c r="G46" s="21"/>
      <c r="H46" s="22"/>
      <c r="I46" s="23">
        <f t="shared" si="3"/>
        <v>0</v>
      </c>
      <c r="J46" s="24">
        <v>0</v>
      </c>
      <c r="K46" s="37"/>
    </row>
    <row r="47" spans="1:11" ht="20.100000000000001" customHeight="1" x14ac:dyDescent="0.3">
      <c r="F47" s="20">
        <v>2060</v>
      </c>
      <c r="G47" s="21"/>
      <c r="H47" s="22"/>
      <c r="I47" s="23">
        <f t="shared" si="3"/>
        <v>0</v>
      </c>
      <c r="J47" s="24">
        <v>0</v>
      </c>
      <c r="K47" s="37"/>
    </row>
    <row r="48" spans="1:11" ht="20.100000000000001" customHeight="1" x14ac:dyDescent="0.3">
      <c r="F48" s="25" t="s">
        <v>83</v>
      </c>
      <c r="G48" s="28"/>
      <c r="H48" s="26"/>
      <c r="I48" s="27">
        <f>SUMIFS($I$7:$I$47,$F$7:$F$47,"&gt;="&amp;$B$6,$F$7:$F$47,"&lt;="&amp;$B$7)</f>
        <v>0</v>
      </c>
      <c r="J48" s="27">
        <f>SUM(J7:J47)</f>
        <v>6453534.5158229182</v>
      </c>
      <c r="K48" s="37"/>
    </row>
    <row r="49" spans="9:9" ht="20.100000000000001" customHeight="1" x14ac:dyDescent="0.3">
      <c r="I49" s="54"/>
    </row>
    <row r="50" spans="9:9" ht="20.100000000000001" customHeight="1" x14ac:dyDescent="0.3"/>
    <row r="51" spans="9:9" ht="20.100000000000001" customHeight="1" x14ac:dyDescent="0.3"/>
    <row r="52" spans="9:9" ht="20.100000000000001" customHeight="1" x14ac:dyDescent="0.3"/>
    <row r="53" spans="9:9" ht="20.100000000000001" customHeight="1" x14ac:dyDescent="0.3"/>
    <row r="54" spans="9:9" ht="20.100000000000001" customHeight="1" x14ac:dyDescent="0.3"/>
    <row r="55" spans="9:9" ht="20.100000000000001" customHeight="1" x14ac:dyDescent="0.3"/>
  </sheetData>
  <mergeCells count="3">
    <mergeCell ref="C3:D3"/>
    <mergeCell ref="F3:J3"/>
    <mergeCell ref="J4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6A35-7538-4336-9D02-EB9AD99F74B8}">
  <dimension ref="A1:H48"/>
  <sheetViews>
    <sheetView workbookViewId="0">
      <selection activeCell="D12" sqref="D12"/>
    </sheetView>
  </sheetViews>
  <sheetFormatPr defaultRowHeight="14.4" x14ac:dyDescent="0.3"/>
  <cols>
    <col min="2" max="2" width="22.109375" customWidth="1"/>
    <col min="4" max="4" width="18.44140625" customWidth="1"/>
    <col min="5" max="5" width="36.33203125" customWidth="1"/>
  </cols>
  <sheetData>
    <row r="1" spans="1:8" ht="20.399999999999999" thickBot="1" x14ac:dyDescent="0.45">
      <c r="A1" s="107" t="s">
        <v>152</v>
      </c>
      <c r="B1" s="108"/>
      <c r="C1" s="108"/>
      <c r="D1" s="108"/>
      <c r="E1" s="108"/>
      <c r="F1" s="108"/>
      <c r="G1" s="108"/>
      <c r="H1" s="108"/>
    </row>
    <row r="2" spans="1:8" ht="15" thickTop="1" x14ac:dyDescent="0.3">
      <c r="A2" s="114"/>
      <c r="B2" s="114"/>
      <c r="C2" s="114"/>
      <c r="D2" s="114"/>
      <c r="E2" s="114"/>
      <c r="F2" s="114"/>
      <c r="G2" s="114"/>
      <c r="H2" s="114"/>
    </row>
    <row r="3" spans="1:8" x14ac:dyDescent="0.3">
      <c r="A3" s="108" t="s">
        <v>132</v>
      </c>
      <c r="B3" s="108"/>
      <c r="C3" s="108"/>
      <c r="D3" s="108"/>
      <c r="E3" s="108"/>
      <c r="F3" s="108"/>
      <c r="G3" s="108"/>
      <c r="H3" s="108"/>
    </row>
    <row r="4" spans="1:8" x14ac:dyDescent="0.3">
      <c r="A4" s="113" t="s">
        <v>153</v>
      </c>
      <c r="B4" s="114"/>
      <c r="C4" s="114"/>
      <c r="D4" s="114"/>
      <c r="E4" s="114"/>
      <c r="F4" s="114"/>
      <c r="G4" s="114"/>
      <c r="H4" s="114"/>
    </row>
    <row r="5" spans="1:8" x14ac:dyDescent="0.3">
      <c r="A5" s="108" t="s">
        <v>132</v>
      </c>
      <c r="B5" s="108"/>
      <c r="C5" s="108"/>
      <c r="D5" s="108"/>
      <c r="E5" s="108"/>
      <c r="F5" s="108"/>
      <c r="G5" s="108"/>
      <c r="H5" s="108"/>
    </row>
    <row r="6" spans="1:8" x14ac:dyDescent="0.3">
      <c r="A6" s="113" t="s">
        <v>154</v>
      </c>
      <c r="B6" s="114"/>
      <c r="C6" s="114"/>
      <c r="D6" s="114"/>
      <c r="E6" s="114"/>
      <c r="F6" s="114"/>
      <c r="G6" s="108"/>
      <c r="H6" s="108"/>
    </row>
    <row r="7" spans="1:8" x14ac:dyDescent="0.3">
      <c r="A7" s="113" t="s">
        <v>155</v>
      </c>
      <c r="B7" s="114"/>
      <c r="C7" s="114"/>
      <c r="D7" s="114"/>
      <c r="E7" s="114"/>
      <c r="F7" s="114"/>
      <c r="G7" s="114"/>
      <c r="H7" s="114"/>
    </row>
    <row r="8" spans="1:8" x14ac:dyDescent="0.3">
      <c r="A8" s="113" t="s">
        <v>156</v>
      </c>
      <c r="B8" s="114"/>
      <c r="C8" s="114"/>
      <c r="D8" s="114"/>
      <c r="E8" s="114"/>
      <c r="F8" s="114"/>
      <c r="G8" s="108"/>
      <c r="H8" s="108"/>
    </row>
    <row r="9" spans="1:8" x14ac:dyDescent="0.3">
      <c r="A9" s="115" t="s">
        <v>157</v>
      </c>
      <c r="B9" s="108"/>
      <c r="C9" s="108"/>
      <c r="D9" s="108"/>
      <c r="E9" s="108"/>
      <c r="F9" s="108"/>
      <c r="G9" s="108"/>
      <c r="H9" s="108"/>
    </row>
    <row r="10" spans="1:8" x14ac:dyDescent="0.3">
      <c r="A10" s="153" t="s">
        <v>158</v>
      </c>
      <c r="B10" s="116" t="s">
        <v>159</v>
      </c>
      <c r="C10" s="116" t="s">
        <v>160</v>
      </c>
      <c r="D10" s="116" t="s">
        <v>152</v>
      </c>
      <c r="E10" s="116" t="s">
        <v>161</v>
      </c>
      <c r="F10" s="108"/>
      <c r="G10" s="108"/>
      <c r="H10" s="108"/>
    </row>
    <row r="11" spans="1:8" x14ac:dyDescent="0.3">
      <c r="A11" s="154" t="s">
        <v>162</v>
      </c>
      <c r="B11" s="155">
        <f>SUM('[2]Capital Costs'!B9:B23)+'[2]Capital Costs'!A5</f>
        <v>17139701.759999998</v>
      </c>
      <c r="C11" s="156">
        <v>30</v>
      </c>
      <c r="D11" s="157">
        <f>IF(C11&gt;'[2]Project Information'!$B$10,IFERROR(B11*((C11-'[2]Project Information'!$B$10)/C11),0),0)</f>
        <v>2856616.9599999995</v>
      </c>
      <c r="E11" s="157">
        <f>D11/(1.031 ^ (A42 - [2]Instruction!$B$19))</f>
        <v>1143120.6016625757</v>
      </c>
      <c r="F11" s="108"/>
      <c r="G11" s="108"/>
      <c r="H11" s="108"/>
    </row>
    <row r="12" spans="1:8" x14ac:dyDescent="0.3">
      <c r="A12" s="137" t="s">
        <v>163</v>
      </c>
      <c r="B12" s="158"/>
      <c r="C12" s="159"/>
      <c r="D12" s="157">
        <f>SUM(D11:D11)</f>
        <v>2856616.9599999995</v>
      </c>
      <c r="E12" s="157">
        <f>E11</f>
        <v>1143120.6016625757</v>
      </c>
      <c r="F12" s="108"/>
      <c r="G12" s="108"/>
      <c r="H12" s="108"/>
    </row>
    <row r="13" spans="1:8" x14ac:dyDescent="0.3">
      <c r="A13" s="108" t="s">
        <v>132</v>
      </c>
      <c r="B13" s="108"/>
      <c r="C13" s="108"/>
      <c r="D13" s="108"/>
      <c r="E13" s="108"/>
      <c r="F13" s="108"/>
      <c r="G13" s="108"/>
      <c r="H13" s="108"/>
    </row>
    <row r="14" spans="1:8" x14ac:dyDescent="0.3">
      <c r="A14" s="113" t="s">
        <v>164</v>
      </c>
      <c r="B14" s="113"/>
      <c r="C14" s="113"/>
      <c r="D14" s="113"/>
      <c r="E14" s="113"/>
      <c r="F14" s="113"/>
      <c r="G14" s="113"/>
      <c r="H14" s="108"/>
    </row>
    <row r="15" spans="1:8" x14ac:dyDescent="0.3">
      <c r="A15" s="113" t="s">
        <v>165</v>
      </c>
      <c r="B15" s="113"/>
      <c r="C15" s="113"/>
      <c r="D15" s="113"/>
      <c r="E15" s="108"/>
      <c r="F15" s="108"/>
      <c r="G15" s="108"/>
      <c r="H15" s="108"/>
    </row>
    <row r="16" spans="1:8" x14ac:dyDescent="0.3">
      <c r="A16" s="115" t="s">
        <v>166</v>
      </c>
      <c r="B16" s="108"/>
      <c r="C16" s="108"/>
      <c r="D16" s="108"/>
      <c r="E16" s="108"/>
      <c r="F16" s="108"/>
      <c r="G16" s="108"/>
      <c r="H16" s="108"/>
    </row>
    <row r="17" spans="1:8" x14ac:dyDescent="0.3">
      <c r="A17" s="116" t="s">
        <v>35</v>
      </c>
      <c r="B17" s="117" t="s">
        <v>152</v>
      </c>
      <c r="C17" s="108"/>
      <c r="D17" s="108"/>
      <c r="E17" s="108"/>
      <c r="F17" s="108"/>
      <c r="G17" s="108"/>
      <c r="H17" s="108"/>
    </row>
    <row r="18" spans="1:8" x14ac:dyDescent="0.3">
      <c r="A18" s="120">
        <f>'[2]Project Information'!$B$9</f>
        <v>2028</v>
      </c>
      <c r="B18" s="160">
        <f>IF(A18='[2]Project Information'!$B$6+'[2]Project Information'!$B$8+'[2]Project Information'!$B$10+('[2]Project Information'!$B$7-'[2]Project Information'!$B$6-1),$D$12,0)</f>
        <v>0</v>
      </c>
      <c r="C18" s="108"/>
      <c r="D18" s="108"/>
      <c r="E18" s="108"/>
      <c r="F18" s="108"/>
      <c r="G18" s="108"/>
      <c r="H18" s="108"/>
    </row>
    <row r="19" spans="1:8" x14ac:dyDescent="0.3">
      <c r="A19" s="124">
        <f>IF(A18&lt;'[2]Project Information'!B$11,A18+1,"")</f>
        <v>2029</v>
      </c>
      <c r="B19" s="160">
        <f>IF(A19='[2]Project Information'!$B$6+'[2]Project Information'!$B$8+'[2]Project Information'!$B$10+('[2]Project Information'!$B$7-'[2]Project Information'!$B$6-1),$D$12,0)</f>
        <v>0</v>
      </c>
      <c r="C19" s="108"/>
      <c r="D19" s="108"/>
      <c r="E19" s="108"/>
      <c r="F19" s="108"/>
      <c r="G19" s="108"/>
      <c r="H19" s="108"/>
    </row>
    <row r="20" spans="1:8" x14ac:dyDescent="0.3">
      <c r="A20" s="124">
        <f>IF(A19&lt;'[2]Project Information'!B$11,A19+1,"")</f>
        <v>2030</v>
      </c>
      <c r="B20" s="160">
        <f>IF(A20='[2]Project Information'!$B$6+'[2]Project Information'!$B$8+'[2]Project Information'!$B$10+('[2]Project Information'!$B$7-'[2]Project Information'!$B$6-1),$D$12,0)</f>
        <v>0</v>
      </c>
      <c r="C20" s="108"/>
      <c r="D20" s="108"/>
      <c r="E20" s="108"/>
      <c r="F20" s="108"/>
      <c r="G20" s="108"/>
      <c r="H20" s="108"/>
    </row>
    <row r="21" spans="1:8" x14ac:dyDescent="0.3">
      <c r="A21" s="124">
        <f>IF(A20&lt;'[2]Project Information'!B$11,A20+1,"")</f>
        <v>2031</v>
      </c>
      <c r="B21" s="160">
        <f>IF(A21='[2]Project Information'!$B$6+'[2]Project Information'!$B$8+'[2]Project Information'!$B$10+('[2]Project Information'!$B$7-'[2]Project Information'!$B$6-1),$D$12,0)</f>
        <v>0</v>
      </c>
      <c r="C21" s="108"/>
      <c r="D21" s="108"/>
      <c r="E21" s="108"/>
      <c r="F21" s="108"/>
      <c r="G21" s="108"/>
      <c r="H21" s="108"/>
    </row>
    <row r="22" spans="1:8" x14ac:dyDescent="0.3">
      <c r="A22" s="124">
        <f>IF(A21&lt;'[2]Project Information'!B$11,A21+1,"")</f>
        <v>2032</v>
      </c>
      <c r="B22" s="160">
        <f>IF(A22='[2]Project Information'!$B$6+'[2]Project Information'!$B$8+'[2]Project Information'!$B$10+('[2]Project Information'!$B$7-'[2]Project Information'!$B$6-1),$D$12,0)</f>
        <v>0</v>
      </c>
      <c r="C22" s="108"/>
      <c r="D22" s="108"/>
      <c r="E22" s="108"/>
      <c r="F22" s="108"/>
      <c r="G22" s="108"/>
      <c r="H22" s="108"/>
    </row>
    <row r="23" spans="1:8" x14ac:dyDescent="0.3">
      <c r="A23" s="124">
        <f>IF(A22&lt;'[2]Project Information'!B$11,A22+1,"")</f>
        <v>2033</v>
      </c>
      <c r="B23" s="160">
        <f>IF(A23='[2]Project Information'!$B$6+'[2]Project Information'!$B$8+'[2]Project Information'!$B$10+('[2]Project Information'!$B$7-'[2]Project Information'!$B$6-1),$D$12,0)</f>
        <v>0</v>
      </c>
      <c r="C23" s="108"/>
      <c r="D23" s="108"/>
      <c r="E23" s="108"/>
      <c r="F23" s="108"/>
      <c r="G23" s="108"/>
      <c r="H23" s="108"/>
    </row>
    <row r="24" spans="1:8" x14ac:dyDescent="0.3">
      <c r="A24" s="124">
        <f>IF(A23&lt;'[2]Project Information'!B$11,A23+1,"")</f>
        <v>2034</v>
      </c>
      <c r="B24" s="160">
        <f>IF(A24='[2]Project Information'!$B$6+'[2]Project Information'!$B$8+'[2]Project Information'!$B$10+('[2]Project Information'!$B$7-'[2]Project Information'!$B$6-1),$D$12,0)</f>
        <v>0</v>
      </c>
      <c r="C24" s="108"/>
      <c r="D24" s="108"/>
      <c r="E24" s="108"/>
      <c r="F24" s="108"/>
      <c r="G24" s="108"/>
      <c r="H24" s="108"/>
    </row>
    <row r="25" spans="1:8" x14ac:dyDescent="0.3">
      <c r="A25" s="124">
        <f>IF(A24&lt;'[2]Project Information'!B$11,A24+1,"")</f>
        <v>2035</v>
      </c>
      <c r="B25" s="160">
        <f>IF(A25='[2]Project Information'!$B$6+'[2]Project Information'!$B$8+'[2]Project Information'!$B$10+('[2]Project Information'!$B$7-'[2]Project Information'!$B$6-1),$D$12,0)</f>
        <v>0</v>
      </c>
      <c r="C25" s="108"/>
      <c r="D25" s="108"/>
      <c r="E25" s="108"/>
      <c r="F25" s="108"/>
      <c r="G25" s="108"/>
      <c r="H25" s="108"/>
    </row>
    <row r="26" spans="1:8" x14ac:dyDescent="0.3">
      <c r="A26" s="124">
        <f>IF(A25&lt;'[2]Project Information'!B$11,A25+1,"")</f>
        <v>2036</v>
      </c>
      <c r="B26" s="160">
        <f>IF(A26='[2]Project Information'!$B$6+'[2]Project Information'!$B$8+'[2]Project Information'!$B$10+('[2]Project Information'!$B$7-'[2]Project Information'!$B$6-1),$D$12,0)</f>
        <v>0</v>
      </c>
      <c r="C26" s="108"/>
      <c r="D26" s="108"/>
      <c r="E26" s="108"/>
      <c r="F26" s="108"/>
      <c r="G26" s="108"/>
      <c r="H26" s="108"/>
    </row>
    <row r="27" spans="1:8" x14ac:dyDescent="0.3">
      <c r="A27" s="124">
        <f>IF(A26&lt;'[2]Project Information'!B$11,A26+1,"")</f>
        <v>2037</v>
      </c>
      <c r="B27" s="160">
        <f>IF(A27='[2]Project Information'!$B$6+'[2]Project Information'!$B$8+'[2]Project Information'!$B$10+('[2]Project Information'!$B$7-'[2]Project Information'!$B$6-1),$D$12,0)</f>
        <v>0</v>
      </c>
      <c r="C27" s="108"/>
      <c r="D27" s="108"/>
      <c r="E27" s="108"/>
      <c r="F27" s="108"/>
      <c r="G27" s="108"/>
      <c r="H27" s="108"/>
    </row>
    <row r="28" spans="1:8" x14ac:dyDescent="0.3">
      <c r="A28" s="124">
        <f>IF(A27&lt;'[2]Project Information'!B$11,A27+1,"")</f>
        <v>2038</v>
      </c>
      <c r="B28" s="160">
        <f>IF(A28='[2]Project Information'!$B$6+'[2]Project Information'!$B$8+'[2]Project Information'!$B$10+('[2]Project Information'!$B$7-'[2]Project Information'!$B$6-1),$D$12,0)</f>
        <v>0</v>
      </c>
      <c r="C28" s="108"/>
      <c r="D28" s="108"/>
      <c r="E28" s="108"/>
      <c r="F28" s="108"/>
      <c r="G28" s="108"/>
      <c r="H28" s="108"/>
    </row>
    <row r="29" spans="1:8" x14ac:dyDescent="0.3">
      <c r="A29" s="124">
        <f>IF(A28&lt;'[2]Project Information'!B$11,A28+1,"")</f>
        <v>2039</v>
      </c>
      <c r="B29" s="160">
        <f>IF(A29='[2]Project Information'!$B$6+'[2]Project Information'!$B$8+'[2]Project Information'!$B$10+('[2]Project Information'!$B$7-'[2]Project Information'!$B$6-1),$D$12,0)</f>
        <v>0</v>
      </c>
      <c r="C29" s="108"/>
      <c r="D29" s="108"/>
      <c r="E29" s="108"/>
      <c r="F29" s="108"/>
      <c r="G29" s="108"/>
      <c r="H29" s="108"/>
    </row>
    <row r="30" spans="1:8" x14ac:dyDescent="0.3">
      <c r="A30" s="124">
        <f>IF(A29&lt;'[2]Project Information'!B$11,A29+1,"")</f>
        <v>2040</v>
      </c>
      <c r="B30" s="160">
        <f>IF(A30='[2]Project Information'!$B$6+'[2]Project Information'!$B$8+'[2]Project Information'!$B$10+('[2]Project Information'!$B$7-'[2]Project Information'!$B$6-1),$D$12,0)</f>
        <v>0</v>
      </c>
      <c r="C30" s="108"/>
      <c r="D30" s="108"/>
      <c r="E30" s="108"/>
      <c r="F30" s="108"/>
      <c r="G30" s="108"/>
      <c r="H30" s="108"/>
    </row>
    <row r="31" spans="1:8" x14ac:dyDescent="0.3">
      <c r="A31" s="124">
        <f>IF(A30&lt;'[2]Project Information'!B$11,A30+1,"")</f>
        <v>2041</v>
      </c>
      <c r="B31" s="160">
        <f>IF(A31='[2]Project Information'!$B$6+'[2]Project Information'!$B$8+'[2]Project Information'!$B$10+('[2]Project Information'!$B$7-'[2]Project Information'!$B$6-1),$D$12,0)</f>
        <v>0</v>
      </c>
      <c r="C31" s="108"/>
      <c r="D31" s="108"/>
      <c r="E31" s="108"/>
      <c r="F31" s="108"/>
      <c r="G31" s="108"/>
      <c r="H31" s="108"/>
    </row>
    <row r="32" spans="1:8" x14ac:dyDescent="0.3">
      <c r="A32" s="124">
        <f>IF(A31&lt;'[2]Project Information'!B$11,A31+1,"")</f>
        <v>2042</v>
      </c>
      <c r="B32" s="160">
        <f>IF(A32='[2]Project Information'!$B$6+'[2]Project Information'!$B$8+'[2]Project Information'!$B$10+('[2]Project Information'!$B$7-'[2]Project Information'!$B$6-1),$D$12,0)</f>
        <v>0</v>
      </c>
      <c r="C32" s="108"/>
      <c r="D32" s="108"/>
      <c r="E32" s="108"/>
      <c r="F32" s="108"/>
      <c r="G32" s="108"/>
      <c r="H32" s="108"/>
    </row>
    <row r="33" spans="1:8" x14ac:dyDescent="0.3">
      <c r="A33" s="124">
        <f>IF(A32&lt;'[2]Project Information'!B$11,A32+1,"")</f>
        <v>2043</v>
      </c>
      <c r="B33" s="160">
        <f>IF(A33='[2]Project Information'!$B$6+'[2]Project Information'!$B$8+'[2]Project Information'!$B$10+('[2]Project Information'!$B$7-'[2]Project Information'!$B$6-1),$D$12,0)</f>
        <v>0</v>
      </c>
      <c r="C33" s="108"/>
      <c r="D33" s="108"/>
      <c r="E33" s="108"/>
      <c r="F33" s="108"/>
      <c r="G33" s="108"/>
      <c r="H33" s="108"/>
    </row>
    <row r="34" spans="1:8" x14ac:dyDescent="0.3">
      <c r="A34" s="124">
        <f>IF(A33&lt;'[2]Project Information'!B$11,A33+1,"")</f>
        <v>2044</v>
      </c>
      <c r="B34" s="160">
        <f>IF(A34='[2]Project Information'!$B$6+'[2]Project Information'!$B$8+'[2]Project Information'!$B$10+('[2]Project Information'!$B$7-'[2]Project Information'!$B$6-1),$D$12,0)</f>
        <v>0</v>
      </c>
      <c r="C34" s="108"/>
      <c r="D34" s="108"/>
      <c r="E34" s="108"/>
      <c r="F34" s="108"/>
      <c r="G34" s="108"/>
      <c r="H34" s="108"/>
    </row>
    <row r="35" spans="1:8" x14ac:dyDescent="0.3">
      <c r="A35" s="124">
        <f>IF(A34&lt;'[2]Project Information'!B$11,A34+1,"")</f>
        <v>2045</v>
      </c>
      <c r="B35" s="160">
        <f>IF(A35='[2]Project Information'!$B$6+'[2]Project Information'!$B$8+'[2]Project Information'!$B$10+('[2]Project Information'!$B$7-'[2]Project Information'!$B$6-1),$D$12,0)</f>
        <v>0</v>
      </c>
      <c r="C35" s="108"/>
      <c r="D35" s="108"/>
      <c r="E35" s="108"/>
      <c r="F35" s="108"/>
      <c r="G35" s="108"/>
      <c r="H35" s="108"/>
    </row>
    <row r="36" spans="1:8" x14ac:dyDescent="0.3">
      <c r="A36" s="124">
        <f>IF(A35&lt;'[2]Project Information'!B$11,A35+1,"")</f>
        <v>2046</v>
      </c>
      <c r="B36" s="160">
        <f>IF(A36='[2]Project Information'!$B$6+'[2]Project Information'!$B$8+'[2]Project Information'!$B$10+('[2]Project Information'!$B$7-'[2]Project Information'!$B$6-1),$D$12,0)</f>
        <v>0</v>
      </c>
      <c r="C36" s="108"/>
      <c r="D36" s="108"/>
      <c r="E36" s="108"/>
      <c r="F36" s="108"/>
      <c r="G36" s="108"/>
      <c r="H36" s="108"/>
    </row>
    <row r="37" spans="1:8" x14ac:dyDescent="0.3">
      <c r="A37" s="124">
        <f>IF(A36&lt;'[2]Project Information'!B$11,A36+1,"")</f>
        <v>2047</v>
      </c>
      <c r="B37" s="160">
        <f>IF(A37='[2]Project Information'!$B$6+'[2]Project Information'!$B$8+'[2]Project Information'!$B$10+('[2]Project Information'!$B$7-'[2]Project Information'!$B$6-1),$D$12,0)</f>
        <v>0</v>
      </c>
      <c r="C37" s="108"/>
      <c r="D37" s="108"/>
      <c r="E37" s="108"/>
      <c r="F37" s="108"/>
      <c r="G37" s="108"/>
      <c r="H37" s="108"/>
    </row>
    <row r="38" spans="1:8" x14ac:dyDescent="0.3">
      <c r="A38" s="124">
        <f>IF(A37&lt;'[2]Project Information'!B$11,A37+1,"")</f>
        <v>2048</v>
      </c>
      <c r="B38" s="160">
        <f>IF(A38='[2]Project Information'!$B$6+'[2]Project Information'!$B$8+'[2]Project Information'!$B$10+('[2]Project Information'!$B$7-'[2]Project Information'!$B$6-1),$D$12,0)</f>
        <v>0</v>
      </c>
      <c r="C38" s="108"/>
      <c r="D38" s="108"/>
      <c r="E38" s="108"/>
      <c r="F38" s="108"/>
      <c r="G38" s="108"/>
      <c r="H38" s="108"/>
    </row>
    <row r="39" spans="1:8" x14ac:dyDescent="0.3">
      <c r="A39" s="124">
        <f>IF(A38&lt;'[2]Project Information'!B$11,A38+1,"")</f>
        <v>2049</v>
      </c>
      <c r="B39" s="160">
        <f>IF(A39='[2]Project Information'!$B$6+'[2]Project Information'!$B$8+'[2]Project Information'!$B$10+('[2]Project Information'!$B$7-'[2]Project Information'!$B$6-1),$D$12,0)</f>
        <v>0</v>
      </c>
      <c r="C39" s="108"/>
      <c r="D39" s="108"/>
      <c r="E39" s="108"/>
      <c r="F39" s="108"/>
      <c r="G39" s="108"/>
      <c r="H39" s="108"/>
    </row>
    <row r="40" spans="1:8" x14ac:dyDescent="0.3">
      <c r="A40" s="124">
        <f>IF(A39&lt;'[2]Project Information'!B$11,A39+1,"")</f>
        <v>2050</v>
      </c>
      <c r="B40" s="160">
        <f>IF(A40='[2]Project Information'!$B$6+'[2]Project Information'!$B$8+'[2]Project Information'!$B$10+('[2]Project Information'!$B$7-'[2]Project Information'!$B$6-1),$D$12,0)</f>
        <v>0</v>
      </c>
      <c r="C40" s="108"/>
      <c r="D40" s="108"/>
      <c r="E40" s="108"/>
      <c r="F40" s="108"/>
      <c r="G40" s="108"/>
      <c r="H40" s="108"/>
    </row>
    <row r="41" spans="1:8" x14ac:dyDescent="0.3">
      <c r="A41" s="124">
        <f>IF(A40&lt;'[2]Project Information'!B$11,A40+1,"")</f>
        <v>2051</v>
      </c>
      <c r="B41" s="160">
        <f>IF(A41='[2]Project Information'!$B$6+'[2]Project Information'!$B$8+'[2]Project Information'!$B$10+('[2]Project Information'!$B$7-'[2]Project Information'!$B$6-1),$D$12,0)</f>
        <v>0</v>
      </c>
      <c r="C41" s="108"/>
      <c r="D41" s="108"/>
      <c r="E41" s="108"/>
      <c r="F41" s="108"/>
      <c r="G41" s="108"/>
      <c r="H41" s="108"/>
    </row>
    <row r="42" spans="1:8" x14ac:dyDescent="0.3">
      <c r="A42" s="124">
        <f>IF(A41&lt;'[2]Project Information'!B$11,A41+1,"")</f>
        <v>2052</v>
      </c>
      <c r="B42" s="160">
        <f>IF(A42='[2]Project Information'!$B$6+'[2]Project Information'!$B$8+'[2]Project Information'!$B$10+('[2]Project Information'!$B$7-'[2]Project Information'!$B$6-1),$D$12,0)</f>
        <v>2856616.9599999995</v>
      </c>
      <c r="C42" s="108"/>
      <c r="D42" s="108"/>
      <c r="E42" s="108"/>
      <c r="F42" s="108"/>
      <c r="G42" s="108"/>
      <c r="H42" s="108"/>
    </row>
    <row r="43" spans="1:8" x14ac:dyDescent="0.3">
      <c r="A43" s="124" t="str">
        <f>IF(A42&lt;'[2]Project Information'!B$11,A42+1,"")</f>
        <v/>
      </c>
      <c r="B43" s="160">
        <f>IF(A43='[2]Project Information'!$B$6+'[2]Project Information'!$B$8+'[2]Project Information'!$B$10+('[2]Project Information'!$B$7-'[2]Project Information'!$B$6-1),$D$12,0)</f>
        <v>0</v>
      </c>
      <c r="C43" s="108"/>
      <c r="D43" s="108"/>
      <c r="E43" s="108"/>
      <c r="F43" s="108"/>
      <c r="G43" s="108"/>
      <c r="H43" s="108"/>
    </row>
    <row r="44" spans="1:8" x14ac:dyDescent="0.3">
      <c r="A44" s="124" t="str">
        <f>IF(A43&lt;'[2]Project Information'!B$11,A43+1,"")</f>
        <v/>
      </c>
      <c r="B44" s="160">
        <f>IF(A44='[2]Project Information'!$B$6+'[2]Project Information'!$B$8+'[2]Project Information'!$B$10+('[2]Project Information'!$B$7-'[2]Project Information'!$B$6-1),$D$12,0)</f>
        <v>0</v>
      </c>
      <c r="C44" s="108"/>
      <c r="D44" s="108"/>
      <c r="E44" s="108"/>
      <c r="F44" s="108"/>
      <c r="G44" s="108"/>
      <c r="H44" s="108"/>
    </row>
    <row r="45" spans="1:8" x14ac:dyDescent="0.3">
      <c r="A45" s="124" t="str">
        <f>IF(A44&lt;'[2]Project Information'!B$11,A44+1,"")</f>
        <v/>
      </c>
      <c r="B45" s="160">
        <f>IF(A45='[2]Project Information'!$B$6+'[2]Project Information'!$B$8+'[2]Project Information'!$B$10+('[2]Project Information'!$B$7-'[2]Project Information'!$B$6-1),$D$12,0)</f>
        <v>0</v>
      </c>
      <c r="C45" s="108"/>
      <c r="D45" s="108"/>
      <c r="E45" s="108"/>
      <c r="F45" s="108"/>
      <c r="G45" s="108"/>
      <c r="H45" s="108"/>
    </row>
    <row r="46" spans="1:8" x14ac:dyDescent="0.3">
      <c r="A46" s="124" t="str">
        <f>IF(A45&lt;'[2]Project Information'!B$11,A45+1,"")</f>
        <v/>
      </c>
      <c r="B46" s="160">
        <f>IF(A46='[2]Project Information'!$B$6+'[2]Project Information'!$B$8+'[2]Project Information'!$B$10+('[2]Project Information'!$B$7-'[2]Project Information'!$B$6-1),$D$12,0)</f>
        <v>0</v>
      </c>
      <c r="C46" s="108"/>
      <c r="D46" s="108"/>
      <c r="E46" s="108"/>
      <c r="F46" s="108"/>
      <c r="G46" s="108"/>
      <c r="H46" s="108"/>
    </row>
    <row r="47" spans="1:8" x14ac:dyDescent="0.3">
      <c r="A47" s="161" t="str">
        <f>IF(A46&lt;'[2]Project Information'!B$11,A46+1,"")</f>
        <v/>
      </c>
      <c r="B47" s="162">
        <f>IF(A47='[2]Project Information'!$B$6+'[2]Project Information'!$B$8+'[2]Project Information'!$B$10+('[2]Project Information'!$B$7-'[2]Project Information'!$B$6-1),$D$12,0)</f>
        <v>0</v>
      </c>
      <c r="C47" s="108"/>
      <c r="D47" s="108"/>
      <c r="E47" s="108"/>
      <c r="F47" s="108"/>
      <c r="G47" s="108"/>
      <c r="H47" s="108"/>
    </row>
    <row r="48" spans="1:8" x14ac:dyDescent="0.3">
      <c r="A48" s="108"/>
      <c r="B48" s="108"/>
      <c r="C48" s="108"/>
      <c r="D48" s="108"/>
      <c r="E48" s="108"/>
      <c r="F48" s="108"/>
      <c r="G48" s="108"/>
      <c r="H48" s="10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D5F0C-6198-4C3E-BD5D-5DF9A3ADF1B0}">
  <dimension ref="A1:G64"/>
  <sheetViews>
    <sheetView workbookViewId="0">
      <selection activeCell="O50" sqref="O50"/>
    </sheetView>
  </sheetViews>
  <sheetFormatPr defaultRowHeight="14.4" x14ac:dyDescent="0.3"/>
  <cols>
    <col min="1" max="1" width="26.5546875" customWidth="1"/>
    <col min="2" max="2" width="14.88671875" bestFit="1" customWidth="1"/>
    <col min="5" max="5" width="48.77734375" bestFit="1" customWidth="1"/>
    <col min="6" max="6" width="14.88671875" bestFit="1" customWidth="1"/>
  </cols>
  <sheetData>
    <row r="1" spans="1:7" ht="20.399999999999999" thickBot="1" x14ac:dyDescent="0.45">
      <c r="A1" s="107" t="s">
        <v>131</v>
      </c>
      <c r="B1" s="108"/>
      <c r="C1" s="108"/>
      <c r="D1" s="108"/>
      <c r="E1" s="108"/>
      <c r="F1" s="108"/>
      <c r="G1" s="108"/>
    </row>
    <row r="2" spans="1:7" ht="15" thickTop="1" x14ac:dyDescent="0.3">
      <c r="A2" s="109"/>
      <c r="B2" s="110"/>
      <c r="C2" s="110"/>
      <c r="D2" s="110"/>
      <c r="E2" s="110"/>
      <c r="F2" s="110"/>
      <c r="G2" s="110"/>
    </row>
    <row r="3" spans="1:7" x14ac:dyDescent="0.3">
      <c r="A3" s="108" t="s">
        <v>132</v>
      </c>
      <c r="B3" s="108"/>
      <c r="C3" s="108"/>
      <c r="D3" s="108"/>
      <c r="E3" s="108"/>
      <c r="F3" s="108"/>
      <c r="G3" s="108"/>
    </row>
    <row r="4" spans="1:7" x14ac:dyDescent="0.3">
      <c r="A4" s="111"/>
      <c r="B4" s="110"/>
      <c r="C4" s="110"/>
      <c r="D4" s="110"/>
      <c r="E4" s="110"/>
      <c r="F4" s="110"/>
      <c r="G4" s="110"/>
    </row>
    <row r="5" spans="1:7" x14ac:dyDescent="0.3">
      <c r="A5" s="112" t="s">
        <v>132</v>
      </c>
      <c r="B5" s="108"/>
      <c r="C5" s="108"/>
      <c r="D5" s="108"/>
      <c r="E5" s="108"/>
      <c r="F5" s="108"/>
      <c r="G5" s="108"/>
    </row>
    <row r="6" spans="1:7" x14ac:dyDescent="0.3">
      <c r="A6" s="113" t="s">
        <v>151</v>
      </c>
      <c r="B6" s="114"/>
      <c r="C6" s="114"/>
      <c r="D6" s="114"/>
      <c r="E6" s="114"/>
      <c r="F6" s="108"/>
      <c r="G6" s="108"/>
    </row>
    <row r="7" spans="1:7" x14ac:dyDescent="0.3">
      <c r="A7" s="113" t="s">
        <v>133</v>
      </c>
      <c r="B7" s="114"/>
      <c r="C7" s="114"/>
      <c r="D7" s="114"/>
      <c r="E7" s="114"/>
      <c r="F7" s="114"/>
      <c r="G7" s="114"/>
    </row>
    <row r="8" spans="1:7" x14ac:dyDescent="0.3">
      <c r="A8" s="108" t="s">
        <v>132</v>
      </c>
      <c r="B8" s="108"/>
      <c r="C8" s="108"/>
      <c r="D8" s="108"/>
      <c r="E8" s="108"/>
      <c r="F8" s="108"/>
      <c r="G8" s="108"/>
    </row>
    <row r="9" spans="1:7" ht="15" thickBot="1" x14ac:dyDescent="0.35">
      <c r="A9" s="115" t="s">
        <v>131</v>
      </c>
      <c r="B9" s="108"/>
      <c r="C9" s="108"/>
      <c r="D9" s="108"/>
      <c r="E9" s="108"/>
      <c r="F9" s="108"/>
      <c r="G9" s="108"/>
    </row>
    <row r="10" spans="1:7" x14ac:dyDescent="0.3">
      <c r="A10" s="116" t="s">
        <v>35</v>
      </c>
      <c r="B10" s="117" t="s">
        <v>131</v>
      </c>
      <c r="C10" s="108"/>
      <c r="D10" s="108"/>
      <c r="E10" s="118" t="s">
        <v>134</v>
      </c>
      <c r="F10" s="119"/>
      <c r="G10" s="119"/>
    </row>
    <row r="11" spans="1:7" x14ac:dyDescent="0.3">
      <c r="A11" s="120">
        <f>'[2]Project Information'!$B$9</f>
        <v>2028</v>
      </c>
      <c r="B11" s="121">
        <f t="shared" ref="B11:B40" si="0">IF(A11 = "", 0, F33)</f>
        <v>132258</v>
      </c>
      <c r="C11" s="108"/>
      <c r="D11" s="108"/>
      <c r="E11" s="122"/>
      <c r="F11" s="123"/>
    </row>
    <row r="12" spans="1:7" x14ac:dyDescent="0.3">
      <c r="A12" s="124">
        <f>IF(A11&lt;'[2]Project Information'!$B$11,A11+1,"")</f>
        <v>2029</v>
      </c>
      <c r="B12" s="121">
        <f t="shared" si="0"/>
        <v>134506</v>
      </c>
      <c r="C12" s="108"/>
      <c r="D12" s="125"/>
      <c r="E12" s="126" t="s">
        <v>135</v>
      </c>
      <c r="F12" s="127">
        <v>1201</v>
      </c>
    </row>
    <row r="13" spans="1:7" x14ac:dyDescent="0.3">
      <c r="A13" s="124">
        <f>IF(A12&lt;'[2]Project Information'!$B$11,A12+1,"")</f>
        <v>2030</v>
      </c>
      <c r="B13" s="121">
        <f t="shared" si="0"/>
        <v>136793</v>
      </c>
      <c r="C13" s="108"/>
      <c r="D13" s="125"/>
      <c r="E13" s="128"/>
      <c r="F13" s="129"/>
    </row>
    <row r="14" spans="1:7" x14ac:dyDescent="0.3">
      <c r="A14" s="124">
        <f>IF(A13&lt;'[2]Project Information'!$B$11,A13+1,"")</f>
        <v>2031</v>
      </c>
      <c r="B14" s="121">
        <f t="shared" si="0"/>
        <v>139118</v>
      </c>
      <c r="C14" s="108"/>
      <c r="D14" s="125"/>
      <c r="E14" s="126" t="s">
        <v>136</v>
      </c>
      <c r="F14" s="130">
        <v>1.7000000000000001E-2</v>
      </c>
    </row>
    <row r="15" spans="1:7" x14ac:dyDescent="0.3">
      <c r="A15" s="124">
        <f>IF(A14&lt;'[2]Project Information'!$B$11,A14+1,"")</f>
        <v>2032</v>
      </c>
      <c r="B15" s="121">
        <f t="shared" si="0"/>
        <v>141483</v>
      </c>
      <c r="C15" s="108"/>
      <c r="D15" s="125"/>
      <c r="E15" s="126" t="s">
        <v>137</v>
      </c>
      <c r="F15" s="131">
        <v>1.76</v>
      </c>
    </row>
    <row r="16" spans="1:7" x14ac:dyDescent="0.3">
      <c r="A16" s="124">
        <f>IF(A15&lt;'[2]Project Information'!$B$11,A15+1,"")</f>
        <v>2033</v>
      </c>
      <c r="B16" s="121">
        <f t="shared" si="0"/>
        <v>143888</v>
      </c>
      <c r="C16" s="108"/>
      <c r="D16" s="125"/>
      <c r="E16" s="108"/>
      <c r="F16" s="108"/>
    </row>
    <row r="17" spans="1:6" x14ac:dyDescent="0.3">
      <c r="A17" s="124">
        <f>IF(A16&lt;'[2]Project Information'!$B$11,A16+1,"")</f>
        <v>2034</v>
      </c>
      <c r="B17" s="121">
        <f t="shared" si="0"/>
        <v>146334</v>
      </c>
      <c r="C17" s="108"/>
      <c r="D17" s="125"/>
      <c r="E17" s="132" t="s">
        <v>138</v>
      </c>
      <c r="F17" s="133"/>
    </row>
    <row r="18" spans="1:6" x14ac:dyDescent="0.3">
      <c r="A18" s="124">
        <f>IF(A17&lt;'[2]Project Information'!$B$11,A17+1,"")</f>
        <v>2035</v>
      </c>
      <c r="B18" s="121">
        <f t="shared" si="0"/>
        <v>148822</v>
      </c>
      <c r="C18" s="108"/>
      <c r="D18" s="125"/>
      <c r="E18" s="134" t="s">
        <v>139</v>
      </c>
      <c r="F18" s="130">
        <f>'[2]Project Information'!B28</f>
        <v>20</v>
      </c>
    </row>
    <row r="19" spans="1:6" x14ac:dyDescent="0.3">
      <c r="A19" s="124">
        <f>IF(A18&lt;'[2]Project Information'!$B$11,A18+1,"")</f>
        <v>2036</v>
      </c>
      <c r="B19" s="121">
        <f t="shared" si="0"/>
        <v>151352</v>
      </c>
      <c r="C19" s="108"/>
      <c r="D19" s="125"/>
      <c r="E19" s="134" t="s">
        <v>140</v>
      </c>
      <c r="F19" s="135">
        <v>25</v>
      </c>
    </row>
    <row r="20" spans="1:6" x14ac:dyDescent="0.3">
      <c r="A20" s="124">
        <f>IF(A19&lt;'[2]Project Information'!$B$11,A19+1,"")</f>
        <v>2037</v>
      </c>
      <c r="B20" s="121">
        <f t="shared" si="0"/>
        <v>153925</v>
      </c>
      <c r="C20" s="108"/>
      <c r="D20" s="125"/>
      <c r="E20" s="134" t="s">
        <v>141</v>
      </c>
      <c r="F20" s="136">
        <f>MIN(F18, 31)*'[2]Parameter Values'!$B$140</f>
        <v>2.2000000000000002</v>
      </c>
    </row>
    <row r="21" spans="1:6" x14ac:dyDescent="0.3">
      <c r="A21" s="124">
        <f>IF(A20&lt;'[2]Project Information'!$B$11,A20+1,"")</f>
        <v>2038</v>
      </c>
      <c r="B21" s="121">
        <f t="shared" si="0"/>
        <v>156542</v>
      </c>
      <c r="C21" s="108"/>
      <c r="D21" s="125"/>
      <c r="E21" s="137" t="s">
        <v>142</v>
      </c>
      <c r="F21" s="138">
        <v>24166</v>
      </c>
    </row>
    <row r="22" spans="1:6" x14ac:dyDescent="0.3">
      <c r="A22" s="124">
        <f>IF(A21&lt;'[2]Project Information'!$B$11,A21+1,"")</f>
        <v>2039</v>
      </c>
      <c r="B22" s="121">
        <f t="shared" si="0"/>
        <v>159203</v>
      </c>
      <c r="C22" s="108"/>
      <c r="D22" s="125"/>
      <c r="E22" s="124" t="s">
        <v>143</v>
      </c>
      <c r="F22" s="138">
        <v>7250</v>
      </c>
    </row>
    <row r="23" spans="1:6" x14ac:dyDescent="0.3">
      <c r="A23" s="124">
        <f>IF(A22&lt;'[2]Project Information'!$B$11,A22+1,"")</f>
        <v>2040</v>
      </c>
      <c r="B23" s="121">
        <f t="shared" si="0"/>
        <v>161910</v>
      </c>
      <c r="C23" s="108"/>
      <c r="D23" s="125"/>
      <c r="E23" s="134" t="s">
        <v>144</v>
      </c>
      <c r="F23" s="139">
        <v>61141</v>
      </c>
    </row>
    <row r="24" spans="1:6" x14ac:dyDescent="0.3">
      <c r="A24" s="124">
        <f>IF(A23&lt;'[2]Project Information'!$B$11,A23+1,"")</f>
        <v>2041</v>
      </c>
      <c r="B24" s="121">
        <f t="shared" si="0"/>
        <v>164662</v>
      </c>
      <c r="C24" s="108"/>
      <c r="D24" s="125"/>
    </row>
    <row r="25" spans="1:6" x14ac:dyDescent="0.3">
      <c r="A25" s="124">
        <f>IF(A24&lt;'[2]Project Information'!$B$11,A24+1,"")</f>
        <v>2042</v>
      </c>
      <c r="B25" s="121">
        <f t="shared" si="0"/>
        <v>167461</v>
      </c>
      <c r="C25" s="108"/>
      <c r="D25" s="125"/>
      <c r="E25" s="140" t="s">
        <v>145</v>
      </c>
      <c r="F25" s="141"/>
    </row>
    <row r="26" spans="1:6" x14ac:dyDescent="0.3">
      <c r="A26" s="124">
        <f>IF(A25&lt;'[2]Project Information'!$B$11,A25+1,"")</f>
        <v>2043</v>
      </c>
      <c r="B26" s="121">
        <f t="shared" si="0"/>
        <v>170308</v>
      </c>
      <c r="C26" s="108"/>
      <c r="D26" s="125"/>
      <c r="E26" s="142" t="s">
        <v>146</v>
      </c>
      <c r="F26" s="143" t="str">
        <f>'[2]Project Information'!B34</f>
        <v>Yes</v>
      </c>
    </row>
    <row r="27" spans="1:6" x14ac:dyDescent="0.3">
      <c r="A27" s="124">
        <f>IF(A26&lt;'[2]Project Information'!$B$11,A26+1,"")</f>
        <v>2044</v>
      </c>
      <c r="B27" s="121">
        <f t="shared" si="0"/>
        <v>173203</v>
      </c>
      <c r="C27" s="108"/>
      <c r="D27" s="125"/>
      <c r="E27" s="144" t="s">
        <v>140</v>
      </c>
      <c r="F27" s="145">
        <v>25</v>
      </c>
    </row>
    <row r="28" spans="1:6" x14ac:dyDescent="0.3">
      <c r="A28" s="124">
        <f>IF(A27&lt;'[2]Project Information'!$B$11,A27+1,"")</f>
        <v>2045</v>
      </c>
      <c r="B28" s="121">
        <f t="shared" si="0"/>
        <v>176148</v>
      </c>
      <c r="C28" s="108"/>
      <c r="D28" s="125"/>
      <c r="E28" s="137" t="s">
        <v>147</v>
      </c>
      <c r="F28" s="138">
        <v>34602</v>
      </c>
    </row>
    <row r="29" spans="1:6" x14ac:dyDescent="0.3">
      <c r="A29" s="124">
        <f>IF(A28&lt;'[2]Project Information'!$B$11,A28+1,"")</f>
        <v>2046</v>
      </c>
      <c r="B29" s="121">
        <f t="shared" si="0"/>
        <v>179142</v>
      </c>
      <c r="C29" s="108"/>
      <c r="D29" s="125"/>
      <c r="E29" s="137" t="s">
        <v>148</v>
      </c>
      <c r="F29" s="138">
        <v>7266</v>
      </c>
    </row>
    <row r="30" spans="1:6" x14ac:dyDescent="0.3">
      <c r="A30" s="124">
        <f>IF(A29&lt;'[2]Project Information'!$B$11,A29+1,"")</f>
        <v>2047</v>
      </c>
      <c r="B30" s="121">
        <f t="shared" si="0"/>
        <v>182188</v>
      </c>
      <c r="C30" s="108"/>
      <c r="D30" s="125"/>
      <c r="E30" s="134" t="s">
        <v>144</v>
      </c>
      <c r="F30" s="146">
        <f>IF(F26="Yes", '[2]Parameter Values'!$B$156*(F28 + 0.5*F29), 0)</f>
        <v>71117.100000000006</v>
      </c>
    </row>
    <row r="31" spans="1:6" x14ac:dyDescent="0.3">
      <c r="A31" s="124">
        <f>IF(A30&lt;'[2]Project Information'!$B$11,A30+1,"")</f>
        <v>2048</v>
      </c>
      <c r="B31" s="121">
        <f t="shared" si="0"/>
        <v>185285</v>
      </c>
      <c r="C31" s="108"/>
      <c r="D31" s="125"/>
    </row>
    <row r="32" spans="1:6" x14ac:dyDescent="0.3">
      <c r="A32" s="124">
        <f>IF(A31&lt;'[2]Project Information'!$B$11,A31+1,"")</f>
        <v>2049</v>
      </c>
      <c r="B32" s="121">
        <f t="shared" si="0"/>
        <v>188435</v>
      </c>
      <c r="C32" s="108"/>
      <c r="D32" s="125"/>
      <c r="E32" s="117" t="s">
        <v>35</v>
      </c>
      <c r="F32" s="117" t="s">
        <v>131</v>
      </c>
    </row>
    <row r="33" spans="1:6" x14ac:dyDescent="0.3">
      <c r="A33" s="124">
        <f>IF(A32&lt;'[2]Project Information'!$B$11,A32+1,"")</f>
        <v>2050</v>
      </c>
      <c r="B33" s="121">
        <f t="shared" si="0"/>
        <v>191638</v>
      </c>
      <c r="C33" s="108"/>
      <c r="D33" s="125"/>
      <c r="E33" s="120">
        <f>'[2]Project Information'!$B$9</f>
        <v>2028</v>
      </c>
      <c r="F33" s="121">
        <v>132258</v>
      </c>
    </row>
    <row r="34" spans="1:6" x14ac:dyDescent="0.3">
      <c r="A34" s="124">
        <f>IF(A33&lt;'[2]Project Information'!$B$11,A33+1,"")</f>
        <v>2051</v>
      </c>
      <c r="B34" s="121">
        <f t="shared" si="0"/>
        <v>194896</v>
      </c>
      <c r="C34" s="108"/>
      <c r="D34" s="125"/>
      <c r="E34" s="124">
        <f>IF(E33&lt;'[2]Project Information'!$B$11,E33+1,"")</f>
        <v>2029</v>
      </c>
      <c r="F34" s="121">
        <v>134506</v>
      </c>
    </row>
    <row r="35" spans="1:6" x14ac:dyDescent="0.3">
      <c r="A35" s="124">
        <f>IF(A34&lt;'[2]Project Information'!$B$11,A34+1,"")</f>
        <v>2052</v>
      </c>
      <c r="B35" s="121">
        <f t="shared" si="0"/>
        <v>198209</v>
      </c>
      <c r="C35" s="108"/>
      <c r="D35" s="125"/>
      <c r="E35" s="124">
        <f>IF(E34&lt;'[2]Project Information'!$B$11,E34+1,"")</f>
        <v>2030</v>
      </c>
      <c r="F35" s="121">
        <v>136793</v>
      </c>
    </row>
    <row r="36" spans="1:6" x14ac:dyDescent="0.3">
      <c r="A36" s="124" t="str">
        <f>IF(A35&lt;'[2]Project Information'!$B$11,A35+1,"")</f>
        <v/>
      </c>
      <c r="B36" s="121">
        <f t="shared" si="0"/>
        <v>0</v>
      </c>
      <c r="C36" s="108"/>
      <c r="D36" s="125"/>
      <c r="E36" s="124">
        <f>IF(E35&lt;'[2]Project Information'!$B$11,E35+1,"")</f>
        <v>2031</v>
      </c>
      <c r="F36" s="121">
        <v>139118</v>
      </c>
    </row>
    <row r="37" spans="1:6" x14ac:dyDescent="0.3">
      <c r="A37" s="124" t="str">
        <f>IF(A36&lt;'[2]Project Information'!$B$11,A36+1,"")</f>
        <v/>
      </c>
      <c r="B37" s="121">
        <f t="shared" si="0"/>
        <v>0</v>
      </c>
      <c r="C37" s="108"/>
      <c r="D37" s="125"/>
      <c r="E37" s="124">
        <f>IF(E36&lt;'[2]Project Information'!$B$11,E36+1,"")</f>
        <v>2032</v>
      </c>
      <c r="F37" s="121">
        <v>141483</v>
      </c>
    </row>
    <row r="38" spans="1:6" x14ac:dyDescent="0.3">
      <c r="A38" s="124" t="str">
        <f>IF(A37&lt;'[2]Project Information'!$B$11,A37+1,"")</f>
        <v/>
      </c>
      <c r="B38" s="121">
        <f t="shared" si="0"/>
        <v>0</v>
      </c>
      <c r="C38" s="108"/>
      <c r="D38" s="125"/>
      <c r="E38" s="124">
        <f>IF(E37&lt;'[2]Project Information'!$B$11,E37+1,"")</f>
        <v>2033</v>
      </c>
      <c r="F38" s="121">
        <v>143888</v>
      </c>
    </row>
    <row r="39" spans="1:6" x14ac:dyDescent="0.3">
      <c r="A39" s="124" t="str">
        <f>IF(A38&lt;'[2]Project Information'!$B$11,A38+1,"")</f>
        <v/>
      </c>
      <c r="B39" s="121">
        <f t="shared" si="0"/>
        <v>0</v>
      </c>
      <c r="C39" s="108"/>
      <c r="D39" s="125"/>
      <c r="E39" s="124">
        <f>IF(E38&lt;'[2]Project Information'!$B$11,E38+1,"")</f>
        <v>2034</v>
      </c>
      <c r="F39" s="121">
        <v>146334</v>
      </c>
    </row>
    <row r="40" spans="1:6" x14ac:dyDescent="0.3">
      <c r="A40" s="147" t="str">
        <f>IF(A39&lt;'[2]Project Information'!$B$11,A39+1,"")</f>
        <v/>
      </c>
      <c r="B40" s="148">
        <f t="shared" si="0"/>
        <v>0</v>
      </c>
      <c r="C40" s="108"/>
      <c r="D40" s="125"/>
      <c r="E40" s="124">
        <f>IF(E39&lt;'[2]Project Information'!$B$11,E39+1,"")</f>
        <v>2035</v>
      </c>
      <c r="F40" s="121">
        <v>148822</v>
      </c>
    </row>
    <row r="41" spans="1:6" x14ac:dyDescent="0.3">
      <c r="A41" s="149" t="s">
        <v>149</v>
      </c>
      <c r="B41" s="150">
        <f>SUM(B11:B40)</f>
        <v>4077709</v>
      </c>
      <c r="C41" s="108"/>
      <c r="D41" s="125"/>
      <c r="E41" s="124">
        <f>IF(E40&lt;'[2]Project Information'!$B$11,E40+1,"")</f>
        <v>2036</v>
      </c>
      <c r="F41" s="121">
        <v>151352</v>
      </c>
    </row>
    <row r="42" spans="1:6" x14ac:dyDescent="0.3">
      <c r="A42" s="149" t="s">
        <v>150</v>
      </c>
      <c r="B42" s="148">
        <f>NPV(0.031,B11:B40)/(1.031^(2028-2022-1))</f>
        <v>2347820.9443721464</v>
      </c>
      <c r="C42" s="108"/>
      <c r="D42" s="125"/>
      <c r="E42" s="124">
        <f>IF(E41&lt;'[2]Project Information'!$B$11,E41+1,"")</f>
        <v>2037</v>
      </c>
      <c r="F42" s="121">
        <v>153925</v>
      </c>
    </row>
    <row r="43" spans="1:6" x14ac:dyDescent="0.3">
      <c r="A43" s="108"/>
      <c r="B43" s="108"/>
      <c r="C43" s="108"/>
      <c r="D43" s="125"/>
      <c r="E43" s="124">
        <f>IF(E42&lt;'[2]Project Information'!$B$11,E42+1,"")</f>
        <v>2038</v>
      </c>
      <c r="F43" s="121">
        <v>156542</v>
      </c>
    </row>
    <row r="44" spans="1:6" x14ac:dyDescent="0.3">
      <c r="A44" s="108"/>
      <c r="B44" s="108"/>
      <c r="C44" s="108"/>
      <c r="D44" s="125"/>
      <c r="E44" s="124">
        <f>IF(E43&lt;'[2]Project Information'!$B$11,E43+1,"")</f>
        <v>2039</v>
      </c>
      <c r="F44" s="121">
        <v>159203</v>
      </c>
    </row>
    <row r="45" spans="1:6" x14ac:dyDescent="0.3">
      <c r="A45" s="108"/>
      <c r="B45" s="108"/>
      <c r="C45" s="108"/>
      <c r="D45" s="125"/>
      <c r="E45" s="124">
        <f>IF(E44&lt;'[2]Project Information'!$B$11,E44+1,"")</f>
        <v>2040</v>
      </c>
      <c r="F45" s="121">
        <v>161910</v>
      </c>
    </row>
    <row r="46" spans="1:6" x14ac:dyDescent="0.3">
      <c r="A46" s="108"/>
      <c r="B46" s="108"/>
      <c r="C46" s="108"/>
      <c r="D46" s="125"/>
      <c r="E46" s="124">
        <f>IF(E45&lt;'[2]Project Information'!$B$11,E45+1,"")</f>
        <v>2041</v>
      </c>
      <c r="F46" s="121">
        <v>164662</v>
      </c>
    </row>
    <row r="47" spans="1:6" x14ac:dyDescent="0.3">
      <c r="A47" s="108"/>
      <c r="B47" s="108"/>
      <c r="C47" s="108"/>
      <c r="D47" s="125"/>
      <c r="E47" s="124">
        <f>IF(E46&lt;'[2]Project Information'!$B$11,E46+1,"")</f>
        <v>2042</v>
      </c>
      <c r="F47" s="121">
        <v>167461</v>
      </c>
    </row>
    <row r="48" spans="1:6" x14ac:dyDescent="0.3">
      <c r="A48" s="108"/>
      <c r="B48" s="108"/>
      <c r="C48" s="108"/>
      <c r="D48" s="125"/>
      <c r="E48" s="124">
        <f>IF(E47&lt;'[2]Project Information'!$B$11,E47+1,"")</f>
        <v>2043</v>
      </c>
      <c r="F48" s="121">
        <v>170308</v>
      </c>
    </row>
    <row r="49" spans="1:6" x14ac:dyDescent="0.3">
      <c r="A49" s="108"/>
      <c r="B49" s="108"/>
      <c r="C49" s="108"/>
      <c r="D49" s="125"/>
      <c r="E49" s="124">
        <f>IF(E48&lt;'[2]Project Information'!$B$11,E48+1,"")</f>
        <v>2044</v>
      </c>
      <c r="F49" s="121">
        <v>173203</v>
      </c>
    </row>
    <row r="50" spans="1:6" x14ac:dyDescent="0.3">
      <c r="A50" s="108"/>
      <c r="B50" s="108"/>
      <c r="C50" s="108"/>
      <c r="D50" s="125"/>
      <c r="E50" s="124">
        <f>IF(E49&lt;'[2]Project Information'!$B$11,E49+1,"")</f>
        <v>2045</v>
      </c>
      <c r="F50" s="121">
        <v>176148</v>
      </c>
    </row>
    <row r="51" spans="1:6" x14ac:dyDescent="0.3">
      <c r="A51" s="108"/>
      <c r="B51" s="108"/>
      <c r="C51" s="108"/>
      <c r="D51" s="125"/>
      <c r="E51" s="124">
        <f>IF(E50&lt;'[2]Project Information'!$B$11,E50+1,"")</f>
        <v>2046</v>
      </c>
      <c r="F51" s="121">
        <v>179142</v>
      </c>
    </row>
    <row r="52" spans="1:6" x14ac:dyDescent="0.3">
      <c r="A52" s="108"/>
      <c r="B52" s="108"/>
      <c r="C52" s="108"/>
      <c r="D52" s="125"/>
      <c r="E52" s="124">
        <f>IF(E51&lt;'[2]Project Information'!$B$11,E51+1,"")</f>
        <v>2047</v>
      </c>
      <c r="F52" s="121">
        <v>182188</v>
      </c>
    </row>
    <row r="53" spans="1:6" x14ac:dyDescent="0.3">
      <c r="A53" s="108"/>
      <c r="B53" s="108"/>
      <c r="C53" s="108"/>
      <c r="D53" s="125"/>
      <c r="E53" s="124">
        <f>IF(E52&lt;'[2]Project Information'!$B$11,E52+1,"")</f>
        <v>2048</v>
      </c>
      <c r="F53" s="121">
        <v>185285</v>
      </c>
    </row>
    <row r="54" spans="1:6" x14ac:dyDescent="0.3">
      <c r="A54" s="108"/>
      <c r="B54" s="108"/>
      <c r="C54" s="108"/>
      <c r="D54" s="125"/>
      <c r="E54" s="124">
        <f>IF(E53&lt;'[2]Project Information'!$B$11,E53+1,"")</f>
        <v>2049</v>
      </c>
      <c r="F54" s="121">
        <v>188435</v>
      </c>
    </row>
    <row r="55" spans="1:6" x14ac:dyDescent="0.3">
      <c r="A55" s="108"/>
      <c r="B55" s="108"/>
      <c r="C55" s="108"/>
      <c r="D55" s="125"/>
      <c r="E55" s="124">
        <f>IF(E54&lt;'[2]Project Information'!$B$11,E54+1,"")</f>
        <v>2050</v>
      </c>
      <c r="F55" s="121">
        <v>191638</v>
      </c>
    </row>
    <row r="56" spans="1:6" x14ac:dyDescent="0.3">
      <c r="A56" s="108"/>
      <c r="B56" s="108"/>
      <c r="C56" s="108"/>
      <c r="D56" s="125"/>
      <c r="E56" s="124">
        <f>IF(E55&lt;'[2]Project Information'!$B$11,E55+1,"")</f>
        <v>2051</v>
      </c>
      <c r="F56" s="121">
        <v>194896</v>
      </c>
    </row>
    <row r="57" spans="1:6" x14ac:dyDescent="0.3">
      <c r="A57" s="108"/>
      <c r="B57" s="108"/>
      <c r="C57" s="108"/>
      <c r="D57" s="125"/>
      <c r="E57" s="124">
        <f>IF(E56&lt;'[2]Project Information'!$B$11,E56+1,"")</f>
        <v>2052</v>
      </c>
      <c r="F57" s="121">
        <v>198209</v>
      </c>
    </row>
    <row r="58" spans="1:6" x14ac:dyDescent="0.3">
      <c r="A58" s="108"/>
      <c r="B58" s="108"/>
      <c r="C58" s="108"/>
      <c r="D58" s="125"/>
      <c r="E58" s="124" t="str">
        <f>IF(E57&lt;'[2]Project Information'!$B$11,E57+1,"")</f>
        <v/>
      </c>
      <c r="F58" s="121">
        <f t="shared" ref="F33:F62" si="1">IF($E58 = "", 0, (IF($E58 - $E$33 &lt; F$19, 1, 0) * F$23  +  IF($E58 - $E$33 &lt; F$27, 1, 0)* F$30)*(1 + BikePed_GR) ^($E58 - $E$33) )</f>
        <v>0</v>
      </c>
    </row>
    <row r="59" spans="1:6" x14ac:dyDescent="0.3">
      <c r="A59" s="108"/>
      <c r="B59" s="108"/>
      <c r="C59" s="108"/>
      <c r="D59" s="125"/>
      <c r="E59" s="124" t="str">
        <f>IF(E58&lt;'[2]Project Information'!$B$11,E58+1,"")</f>
        <v/>
      </c>
      <c r="F59" s="121">
        <f t="shared" si="1"/>
        <v>0</v>
      </c>
    </row>
    <row r="60" spans="1:6" x14ac:dyDescent="0.3">
      <c r="A60" s="108"/>
      <c r="B60" s="108"/>
      <c r="C60" s="108"/>
      <c r="D60" s="125"/>
      <c r="E60" s="124" t="str">
        <f>IF(E59&lt;'[2]Project Information'!$B$11,E59+1,"")</f>
        <v/>
      </c>
      <c r="F60" s="121">
        <f t="shared" si="1"/>
        <v>0</v>
      </c>
    </row>
    <row r="61" spans="1:6" x14ac:dyDescent="0.3">
      <c r="A61" s="108"/>
      <c r="B61" s="108"/>
      <c r="C61" s="108"/>
      <c r="D61" s="125"/>
      <c r="E61" s="124" t="str">
        <f>IF(E60&lt;'[2]Project Information'!$B$11,E60+1,"")</f>
        <v/>
      </c>
      <c r="F61" s="121">
        <f t="shared" si="1"/>
        <v>0</v>
      </c>
    </row>
    <row r="62" spans="1:6" x14ac:dyDescent="0.3">
      <c r="A62" s="108"/>
      <c r="B62" s="108"/>
      <c r="C62" s="108"/>
      <c r="D62" s="125"/>
      <c r="E62" s="151" t="str">
        <f>IF(E61&lt;'[2]Project Information'!$B$11,E61+1,"")</f>
        <v/>
      </c>
      <c r="F62" s="121">
        <f t="shared" si="1"/>
        <v>0</v>
      </c>
    </row>
    <row r="63" spans="1:6" x14ac:dyDescent="0.3">
      <c r="A63" s="108"/>
      <c r="B63" s="108"/>
      <c r="C63" s="108"/>
      <c r="D63" s="125"/>
      <c r="E63" s="152" t="s">
        <v>149</v>
      </c>
      <c r="F63" s="150">
        <f>SUM(F33:F62)</f>
        <v>4077709</v>
      </c>
    </row>
    <row r="64" spans="1:6" x14ac:dyDescent="0.3">
      <c r="A64" s="108"/>
      <c r="B64" s="108"/>
      <c r="C64" s="108"/>
      <c r="D64" s="125"/>
      <c r="E64" s="152" t="s">
        <v>150</v>
      </c>
      <c r="F64" s="148">
        <f>B42</f>
        <v>2347820.9443721464</v>
      </c>
    </row>
  </sheetData>
  <conditionalFormatting sqref="B11:B40">
    <cfRule type="expression" dxfId="3" priority="4">
      <formula>A11=""</formula>
    </cfRule>
  </conditionalFormatting>
  <conditionalFormatting sqref="B42">
    <cfRule type="expression" dxfId="2" priority="1">
      <formula>$E42=""</formula>
    </cfRule>
  </conditionalFormatting>
  <conditionalFormatting sqref="F33:F62">
    <cfRule type="expression" dxfId="1" priority="3">
      <formula>E33=""</formula>
    </cfRule>
  </conditionalFormatting>
  <conditionalFormatting sqref="F64">
    <cfRule type="expression" dxfId="0" priority="2">
      <formula>$E64=""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FA37-F7BD-4FCF-BA3F-CBA9F3B23347}">
  <sheetPr codeName="Sheet7"/>
  <dimension ref="A1:T28"/>
  <sheetViews>
    <sheetView workbookViewId="0"/>
  </sheetViews>
  <sheetFormatPr defaultRowHeight="14.4" x14ac:dyDescent="0.3"/>
  <sheetData>
    <row r="1" spans="1:20" x14ac:dyDescent="0.3">
      <c r="A1" t="s">
        <v>100</v>
      </c>
    </row>
    <row r="2" spans="1:20" x14ac:dyDescent="0.3">
      <c r="B2" s="104">
        <v>7</v>
      </c>
      <c r="C2" s="104">
        <v>17.5</v>
      </c>
      <c r="D2" s="104">
        <v>22.5</v>
      </c>
      <c r="E2" s="104">
        <v>27.5</v>
      </c>
      <c r="F2" s="104">
        <v>32.5</v>
      </c>
      <c r="G2" s="104">
        <v>37.5</v>
      </c>
      <c r="H2" s="104">
        <v>42.5</v>
      </c>
      <c r="I2" s="104">
        <v>47.5</v>
      </c>
      <c r="J2" s="104">
        <v>52.5</v>
      </c>
      <c r="K2" s="104">
        <v>57.5</v>
      </c>
      <c r="L2" s="104">
        <v>62.5</v>
      </c>
      <c r="M2" s="104">
        <v>67.5</v>
      </c>
      <c r="N2" s="104">
        <v>72.5</v>
      </c>
      <c r="O2" t="s">
        <v>120</v>
      </c>
    </row>
    <row r="3" spans="1:20" ht="28.8" x14ac:dyDescent="0.3">
      <c r="A3" t="s">
        <v>101</v>
      </c>
      <c r="B3" t="s">
        <v>102</v>
      </c>
      <c r="C3" t="s">
        <v>103</v>
      </c>
      <c r="D3" t="s">
        <v>104</v>
      </c>
      <c r="E3" t="s">
        <v>105</v>
      </c>
      <c r="F3" t="s">
        <v>106</v>
      </c>
      <c r="G3" t="s">
        <v>107</v>
      </c>
      <c r="H3" t="s">
        <v>108</v>
      </c>
      <c r="I3" t="s">
        <v>109</v>
      </c>
      <c r="J3" t="s">
        <v>110</v>
      </c>
      <c r="K3" t="s">
        <v>111</v>
      </c>
      <c r="L3" t="s">
        <v>112</v>
      </c>
      <c r="M3" t="s">
        <v>113</v>
      </c>
      <c r="N3" t="s">
        <v>114</v>
      </c>
      <c r="O3" s="1" t="s">
        <v>115</v>
      </c>
      <c r="P3" s="1" t="s">
        <v>116</v>
      </c>
      <c r="Q3" s="3"/>
      <c r="R3" s="3" t="s">
        <v>117</v>
      </c>
      <c r="S3" s="3" t="s">
        <v>118</v>
      </c>
      <c r="T3" s="3" t="s">
        <v>119</v>
      </c>
    </row>
    <row r="4" spans="1:20" x14ac:dyDescent="0.3">
      <c r="A4" s="105">
        <v>0</v>
      </c>
      <c r="B4">
        <v>0</v>
      </c>
      <c r="C4">
        <v>2</v>
      </c>
      <c r="D4">
        <v>0</v>
      </c>
      <c r="E4">
        <v>0</v>
      </c>
      <c r="F4">
        <v>6</v>
      </c>
      <c r="G4">
        <v>4</v>
      </c>
      <c r="H4">
        <v>4</v>
      </c>
      <c r="I4">
        <v>1</v>
      </c>
      <c r="J4">
        <v>4</v>
      </c>
      <c r="K4">
        <v>1</v>
      </c>
      <c r="L4">
        <v>0</v>
      </c>
      <c r="M4">
        <v>0</v>
      </c>
      <c r="N4">
        <v>0</v>
      </c>
      <c r="O4">
        <v>0</v>
      </c>
      <c r="P4">
        <v>22</v>
      </c>
      <c r="Q4" s="7">
        <f>B4*$B$2+C4*$C$2+D4*$D$2+E4*$E$2+F4*$F$2+G4*$G$2+H4*$H$2+I4*$I$2+J4*$J$2+K4*$K$2+L4*$L$2+M4*$M$2+N4*$N$2</f>
        <v>865</v>
      </c>
      <c r="R4" s="7">
        <f>Q4/P4</f>
        <v>39.31818181818182</v>
      </c>
      <c r="S4" s="7"/>
      <c r="T4" s="7">
        <f t="shared" ref="T4:T10" si="0">R4</f>
        <v>39.31818181818182</v>
      </c>
    </row>
    <row r="5" spans="1:20" x14ac:dyDescent="0.3">
      <c r="A5" s="105">
        <v>4.1666666666666664E-2</v>
      </c>
      <c r="B5">
        <v>0</v>
      </c>
      <c r="C5">
        <v>1</v>
      </c>
      <c r="D5">
        <v>0</v>
      </c>
      <c r="E5">
        <v>0</v>
      </c>
      <c r="F5">
        <v>3</v>
      </c>
      <c r="G5">
        <v>3</v>
      </c>
      <c r="H5">
        <v>5</v>
      </c>
      <c r="I5">
        <v>1</v>
      </c>
      <c r="J5">
        <v>2</v>
      </c>
      <c r="K5">
        <v>1</v>
      </c>
      <c r="L5">
        <v>0</v>
      </c>
      <c r="M5">
        <v>0</v>
      </c>
      <c r="N5">
        <v>0</v>
      </c>
      <c r="O5">
        <v>0</v>
      </c>
      <c r="P5">
        <v>16</v>
      </c>
      <c r="Q5" s="7">
        <f t="shared" ref="Q5:Q28" si="1">B5*$B$2+C5*$C$2+D5*$D$2+E5*$E$2+F5*$F$2+G5*$G$2+H5*$H$2+I5*$I$2+J5*$J$2+K5*$K$2+L5*$L$2+M5*$M$2+N5*$N$2</f>
        <v>650</v>
      </c>
      <c r="R5" s="7">
        <f t="shared" ref="R5:R27" si="2">Q5/P5</f>
        <v>40.625</v>
      </c>
      <c r="S5" s="7"/>
      <c r="T5" s="7">
        <f t="shared" si="0"/>
        <v>40.625</v>
      </c>
    </row>
    <row r="6" spans="1:20" x14ac:dyDescent="0.3">
      <c r="A6" s="105">
        <v>8.3333333333333329E-2</v>
      </c>
      <c r="B6">
        <v>0</v>
      </c>
      <c r="C6">
        <v>0</v>
      </c>
      <c r="D6">
        <v>2</v>
      </c>
      <c r="E6">
        <v>2</v>
      </c>
      <c r="F6">
        <v>1</v>
      </c>
      <c r="G6">
        <v>8</v>
      </c>
      <c r="H6">
        <v>8</v>
      </c>
      <c r="I6">
        <v>4</v>
      </c>
      <c r="J6">
        <v>1</v>
      </c>
      <c r="K6">
        <v>0</v>
      </c>
      <c r="L6">
        <v>1</v>
      </c>
      <c r="M6">
        <v>0</v>
      </c>
      <c r="N6">
        <v>0</v>
      </c>
      <c r="O6">
        <v>0</v>
      </c>
      <c r="P6">
        <v>27</v>
      </c>
      <c r="Q6" s="7">
        <f t="shared" si="1"/>
        <v>1077.5</v>
      </c>
      <c r="R6" s="7">
        <f t="shared" si="2"/>
        <v>39.907407407407405</v>
      </c>
      <c r="S6" s="7"/>
      <c r="T6" s="7">
        <f t="shared" si="0"/>
        <v>39.907407407407405</v>
      </c>
    </row>
    <row r="7" spans="1:20" x14ac:dyDescent="0.3">
      <c r="A7" s="105">
        <v>0.125</v>
      </c>
      <c r="B7">
        <v>1</v>
      </c>
      <c r="C7">
        <v>2</v>
      </c>
      <c r="D7">
        <v>1</v>
      </c>
      <c r="E7">
        <v>1</v>
      </c>
      <c r="F7">
        <v>4</v>
      </c>
      <c r="G7">
        <v>7</v>
      </c>
      <c r="H7">
        <v>7</v>
      </c>
      <c r="I7">
        <v>4</v>
      </c>
      <c r="J7">
        <v>4</v>
      </c>
      <c r="K7">
        <v>3</v>
      </c>
      <c r="L7">
        <v>1</v>
      </c>
      <c r="M7">
        <v>0</v>
      </c>
      <c r="N7">
        <v>0</v>
      </c>
      <c r="O7">
        <v>0</v>
      </c>
      <c r="P7">
        <v>35</v>
      </c>
      <c r="Q7" s="7">
        <f t="shared" si="1"/>
        <v>1417</v>
      </c>
      <c r="R7" s="7">
        <f t="shared" si="2"/>
        <v>40.485714285714288</v>
      </c>
      <c r="S7" s="7"/>
      <c r="T7" s="7">
        <f t="shared" si="0"/>
        <v>40.485714285714288</v>
      </c>
    </row>
    <row r="8" spans="1:20" x14ac:dyDescent="0.3">
      <c r="A8" s="105">
        <v>0.16666666666666666</v>
      </c>
      <c r="B8">
        <v>1</v>
      </c>
      <c r="C8">
        <v>2</v>
      </c>
      <c r="D8">
        <v>1</v>
      </c>
      <c r="E8">
        <v>4</v>
      </c>
      <c r="F8">
        <v>11</v>
      </c>
      <c r="G8">
        <v>19</v>
      </c>
      <c r="H8">
        <v>31</v>
      </c>
      <c r="I8">
        <v>19</v>
      </c>
      <c r="J8">
        <v>3</v>
      </c>
      <c r="K8">
        <v>3</v>
      </c>
      <c r="L8">
        <v>0</v>
      </c>
      <c r="M8">
        <v>2</v>
      </c>
      <c r="N8">
        <v>1</v>
      </c>
      <c r="O8">
        <v>0</v>
      </c>
      <c r="P8">
        <v>97</v>
      </c>
      <c r="Q8" s="7">
        <f t="shared" si="1"/>
        <v>4002</v>
      </c>
      <c r="R8" s="7">
        <f t="shared" si="2"/>
        <v>41.257731958762889</v>
      </c>
      <c r="S8" s="7"/>
      <c r="T8" s="7">
        <f t="shared" si="0"/>
        <v>41.257731958762889</v>
      </c>
    </row>
    <row r="9" spans="1:20" x14ac:dyDescent="0.3">
      <c r="A9" s="105">
        <v>0.20833333333333334</v>
      </c>
      <c r="B9">
        <v>6</v>
      </c>
      <c r="C9">
        <v>4</v>
      </c>
      <c r="D9">
        <v>6</v>
      </c>
      <c r="E9">
        <v>5</v>
      </c>
      <c r="F9">
        <v>20</v>
      </c>
      <c r="G9">
        <v>52</v>
      </c>
      <c r="H9">
        <v>57</v>
      </c>
      <c r="I9">
        <v>26</v>
      </c>
      <c r="J9">
        <v>7</v>
      </c>
      <c r="K9">
        <v>2</v>
      </c>
      <c r="L9">
        <v>0</v>
      </c>
      <c r="M9">
        <v>1</v>
      </c>
      <c r="N9">
        <v>0</v>
      </c>
      <c r="O9">
        <v>0</v>
      </c>
      <c r="P9">
        <v>186</v>
      </c>
      <c r="Q9" s="7">
        <f t="shared" si="1"/>
        <v>7192</v>
      </c>
      <c r="R9" s="7">
        <f t="shared" si="2"/>
        <v>38.666666666666664</v>
      </c>
      <c r="S9" s="7"/>
      <c r="T9" s="7">
        <f t="shared" si="0"/>
        <v>38.666666666666664</v>
      </c>
    </row>
    <row r="10" spans="1:20" x14ac:dyDescent="0.3">
      <c r="A10" s="105">
        <v>0.25</v>
      </c>
      <c r="B10">
        <v>4</v>
      </c>
      <c r="C10">
        <v>10</v>
      </c>
      <c r="D10">
        <v>13</v>
      </c>
      <c r="E10">
        <v>25</v>
      </c>
      <c r="F10">
        <v>52</v>
      </c>
      <c r="G10">
        <v>93</v>
      </c>
      <c r="H10">
        <v>78</v>
      </c>
      <c r="I10">
        <v>23</v>
      </c>
      <c r="J10">
        <v>15</v>
      </c>
      <c r="K10">
        <v>2</v>
      </c>
      <c r="L10">
        <v>1</v>
      </c>
      <c r="M10">
        <v>0</v>
      </c>
      <c r="N10">
        <v>0</v>
      </c>
      <c r="O10">
        <v>0</v>
      </c>
      <c r="P10">
        <v>316</v>
      </c>
      <c r="Q10" s="7">
        <f t="shared" si="1"/>
        <v>11733</v>
      </c>
      <c r="R10" s="7">
        <f t="shared" si="2"/>
        <v>37.129746835443036</v>
      </c>
      <c r="S10" s="7"/>
      <c r="T10" s="7">
        <f t="shared" si="0"/>
        <v>37.129746835443036</v>
      </c>
    </row>
    <row r="11" spans="1:20" x14ac:dyDescent="0.3">
      <c r="A11" s="105">
        <v>0.29166666666666669</v>
      </c>
      <c r="B11">
        <v>5</v>
      </c>
      <c r="C11">
        <v>12</v>
      </c>
      <c r="D11">
        <v>27</v>
      </c>
      <c r="E11">
        <v>36</v>
      </c>
      <c r="F11">
        <v>70</v>
      </c>
      <c r="G11">
        <v>124</v>
      </c>
      <c r="H11">
        <v>120</v>
      </c>
      <c r="I11">
        <v>58</v>
      </c>
      <c r="J11">
        <v>13</v>
      </c>
      <c r="K11">
        <v>7</v>
      </c>
      <c r="L11">
        <v>1</v>
      </c>
      <c r="M11">
        <v>0</v>
      </c>
      <c r="N11">
        <v>0</v>
      </c>
      <c r="O11">
        <v>0</v>
      </c>
      <c r="P11">
        <v>473</v>
      </c>
      <c r="Q11" s="7">
        <f t="shared" si="1"/>
        <v>17770</v>
      </c>
      <c r="R11" s="7">
        <f t="shared" si="2"/>
        <v>37.568710359408037</v>
      </c>
      <c r="S11" s="7">
        <f t="shared" ref="S11:S13" si="3">R11</f>
        <v>37.568710359408037</v>
      </c>
      <c r="T11" s="7"/>
    </row>
    <row r="12" spans="1:20" x14ac:dyDescent="0.3">
      <c r="A12" s="105">
        <v>0.33333333333333331</v>
      </c>
      <c r="B12">
        <v>8</v>
      </c>
      <c r="C12">
        <v>15</v>
      </c>
      <c r="D12">
        <v>22</v>
      </c>
      <c r="E12">
        <v>40</v>
      </c>
      <c r="F12">
        <v>114</v>
      </c>
      <c r="G12">
        <v>114</v>
      </c>
      <c r="H12">
        <v>68</v>
      </c>
      <c r="I12">
        <v>33</v>
      </c>
      <c r="J12">
        <v>12</v>
      </c>
      <c r="K12">
        <v>4</v>
      </c>
      <c r="L12">
        <v>0</v>
      </c>
      <c r="M12">
        <v>0</v>
      </c>
      <c r="N12">
        <v>0</v>
      </c>
      <c r="O12">
        <v>0</v>
      </c>
      <c r="P12">
        <v>430</v>
      </c>
      <c r="Q12" s="7">
        <f t="shared" si="1"/>
        <v>15211</v>
      </c>
      <c r="R12" s="7">
        <f t="shared" si="2"/>
        <v>35.374418604651162</v>
      </c>
      <c r="S12" s="7">
        <f t="shared" si="3"/>
        <v>35.374418604651162</v>
      </c>
      <c r="T12" s="7"/>
    </row>
    <row r="13" spans="1:20" x14ac:dyDescent="0.3">
      <c r="A13" s="105">
        <v>0.375</v>
      </c>
      <c r="B13">
        <v>3</v>
      </c>
      <c r="C13">
        <v>10</v>
      </c>
      <c r="D13">
        <v>18</v>
      </c>
      <c r="E13">
        <v>34</v>
      </c>
      <c r="F13">
        <v>76</v>
      </c>
      <c r="G13">
        <v>93</v>
      </c>
      <c r="H13">
        <v>72</v>
      </c>
      <c r="I13">
        <v>44</v>
      </c>
      <c r="J13">
        <v>13</v>
      </c>
      <c r="K13">
        <v>5</v>
      </c>
      <c r="L13">
        <v>1</v>
      </c>
      <c r="M13">
        <v>0</v>
      </c>
      <c r="N13">
        <v>0</v>
      </c>
      <c r="O13">
        <v>0</v>
      </c>
      <c r="P13">
        <v>369</v>
      </c>
      <c r="Q13" s="7">
        <f t="shared" si="1"/>
        <v>13676</v>
      </c>
      <c r="R13" s="7">
        <f t="shared" si="2"/>
        <v>37.062330623306231</v>
      </c>
      <c r="S13" s="7">
        <f t="shared" si="3"/>
        <v>37.062330623306231</v>
      </c>
      <c r="T13" s="7"/>
    </row>
    <row r="14" spans="1:20" x14ac:dyDescent="0.3">
      <c r="A14" s="105">
        <v>0.41666666666666669</v>
      </c>
      <c r="B14">
        <v>6</v>
      </c>
      <c r="C14">
        <v>9</v>
      </c>
      <c r="D14">
        <v>25</v>
      </c>
      <c r="E14">
        <v>29</v>
      </c>
      <c r="F14">
        <v>71</v>
      </c>
      <c r="G14">
        <v>101</v>
      </c>
      <c r="H14">
        <v>63</v>
      </c>
      <c r="I14">
        <v>28</v>
      </c>
      <c r="J14">
        <v>11</v>
      </c>
      <c r="K14">
        <v>4</v>
      </c>
      <c r="L14">
        <v>1</v>
      </c>
      <c r="M14">
        <v>0</v>
      </c>
      <c r="N14">
        <v>0</v>
      </c>
      <c r="O14">
        <v>0</v>
      </c>
      <c r="P14">
        <v>348</v>
      </c>
      <c r="Q14" s="7">
        <f t="shared" si="1"/>
        <v>12532</v>
      </c>
      <c r="R14" s="7">
        <f t="shared" si="2"/>
        <v>36.011494252873561</v>
      </c>
      <c r="S14" s="7"/>
      <c r="T14" s="7">
        <f>R14</f>
        <v>36.011494252873561</v>
      </c>
    </row>
    <row r="15" spans="1:20" x14ac:dyDescent="0.3">
      <c r="A15" s="105">
        <v>0.45833333333333331</v>
      </c>
      <c r="B15">
        <v>8</v>
      </c>
      <c r="C15">
        <v>16</v>
      </c>
      <c r="D15">
        <v>26</v>
      </c>
      <c r="E15">
        <v>43</v>
      </c>
      <c r="F15">
        <v>95</v>
      </c>
      <c r="G15">
        <v>125</v>
      </c>
      <c r="H15">
        <v>77</v>
      </c>
      <c r="I15">
        <v>29</v>
      </c>
      <c r="J15">
        <v>8</v>
      </c>
      <c r="K15">
        <v>6</v>
      </c>
      <c r="L15">
        <v>1</v>
      </c>
      <c r="M15">
        <v>0</v>
      </c>
      <c r="N15">
        <v>0</v>
      </c>
      <c r="O15">
        <v>0</v>
      </c>
      <c r="P15">
        <v>434</v>
      </c>
      <c r="Q15" s="7">
        <f t="shared" si="1"/>
        <v>15356</v>
      </c>
      <c r="R15" s="7">
        <f t="shared" si="2"/>
        <v>35.382488479262676</v>
      </c>
      <c r="S15" s="7"/>
      <c r="T15" s="7">
        <f>R15</f>
        <v>35.382488479262676</v>
      </c>
    </row>
    <row r="16" spans="1:20" x14ac:dyDescent="0.3">
      <c r="A16" s="105">
        <v>0.5</v>
      </c>
      <c r="B16">
        <v>2</v>
      </c>
      <c r="C16">
        <v>8</v>
      </c>
      <c r="D16">
        <v>19</v>
      </c>
      <c r="E16">
        <v>40</v>
      </c>
      <c r="F16">
        <v>90</v>
      </c>
      <c r="G16">
        <v>136</v>
      </c>
      <c r="H16">
        <v>85</v>
      </c>
      <c r="I16">
        <v>41</v>
      </c>
      <c r="J16">
        <v>15</v>
      </c>
      <c r="K16">
        <v>2</v>
      </c>
      <c r="L16">
        <v>0</v>
      </c>
      <c r="M16">
        <v>1</v>
      </c>
      <c r="N16">
        <v>0</v>
      </c>
      <c r="O16">
        <v>0</v>
      </c>
      <c r="P16">
        <v>439</v>
      </c>
      <c r="Q16" s="7">
        <f t="shared" si="1"/>
        <v>16236.5</v>
      </c>
      <c r="R16" s="7">
        <f t="shared" si="2"/>
        <v>36.985193621867879</v>
      </c>
      <c r="S16" s="7"/>
      <c r="T16" s="7">
        <f>R16</f>
        <v>36.985193621867879</v>
      </c>
    </row>
    <row r="17" spans="1:20" x14ac:dyDescent="0.3">
      <c r="A17" s="105">
        <v>0.54166666666666663</v>
      </c>
      <c r="B17">
        <v>4</v>
      </c>
      <c r="C17">
        <v>12</v>
      </c>
      <c r="D17">
        <v>26</v>
      </c>
      <c r="E17">
        <v>50</v>
      </c>
      <c r="F17">
        <v>83</v>
      </c>
      <c r="G17">
        <v>119</v>
      </c>
      <c r="H17">
        <v>104</v>
      </c>
      <c r="I17">
        <v>38</v>
      </c>
      <c r="J17">
        <v>14</v>
      </c>
      <c r="K17">
        <v>1</v>
      </c>
      <c r="L17">
        <v>1</v>
      </c>
      <c r="M17">
        <v>1</v>
      </c>
      <c r="N17">
        <v>0</v>
      </c>
      <c r="O17">
        <v>0</v>
      </c>
      <c r="P17">
        <v>453</v>
      </c>
      <c r="Q17" s="7">
        <f t="shared" si="1"/>
        <v>16505.5</v>
      </c>
      <c r="R17" s="7">
        <f t="shared" si="2"/>
        <v>36.435982339955849</v>
      </c>
      <c r="S17" s="7"/>
      <c r="T17" s="7">
        <f>R17</f>
        <v>36.435982339955849</v>
      </c>
    </row>
    <row r="18" spans="1:20" x14ac:dyDescent="0.3">
      <c r="A18" s="105">
        <v>0.58333333333333337</v>
      </c>
      <c r="B18">
        <v>3</v>
      </c>
      <c r="C18">
        <v>10</v>
      </c>
      <c r="D18">
        <v>26</v>
      </c>
      <c r="E18">
        <v>47</v>
      </c>
      <c r="F18">
        <v>91</v>
      </c>
      <c r="G18">
        <v>138</v>
      </c>
      <c r="H18">
        <v>100</v>
      </c>
      <c r="I18">
        <v>37</v>
      </c>
      <c r="J18">
        <v>9</v>
      </c>
      <c r="K18">
        <v>3</v>
      </c>
      <c r="L18">
        <v>0</v>
      </c>
      <c r="M18">
        <v>0</v>
      </c>
      <c r="N18">
        <v>0</v>
      </c>
      <c r="O18">
        <v>0</v>
      </c>
      <c r="P18">
        <v>464</v>
      </c>
      <c r="Q18" s="7">
        <f t="shared" si="1"/>
        <v>16858.5</v>
      </c>
      <c r="R18" s="7">
        <f t="shared" si="2"/>
        <v>36.332974137931032</v>
      </c>
      <c r="S18" s="7"/>
      <c r="T18" s="7">
        <f>R18</f>
        <v>36.332974137931032</v>
      </c>
    </row>
    <row r="19" spans="1:20" x14ac:dyDescent="0.3">
      <c r="A19" s="105">
        <v>0.625</v>
      </c>
      <c r="B19">
        <v>2</v>
      </c>
      <c r="C19">
        <v>10</v>
      </c>
      <c r="D19">
        <v>29</v>
      </c>
      <c r="E19">
        <v>47</v>
      </c>
      <c r="F19">
        <v>95</v>
      </c>
      <c r="G19">
        <v>153</v>
      </c>
      <c r="H19">
        <v>99</v>
      </c>
      <c r="I19">
        <v>33</v>
      </c>
      <c r="J19">
        <v>14</v>
      </c>
      <c r="K19">
        <v>4</v>
      </c>
      <c r="L19">
        <v>0</v>
      </c>
      <c r="M19">
        <v>0</v>
      </c>
      <c r="N19">
        <v>0</v>
      </c>
      <c r="O19">
        <v>0</v>
      </c>
      <c r="P19">
        <v>486</v>
      </c>
      <c r="Q19" s="7">
        <f t="shared" si="1"/>
        <v>17699</v>
      </c>
      <c r="R19" s="7">
        <f t="shared" si="2"/>
        <v>36.41769547325103</v>
      </c>
      <c r="S19" s="7">
        <f>R19</f>
        <v>36.41769547325103</v>
      </c>
      <c r="T19" s="7"/>
    </row>
    <row r="20" spans="1:20" x14ac:dyDescent="0.3">
      <c r="A20" s="105">
        <v>0.66666666666666663</v>
      </c>
      <c r="B20">
        <v>4</v>
      </c>
      <c r="C20">
        <v>23</v>
      </c>
      <c r="D20">
        <v>35</v>
      </c>
      <c r="E20">
        <v>66</v>
      </c>
      <c r="F20">
        <v>111</v>
      </c>
      <c r="G20">
        <v>161</v>
      </c>
      <c r="H20">
        <v>98</v>
      </c>
      <c r="I20">
        <v>39</v>
      </c>
      <c r="J20">
        <v>7</v>
      </c>
      <c r="K20">
        <v>2</v>
      </c>
      <c r="L20">
        <v>0</v>
      </c>
      <c r="M20">
        <v>0</v>
      </c>
      <c r="N20">
        <v>0</v>
      </c>
      <c r="O20">
        <v>0</v>
      </c>
      <c r="P20">
        <v>546</v>
      </c>
      <c r="Q20" s="7">
        <f t="shared" si="1"/>
        <v>19178</v>
      </c>
      <c r="R20" s="7">
        <f t="shared" si="2"/>
        <v>35.124542124542124</v>
      </c>
      <c r="S20" s="7">
        <f t="shared" ref="S20:S22" si="4">R20</f>
        <v>35.124542124542124</v>
      </c>
      <c r="T20" s="7"/>
    </row>
    <row r="21" spans="1:20" x14ac:dyDescent="0.3">
      <c r="A21" s="105">
        <v>0.70833333333333337</v>
      </c>
      <c r="B21">
        <v>2</v>
      </c>
      <c r="C21">
        <v>10</v>
      </c>
      <c r="D21">
        <v>25</v>
      </c>
      <c r="E21">
        <v>62</v>
      </c>
      <c r="F21">
        <v>78</v>
      </c>
      <c r="G21">
        <v>129</v>
      </c>
      <c r="H21">
        <v>99</v>
      </c>
      <c r="I21">
        <v>46</v>
      </c>
      <c r="J21">
        <v>16</v>
      </c>
      <c r="K21">
        <v>4</v>
      </c>
      <c r="L21">
        <v>1</v>
      </c>
      <c r="M21">
        <v>0</v>
      </c>
      <c r="N21">
        <v>0</v>
      </c>
      <c r="O21">
        <v>0</v>
      </c>
      <c r="P21">
        <v>472</v>
      </c>
      <c r="Q21" s="7">
        <f t="shared" si="1"/>
        <v>17354</v>
      </c>
      <c r="R21" s="7">
        <f t="shared" si="2"/>
        <v>36.766949152542374</v>
      </c>
      <c r="S21" s="7">
        <f t="shared" si="4"/>
        <v>36.766949152542374</v>
      </c>
      <c r="T21" s="7"/>
    </row>
    <row r="22" spans="1:20" x14ac:dyDescent="0.3">
      <c r="A22" s="105">
        <v>0.75</v>
      </c>
      <c r="B22">
        <v>1</v>
      </c>
      <c r="C22">
        <v>4</v>
      </c>
      <c r="D22">
        <v>16</v>
      </c>
      <c r="E22">
        <v>45</v>
      </c>
      <c r="F22">
        <v>98</v>
      </c>
      <c r="G22">
        <v>108</v>
      </c>
      <c r="H22">
        <v>88</v>
      </c>
      <c r="I22">
        <v>31</v>
      </c>
      <c r="J22">
        <v>5</v>
      </c>
      <c r="K22">
        <v>2</v>
      </c>
      <c r="L22">
        <v>2</v>
      </c>
      <c r="M22">
        <v>0</v>
      </c>
      <c r="N22">
        <v>0</v>
      </c>
      <c r="O22">
        <v>0</v>
      </c>
      <c r="P22">
        <v>400</v>
      </c>
      <c r="Q22" s="7">
        <f t="shared" si="1"/>
        <v>14624.5</v>
      </c>
      <c r="R22" s="7">
        <f t="shared" si="2"/>
        <v>36.561250000000001</v>
      </c>
      <c r="S22" s="7">
        <f t="shared" si="4"/>
        <v>36.561250000000001</v>
      </c>
      <c r="T22" s="7"/>
    </row>
    <row r="23" spans="1:20" x14ac:dyDescent="0.3">
      <c r="A23" s="105">
        <v>0.79166666666666663</v>
      </c>
      <c r="B23">
        <v>2</v>
      </c>
      <c r="C23">
        <v>8</v>
      </c>
      <c r="D23">
        <v>12</v>
      </c>
      <c r="E23">
        <v>18</v>
      </c>
      <c r="F23">
        <v>41</v>
      </c>
      <c r="G23">
        <v>52</v>
      </c>
      <c r="H23">
        <v>53</v>
      </c>
      <c r="I23">
        <v>17</v>
      </c>
      <c r="J23">
        <v>6</v>
      </c>
      <c r="K23">
        <v>1</v>
      </c>
      <c r="L23">
        <v>0</v>
      </c>
      <c r="M23">
        <v>1</v>
      </c>
      <c r="N23">
        <v>0</v>
      </c>
      <c r="O23">
        <v>1</v>
      </c>
      <c r="P23">
        <v>212</v>
      </c>
      <c r="Q23" s="7">
        <f t="shared" si="1"/>
        <v>7701.5</v>
      </c>
      <c r="R23" s="7">
        <f t="shared" si="2"/>
        <v>36.327830188679243</v>
      </c>
      <c r="S23" s="7"/>
      <c r="T23" s="7">
        <f>R23</f>
        <v>36.327830188679243</v>
      </c>
    </row>
    <row r="24" spans="1:20" x14ac:dyDescent="0.3">
      <c r="A24" s="105">
        <v>0.83333333333333337</v>
      </c>
      <c r="B24">
        <v>0</v>
      </c>
      <c r="C24">
        <v>4</v>
      </c>
      <c r="D24">
        <v>7</v>
      </c>
      <c r="E24">
        <v>8</v>
      </c>
      <c r="F24">
        <v>10</v>
      </c>
      <c r="G24">
        <v>24</v>
      </c>
      <c r="H24">
        <v>22</v>
      </c>
      <c r="I24">
        <v>17</v>
      </c>
      <c r="J24">
        <v>7</v>
      </c>
      <c r="K24">
        <v>3</v>
      </c>
      <c r="L24">
        <v>2</v>
      </c>
      <c r="M24">
        <v>2</v>
      </c>
      <c r="N24">
        <v>1</v>
      </c>
      <c r="O24">
        <v>0</v>
      </c>
      <c r="P24">
        <v>107</v>
      </c>
      <c r="Q24" s="7">
        <f t="shared" si="1"/>
        <v>4287.5</v>
      </c>
      <c r="R24" s="7">
        <f t="shared" si="2"/>
        <v>40.070093457943926</v>
      </c>
      <c r="S24" s="7"/>
      <c r="T24" s="7">
        <f>R24</f>
        <v>40.070093457943926</v>
      </c>
    </row>
    <row r="25" spans="1:20" x14ac:dyDescent="0.3">
      <c r="A25" s="105">
        <v>0.875</v>
      </c>
      <c r="B25">
        <v>1</v>
      </c>
      <c r="C25">
        <v>0</v>
      </c>
      <c r="D25">
        <v>4</v>
      </c>
      <c r="E25">
        <v>8</v>
      </c>
      <c r="F25">
        <v>16</v>
      </c>
      <c r="G25">
        <v>25</v>
      </c>
      <c r="H25">
        <v>22</v>
      </c>
      <c r="I25">
        <v>15</v>
      </c>
      <c r="J25">
        <v>4</v>
      </c>
      <c r="K25">
        <v>1</v>
      </c>
      <c r="L25">
        <v>2</v>
      </c>
      <c r="M25">
        <v>0</v>
      </c>
      <c r="N25">
        <v>0</v>
      </c>
      <c r="O25">
        <v>0</v>
      </c>
      <c r="P25">
        <v>98</v>
      </c>
      <c r="Q25" s="7">
        <f t="shared" si="1"/>
        <v>3814.5</v>
      </c>
      <c r="R25" s="7">
        <f t="shared" si="2"/>
        <v>38.923469387755105</v>
      </c>
      <c r="S25" s="7"/>
      <c r="T25" s="7">
        <f>R25</f>
        <v>38.923469387755105</v>
      </c>
    </row>
    <row r="26" spans="1:20" x14ac:dyDescent="0.3">
      <c r="A26" s="105">
        <v>0.91666666666666663</v>
      </c>
      <c r="B26">
        <v>1</v>
      </c>
      <c r="C26">
        <v>2</v>
      </c>
      <c r="D26">
        <v>0</v>
      </c>
      <c r="E26">
        <v>3</v>
      </c>
      <c r="F26">
        <v>10</v>
      </c>
      <c r="G26">
        <v>16</v>
      </c>
      <c r="H26">
        <v>18</v>
      </c>
      <c r="I26">
        <v>12</v>
      </c>
      <c r="J26">
        <v>3</v>
      </c>
      <c r="K26">
        <v>2</v>
      </c>
      <c r="L26">
        <v>1</v>
      </c>
      <c r="M26">
        <v>1</v>
      </c>
      <c r="N26">
        <v>0</v>
      </c>
      <c r="O26">
        <v>0</v>
      </c>
      <c r="P26">
        <v>69</v>
      </c>
      <c r="Q26" s="7">
        <f t="shared" si="1"/>
        <v>2787</v>
      </c>
      <c r="R26" s="7">
        <f t="shared" si="2"/>
        <v>40.391304347826086</v>
      </c>
      <c r="S26" s="7"/>
      <c r="T26" s="7">
        <f>R26</f>
        <v>40.391304347826086</v>
      </c>
    </row>
    <row r="27" spans="1:20" x14ac:dyDescent="0.3">
      <c r="A27" s="105">
        <v>0.95833333333333337</v>
      </c>
      <c r="B27">
        <v>1</v>
      </c>
      <c r="C27">
        <v>4</v>
      </c>
      <c r="D27">
        <v>1</v>
      </c>
      <c r="E27">
        <v>3</v>
      </c>
      <c r="F27">
        <v>10</v>
      </c>
      <c r="G27">
        <v>14</v>
      </c>
      <c r="H27">
        <v>12</v>
      </c>
      <c r="I27">
        <v>7</v>
      </c>
      <c r="J27">
        <v>4</v>
      </c>
      <c r="K27">
        <v>0</v>
      </c>
      <c r="L27">
        <v>0</v>
      </c>
      <c r="M27">
        <v>0</v>
      </c>
      <c r="N27">
        <v>1</v>
      </c>
      <c r="O27">
        <v>0</v>
      </c>
      <c r="P27">
        <v>57</v>
      </c>
      <c r="Q27" s="7">
        <f t="shared" si="1"/>
        <v>2157</v>
      </c>
      <c r="R27" s="7">
        <f t="shared" si="2"/>
        <v>37.842105263157897</v>
      </c>
      <c r="S27" s="7"/>
      <c r="T27" s="7">
        <f>R27</f>
        <v>37.842105263157897</v>
      </c>
    </row>
    <row r="28" spans="1:20" x14ac:dyDescent="0.3">
      <c r="Q28" s="7">
        <f t="shared" si="1"/>
        <v>0</v>
      </c>
      <c r="S28" s="3">
        <f>AVERAGE(S4:S27)</f>
        <v>36.410842333957284</v>
      </c>
      <c r="T28" s="3">
        <f>AVERAGE(T4:T27)</f>
        <v>38.358434379378195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7FEE5D3F7229478907E693F4AC7DED" ma:contentTypeVersion="16" ma:contentTypeDescription="Create a new document." ma:contentTypeScope="" ma:versionID="ceb4bc234ec8147aaa3211624086e0d6">
  <xsd:schema xmlns:xsd="http://www.w3.org/2001/XMLSchema" xmlns:xs="http://www.w3.org/2001/XMLSchema" xmlns:p="http://schemas.microsoft.com/office/2006/metadata/properties" xmlns:ns2="99a9976c-2a24-4fb3-8da9-f53066981d84" xmlns:ns3="fd458293-9cc6-4f98-9260-4b466483680c" targetNamespace="http://schemas.microsoft.com/office/2006/metadata/properties" ma:root="true" ma:fieldsID="e2f7aab8cadf5b3c8cc3559fb3a1ceaf" ns2:_="" ns3:_="">
    <xsd:import namespace="99a9976c-2a24-4fb3-8da9-f53066981d84"/>
    <xsd:import namespace="fd458293-9cc6-4f98-9260-4b46648368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976c-2a24-4fb3-8da9-f53066981d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ad4032c-a330-4847-9ce1-ec5da46de3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58293-9cc6-4f98-9260-4b466483680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c6c342b-c6ee-489a-81d5-035aa533647c}" ma:internalName="TaxCatchAll" ma:showField="CatchAllData" ma:web="fd458293-9cc6-4f98-9260-4b46648368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99a9976c-2a24-4fb3-8da9-f53066981d84" xsi:nil="true"/>
    <SharedWithUsers xmlns="fd458293-9cc6-4f98-9260-4b466483680c">
      <UserInfo>
        <DisplayName/>
        <AccountId xsi:nil="true"/>
        <AccountType/>
      </UserInfo>
    </SharedWithUsers>
    <lcf76f155ced4ddcb4097134ff3c332f xmlns="99a9976c-2a24-4fb3-8da9-f53066981d84">
      <Terms xmlns="http://schemas.microsoft.com/office/infopath/2007/PartnerControls"/>
    </lcf76f155ced4ddcb4097134ff3c332f>
    <TaxCatchAll xmlns="fd458293-9cc6-4f98-9260-4b466483680c" xsi:nil="true"/>
  </documentManagement>
</p:properties>
</file>

<file path=customXml/itemProps1.xml><?xml version="1.0" encoding="utf-8"?>
<ds:datastoreItem xmlns:ds="http://schemas.openxmlformats.org/officeDocument/2006/customXml" ds:itemID="{8E662D82-A068-4313-89C1-BA40070CDA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0C3F83-61AF-4375-A74C-32D207ECDD2B}"/>
</file>

<file path=customXml/itemProps3.xml><?xml version="1.0" encoding="utf-8"?>
<ds:datastoreItem xmlns:ds="http://schemas.openxmlformats.org/officeDocument/2006/customXml" ds:itemID="{F50322DC-C802-4676-9309-5D1B0D955AE0}">
  <ds:schemaRefs>
    <ds:schemaRef ds:uri="http://schemas.microsoft.com/office/2006/metadata/properties"/>
    <ds:schemaRef ds:uri="http://schemas.microsoft.com/office/infopath/2007/PartnerControls"/>
    <ds:schemaRef ds:uri="b1ea3359-8be3-4799-bc0c-1bb6e52db833"/>
    <ds:schemaRef ds:uri="465bea7d-86ad-477c-b808-18989319c3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Cost Summary and Discounting</vt:lpstr>
      <vt:lpstr>Other Externalities </vt:lpstr>
      <vt:lpstr>Mortality Benefit - Walk </vt:lpstr>
      <vt:lpstr>Mortality Benefit - Bike</vt:lpstr>
      <vt:lpstr>Residual Value</vt:lpstr>
      <vt:lpstr>Amenity Benefits</vt:lpstr>
      <vt:lpstr>Speed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Pappas, Eleni - HPW</dc:creator>
  <cp:keywords/>
  <dc:description/>
  <cp:lastModifiedBy>Cross, Taylor - HPW</cp:lastModifiedBy>
  <cp:revision/>
  <dcterms:created xsi:type="dcterms:W3CDTF">2015-06-05T18:17:20Z</dcterms:created>
  <dcterms:modified xsi:type="dcterms:W3CDTF">2024-08-30T16:05:45Z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0x010100507FEE5D3F7229478907E693F4AC7DED</vt:lpwstr>
  </property>
  <property fmtid="{D5CDD505-2E9C-101B-9397-08002B2CF9AE}" pid="4" name="Order">
    <vt:r8>10984900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