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houtx.sharepoint.com/sites/HPWDisasterRecovery/Shared Documents/H-GAC Transportation Project Selection/Waugh/"/>
    </mc:Choice>
  </mc:AlternateContent>
  <xr:revisionPtr revIDLastSave="0" documentId="8_{706514CB-D6CA-4036-A526-91BA4549F9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Cost Summary and Discounting" sheetId="10" r:id="rId2"/>
    <sheet name="Useful Life Remaining Table " sheetId="2" r:id="rId3"/>
    <sheet name="Other Externalities " sheetId="7" r:id="rId4"/>
    <sheet name="Mortality Benefit - Walk " sheetId="8" r:id="rId5"/>
    <sheet name="Mortality Benefit - Bike" sheetId="9" r:id="rId6"/>
    <sheet name="Amenity Benefits" sheetId="11" r:id="rId7"/>
  </sheets>
  <externalReferences>
    <externalReference r:id="rId8"/>
    <externalReference r:id="rId9"/>
  </externalReferences>
  <definedNames>
    <definedName name="Base_Year">'[1]Project Information'!$B$6</definedName>
    <definedName name="BikePed_GR">'[1]Project Information'!$B$26</definedName>
    <definedName name="Build_Project_Length">'[1]Project Information'!$B$17</definedName>
    <definedName name="Induced_Daily_Cycling_Trips">'[1]Project Information'!$B$37</definedName>
    <definedName name="Induced_Daily_Walking_Trips">'[1]Project Information'!$B$31</definedName>
    <definedName name="No_Build_Start_Daily_Cycling_Trips">'[1]Project Information'!$B$35</definedName>
    <definedName name="No_Build_Start_Daily_Walking_Trips">'[1]Project Information'!$B$29</definedName>
    <definedName name="Opening_Year">'[1]Project Information'!$B$9</definedName>
    <definedName name="Project_ID">'[1]Project Information'!$B$12</definedName>
    <definedName name="Year_Open_to_Traffic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1" l="1"/>
  <c r="B5" i="1"/>
  <c r="F21" i="11" l="1"/>
  <c r="F15" i="11"/>
  <c r="F14" i="11"/>
  <c r="F12" i="11"/>
  <c r="E7" i="10" l="1"/>
  <c r="E8" i="10"/>
  <c r="E9" i="10"/>
  <c r="E10" i="10"/>
  <c r="E6" i="10"/>
  <c r="F26" i="11" l="1"/>
  <c r="F18" i="11"/>
  <c r="F22" i="11" l="1"/>
  <c r="F20" i="11"/>
  <c r="F29" i="11"/>
  <c r="F30" i="11" s="1"/>
  <c r="E33" i="11"/>
  <c r="A11" i="11"/>
  <c r="F23" i="11" l="1"/>
  <c r="F33" i="11" s="1"/>
  <c r="B11" i="11" l="1"/>
  <c r="A12" i="11" l="1"/>
  <c r="A13" i="11" s="1"/>
  <c r="A14" i="11" s="1"/>
  <c r="E34" i="11"/>
  <c r="A15" i="11" l="1"/>
  <c r="A16" i="11" s="1"/>
  <c r="E35" i="11"/>
  <c r="F34" i="11"/>
  <c r="B12" i="11" l="1"/>
  <c r="E36" i="11"/>
  <c r="F35" i="11"/>
  <c r="B13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B36" i="11" l="1"/>
  <c r="A37" i="11"/>
  <c r="E37" i="11"/>
  <c r="F36" i="11"/>
  <c r="B14" i="11" s="1"/>
  <c r="E38" i="11" l="1"/>
  <c r="F37" i="11"/>
  <c r="A38" i="11"/>
  <c r="B37" i="11"/>
  <c r="A39" i="11" l="1"/>
  <c r="B38" i="11"/>
  <c r="B15" i="11"/>
  <c r="F38" i="11"/>
  <c r="B16" i="11" s="1"/>
  <c r="E39" i="11"/>
  <c r="E40" i="11" l="1"/>
  <c r="F39" i="11"/>
  <c r="B17" i="11" s="1"/>
  <c r="A40" i="11"/>
  <c r="B40" i="11" s="1"/>
  <c r="B39" i="11"/>
  <c r="F40" i="11" l="1"/>
  <c r="B18" i="11" s="1"/>
  <c r="E41" i="11"/>
  <c r="E42" i="11" l="1"/>
  <c r="F41" i="11"/>
  <c r="B19" i="11" s="1"/>
  <c r="E43" i="11" l="1"/>
  <c r="F42" i="11"/>
  <c r="B20" i="11" s="1"/>
  <c r="E44" i="11" l="1"/>
  <c r="F43" i="11"/>
  <c r="B21" i="11" s="1"/>
  <c r="E45" i="11" l="1"/>
  <c r="F44" i="11"/>
  <c r="B22" i="11" s="1"/>
  <c r="E46" i="11" l="1"/>
  <c r="F45" i="11"/>
  <c r="B23" i="11" s="1"/>
  <c r="E47" i="11" l="1"/>
  <c r="F46" i="11"/>
  <c r="B24" i="11" s="1"/>
  <c r="F47" i="11" l="1"/>
  <c r="B25" i="11" s="1"/>
  <c r="E48" i="11"/>
  <c r="E49" i="11" l="1"/>
  <c r="F48" i="11"/>
  <c r="B26" i="11" s="1"/>
  <c r="F49" i="11" l="1"/>
  <c r="B27" i="11" s="1"/>
  <c r="E50" i="11"/>
  <c r="E51" i="11" l="1"/>
  <c r="F50" i="11"/>
  <c r="B28" i="11" s="1"/>
  <c r="F51" i="11" l="1"/>
  <c r="B29" i="11" s="1"/>
  <c r="E52" i="11"/>
  <c r="E53" i="11" l="1"/>
  <c r="F52" i="11"/>
  <c r="B30" i="11" s="1"/>
  <c r="E54" i="11" l="1"/>
  <c r="F53" i="11"/>
  <c r="B31" i="11" s="1"/>
  <c r="E55" i="11" l="1"/>
  <c r="F54" i="11"/>
  <c r="B32" i="11" s="1"/>
  <c r="E56" i="11" l="1"/>
  <c r="F55" i="11"/>
  <c r="B33" i="11" s="1"/>
  <c r="F56" i="11" l="1"/>
  <c r="B34" i="11" s="1"/>
  <c r="E57" i="11"/>
  <c r="F57" i="11" l="1"/>
  <c r="B35" i="11" s="1"/>
  <c r="E58" i="11"/>
  <c r="E59" i="11" l="1"/>
  <c r="F58" i="11"/>
  <c r="B42" i="11"/>
  <c r="B41" i="11"/>
  <c r="E60" i="11" l="1"/>
  <c r="F59" i="11"/>
  <c r="E61" i="11" l="1"/>
  <c r="F60" i="11"/>
  <c r="E62" i="11" l="1"/>
  <c r="F62" i="11" s="1"/>
  <c r="F61" i="11"/>
  <c r="F64" i="11" l="1"/>
  <c r="F63" i="11"/>
  <c r="D11" i="10" l="1"/>
  <c r="D10" i="10"/>
  <c r="E11" i="10"/>
  <c r="D13" i="10"/>
  <c r="D14" i="10" s="1"/>
  <c r="G9" i="8"/>
  <c r="G9" i="9"/>
  <c r="I38" i="9"/>
  <c r="I39" i="9"/>
  <c r="I40" i="9"/>
  <c r="I41" i="9"/>
  <c r="I42" i="9"/>
  <c r="I43" i="9"/>
  <c r="I44" i="9"/>
  <c r="I45" i="9"/>
  <c r="I46" i="9"/>
  <c r="I47" i="9"/>
  <c r="H9" i="9"/>
  <c r="I48" i="9"/>
  <c r="G10" i="9"/>
  <c r="H10" i="9" s="1"/>
  <c r="H8" i="9"/>
  <c r="H7" i="9"/>
  <c r="I38" i="8"/>
  <c r="I39" i="8"/>
  <c r="I40" i="8"/>
  <c r="I41" i="8"/>
  <c r="I42" i="8"/>
  <c r="I43" i="8"/>
  <c r="I44" i="8"/>
  <c r="I45" i="8"/>
  <c r="I46" i="8"/>
  <c r="I47" i="8"/>
  <c r="G10" i="8"/>
  <c r="G11" i="8" s="1"/>
  <c r="G12" i="8" s="1"/>
  <c r="G13" i="8" s="1"/>
  <c r="G14" i="8" s="1"/>
  <c r="G15" i="8" s="1"/>
  <c r="G16" i="8" s="1"/>
  <c r="G17" i="8" s="1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5" i="7"/>
  <c r="O5" i="7"/>
  <c r="C7" i="2"/>
  <c r="C6" i="2"/>
  <c r="D5" i="2"/>
  <c r="C5" i="2"/>
  <c r="B19" i="1" s="1"/>
  <c r="B20" i="1" s="1"/>
  <c r="L6" i="7"/>
  <c r="L7" i="7" s="1"/>
  <c r="E13" i="10" l="1"/>
  <c r="G11" i="9"/>
  <c r="H11" i="9" s="1"/>
  <c r="H17" i="8"/>
  <c r="I17" i="8" s="1"/>
  <c r="J17" i="8" s="1"/>
  <c r="G18" i="8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M6" i="7"/>
  <c r="O6" i="7" s="1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5" i="7"/>
  <c r="M31" i="7"/>
  <c r="M30" i="7"/>
  <c r="M29" i="7"/>
  <c r="M28" i="7"/>
  <c r="M27" i="7"/>
  <c r="M26" i="7"/>
  <c r="M10" i="7"/>
  <c r="M11" i="7"/>
  <c r="M9" i="7"/>
  <c r="M8" i="7"/>
  <c r="L8" i="7"/>
  <c r="L9" i="7" s="1"/>
  <c r="L10" i="7" s="1"/>
  <c r="L11" i="7" s="1"/>
  <c r="M7" i="7"/>
  <c r="R5" i="7"/>
  <c r="S5" i="7" s="1"/>
  <c r="T5" i="7" s="1"/>
  <c r="L12" i="7"/>
  <c r="G12" i="9" l="1"/>
  <c r="H12" i="9" s="1"/>
  <c r="O7" i="7"/>
  <c r="R7" i="7"/>
  <c r="R11" i="7"/>
  <c r="S11" i="7" s="1"/>
  <c r="T11" i="7"/>
  <c r="R10" i="7"/>
  <c r="S10" i="7" s="1"/>
  <c r="R9" i="7"/>
  <c r="S9" i="7" s="1"/>
  <c r="R8" i="7"/>
  <c r="S8" i="7" s="1"/>
  <c r="R6" i="7"/>
  <c r="S6" i="7" s="1"/>
  <c r="L13" i="7"/>
  <c r="G13" i="9" l="1"/>
  <c r="H13" i="9" s="1"/>
  <c r="S7" i="7"/>
  <c r="T7" i="7" s="1"/>
  <c r="O8" i="7"/>
  <c r="T10" i="7"/>
  <c r="L14" i="7"/>
  <c r="T6" i="7"/>
  <c r="T8" i="7"/>
  <c r="T9" i="7"/>
  <c r="G14" i="9" l="1"/>
  <c r="H14" i="9" s="1"/>
  <c r="O9" i="7"/>
  <c r="L15" i="7"/>
  <c r="G15" i="9" l="1"/>
  <c r="H15" i="9" s="1"/>
  <c r="O10" i="7"/>
  <c r="L16" i="7"/>
  <c r="G16" i="9" l="1"/>
  <c r="H16" i="9" s="1"/>
  <c r="O11" i="7"/>
  <c r="L17" i="7"/>
  <c r="G17" i="9" l="1"/>
  <c r="H17" i="9" s="1"/>
  <c r="I17" i="9" s="1"/>
  <c r="O12" i="7"/>
  <c r="L18" i="7"/>
  <c r="G18" i="9" l="1"/>
  <c r="H18" i="9" s="1"/>
  <c r="I18" i="9" s="1"/>
  <c r="J17" i="9"/>
  <c r="O13" i="7"/>
  <c r="L19" i="7"/>
  <c r="G19" i="9" l="1"/>
  <c r="H19" i="9" s="1"/>
  <c r="I19" i="9" s="1"/>
  <c r="J18" i="9"/>
  <c r="R12" i="7"/>
  <c r="Q12" i="7"/>
  <c r="O14" i="7"/>
  <c r="L20" i="7"/>
  <c r="G20" i="9" l="1"/>
  <c r="H20" i="9" s="1"/>
  <c r="I20" i="9" s="1"/>
  <c r="J19" i="9"/>
  <c r="S12" i="7"/>
  <c r="T12" i="7" s="1"/>
  <c r="R13" i="7"/>
  <c r="Q13" i="7"/>
  <c r="O15" i="7"/>
  <c r="L21" i="7"/>
  <c r="G21" i="9" l="1"/>
  <c r="H21" i="9" s="1"/>
  <c r="I21" i="9" s="1"/>
  <c r="J20" i="9"/>
  <c r="S13" i="7"/>
  <c r="T13" i="7" s="1"/>
  <c r="R14" i="7"/>
  <c r="Q14" i="7"/>
  <c r="O16" i="7"/>
  <c r="L22" i="7"/>
  <c r="G22" i="9" l="1"/>
  <c r="H22" i="9" s="1"/>
  <c r="I22" i="9" s="1"/>
  <c r="J21" i="9"/>
  <c r="S14" i="7"/>
  <c r="T14" i="7" s="1"/>
  <c r="R15" i="7"/>
  <c r="Q15" i="7"/>
  <c r="O17" i="7"/>
  <c r="L23" i="7"/>
  <c r="G23" i="9" l="1"/>
  <c r="H23" i="9" s="1"/>
  <c r="I23" i="9" s="1"/>
  <c r="J22" i="9"/>
  <c r="S15" i="7"/>
  <c r="T15" i="7" s="1"/>
  <c r="R16" i="7"/>
  <c r="Q16" i="7"/>
  <c r="O18" i="7"/>
  <c r="L24" i="7"/>
  <c r="G24" i="9" l="1"/>
  <c r="H24" i="9" s="1"/>
  <c r="I24" i="9" s="1"/>
  <c r="J23" i="9"/>
  <c r="S16" i="7"/>
  <c r="T16" i="7" s="1"/>
  <c r="R17" i="7"/>
  <c r="Q17" i="7"/>
  <c r="O19" i="7"/>
  <c r="L25" i="7"/>
  <c r="G25" i="9" l="1"/>
  <c r="H25" i="9" s="1"/>
  <c r="I25" i="9" s="1"/>
  <c r="J24" i="9"/>
  <c r="S17" i="7"/>
  <c r="T17" i="7" s="1"/>
  <c r="R18" i="7"/>
  <c r="Q18" i="7"/>
  <c r="O20" i="7"/>
  <c r="L26" i="7"/>
  <c r="G26" i="9" l="1"/>
  <c r="H26" i="9" s="1"/>
  <c r="I26" i="9" s="1"/>
  <c r="J25" i="9"/>
  <c r="S18" i="7"/>
  <c r="T18" i="7" s="1"/>
  <c r="R19" i="7"/>
  <c r="Q19" i="7"/>
  <c r="O21" i="7"/>
  <c r="L27" i="7"/>
  <c r="G27" i="9" l="1"/>
  <c r="H27" i="9" s="1"/>
  <c r="I27" i="9" s="1"/>
  <c r="J26" i="9"/>
  <c r="S19" i="7"/>
  <c r="T19" i="7" s="1"/>
  <c r="R20" i="7"/>
  <c r="Q20" i="7"/>
  <c r="O22" i="7"/>
  <c r="L28" i="7"/>
  <c r="G28" i="9" l="1"/>
  <c r="H28" i="9" s="1"/>
  <c r="I28" i="9" s="1"/>
  <c r="J27" i="9"/>
  <c r="S20" i="7"/>
  <c r="T20" i="7" s="1"/>
  <c r="R21" i="7"/>
  <c r="Q21" i="7"/>
  <c r="O23" i="7"/>
  <c r="L29" i="7"/>
  <c r="G29" i="9" l="1"/>
  <c r="H29" i="9" s="1"/>
  <c r="I29" i="9" s="1"/>
  <c r="J28" i="9"/>
  <c r="S21" i="7"/>
  <c r="T21" i="7" s="1"/>
  <c r="R22" i="7"/>
  <c r="Q22" i="7"/>
  <c r="O24" i="7"/>
  <c r="L30" i="7"/>
  <c r="G30" i="9" l="1"/>
  <c r="H30" i="9" s="1"/>
  <c r="I30" i="9" s="1"/>
  <c r="J29" i="9"/>
  <c r="S22" i="7"/>
  <c r="T22" i="7" s="1"/>
  <c r="R23" i="7"/>
  <c r="Q23" i="7"/>
  <c r="O25" i="7"/>
  <c r="L31" i="7"/>
  <c r="G31" i="9" l="1"/>
  <c r="H31" i="9" s="1"/>
  <c r="I31" i="9" s="1"/>
  <c r="J30" i="9"/>
  <c r="S23" i="7"/>
  <c r="T23" i="7" s="1"/>
  <c r="R24" i="7"/>
  <c r="Q24" i="7"/>
  <c r="O26" i="7"/>
  <c r="G32" i="9" l="1"/>
  <c r="H32" i="9" s="1"/>
  <c r="I32" i="9" s="1"/>
  <c r="J31" i="9"/>
  <c r="S24" i="7"/>
  <c r="T24" i="7" s="1"/>
  <c r="R25" i="7"/>
  <c r="Q25" i="7"/>
  <c r="O27" i="7"/>
  <c r="G33" i="9" l="1"/>
  <c r="H33" i="9" s="1"/>
  <c r="I33" i="9" s="1"/>
  <c r="J32" i="9"/>
  <c r="S25" i="7"/>
  <c r="T25" i="7" s="1"/>
  <c r="R26" i="7"/>
  <c r="Q26" i="7"/>
  <c r="O28" i="7"/>
  <c r="G34" i="9" l="1"/>
  <c r="H34" i="9" s="1"/>
  <c r="I34" i="9" s="1"/>
  <c r="J33" i="9"/>
  <c r="S26" i="7"/>
  <c r="T26" i="7" s="1"/>
  <c r="R27" i="7"/>
  <c r="Q27" i="7"/>
  <c r="O29" i="7"/>
  <c r="G35" i="9" l="1"/>
  <c r="H35" i="9" s="1"/>
  <c r="I35" i="9" s="1"/>
  <c r="J34" i="9"/>
  <c r="S27" i="7"/>
  <c r="T27" i="7" s="1"/>
  <c r="R28" i="7"/>
  <c r="Q28" i="7"/>
  <c r="O30" i="7"/>
  <c r="G36" i="9" l="1"/>
  <c r="H36" i="9" s="1"/>
  <c r="I36" i="9" s="1"/>
  <c r="J35" i="9"/>
  <c r="S28" i="7"/>
  <c r="T28" i="7" s="1"/>
  <c r="R29" i="7"/>
  <c r="Q29" i="7"/>
  <c r="O31" i="7"/>
  <c r="H12" i="8"/>
  <c r="H11" i="8"/>
  <c r="G37" i="9" l="1"/>
  <c r="J36" i="9"/>
  <c r="S29" i="7"/>
  <c r="T29" i="7" s="1"/>
  <c r="R30" i="7"/>
  <c r="Q30" i="7"/>
  <c r="H8" i="8"/>
  <c r="H9" i="8"/>
  <c r="H13" i="8"/>
  <c r="H14" i="8"/>
  <c r="H16" i="8"/>
  <c r="H21" i="8"/>
  <c r="I21" i="8" s="1"/>
  <c r="J21" i="8" s="1"/>
  <c r="H24" i="8"/>
  <c r="I24" i="8" s="1"/>
  <c r="J24" i="8" s="1"/>
  <c r="H25" i="8"/>
  <c r="I25" i="8" s="1"/>
  <c r="J25" i="8" s="1"/>
  <c r="H28" i="8"/>
  <c r="I28" i="8" s="1"/>
  <c r="J28" i="8" s="1"/>
  <c r="H30" i="8"/>
  <c r="I30" i="8" s="1"/>
  <c r="J30" i="8" s="1"/>
  <c r="H31" i="8"/>
  <c r="I31" i="8" s="1"/>
  <c r="J31" i="8" s="1"/>
  <c r="H32" i="8"/>
  <c r="I32" i="8" s="1"/>
  <c r="J32" i="8" s="1"/>
  <c r="H27" i="8"/>
  <c r="I27" i="8" s="1"/>
  <c r="J27" i="8" s="1"/>
  <c r="H19" i="8"/>
  <c r="I19" i="8" s="1"/>
  <c r="J19" i="8" s="1"/>
  <c r="H22" i="8"/>
  <c r="I22" i="8" s="1"/>
  <c r="J22" i="8" s="1"/>
  <c r="H35" i="8"/>
  <c r="I35" i="8" s="1"/>
  <c r="J35" i="8" s="1"/>
  <c r="H36" i="8"/>
  <c r="I36" i="8" s="1"/>
  <c r="J36" i="8" s="1"/>
  <c r="H33" i="8"/>
  <c r="I33" i="8" s="1"/>
  <c r="J33" i="8" s="1"/>
  <c r="H26" i="8"/>
  <c r="I26" i="8" s="1"/>
  <c r="J26" i="8" s="1"/>
  <c r="H34" i="8"/>
  <c r="I34" i="8" s="1"/>
  <c r="J34" i="8" s="1"/>
  <c r="H20" i="8"/>
  <c r="I20" i="8" s="1"/>
  <c r="J20" i="8" s="1"/>
  <c r="H15" i="8"/>
  <c r="H23" i="8"/>
  <c r="I23" i="8" s="1"/>
  <c r="J23" i="8" s="1"/>
  <c r="H7" i="8"/>
  <c r="H10" i="8"/>
  <c r="H29" i="8"/>
  <c r="I29" i="8" s="1"/>
  <c r="J29" i="8" s="1"/>
  <c r="H18" i="8"/>
  <c r="I18" i="8" s="1"/>
  <c r="J18" i="8" s="1"/>
  <c r="H37" i="8"/>
  <c r="I37" i="8" s="1"/>
  <c r="J37" i="8" s="1"/>
  <c r="B16" i="1"/>
  <c r="H37" i="9" l="1"/>
  <c r="I37" i="9" s="1"/>
  <c r="J37" i="9" s="1"/>
  <c r="J48" i="9" s="1"/>
  <c r="B27" i="1" s="1"/>
  <c r="S30" i="7"/>
  <c r="T30" i="7" s="1"/>
  <c r="R31" i="7"/>
  <c r="Q31" i="7"/>
  <c r="F1" i="1"/>
  <c r="I48" i="8"/>
  <c r="S31" i="7" l="1"/>
  <c r="T31" i="7" s="1"/>
  <c r="T35" i="7" s="1"/>
  <c r="B23" i="1" s="1"/>
  <c r="Q35" i="7" l="1"/>
  <c r="J48" i="8"/>
  <c r="B26" i="1" s="1"/>
  <c r="B28" i="1" s="1"/>
  <c r="B6" i="1" l="1"/>
  <c r="B7" i="1" s="1"/>
  <c r="R35" i="7"/>
  <c r="S35" i="7" s="1"/>
  <c r="E1" i="1"/>
  <c r="G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tc={0DD7F89C-9CAA-4BB0-B6E0-E130E8CC8C8C}</author>
  </authors>
  <commentList>
    <comment ref="B27" authorId="0" shapeId="0" xr:uid="{0DD7F89C-9CAA-4BB0-B6E0-E130E8CC8C8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See note in email. If you use the same methodology HGAC uses for Active Benefit due to emissions, and apply the value from USD for bike trips... I think this is "right" - please review with critical eye.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tc={FB89BA8B-60C3-48E7-A517-8BCA3FD41858}</author>
  </authors>
  <commentList>
    <comment ref="A1" authorId="0" shapeId="0" xr:uid="{FB89BA8B-60C3-48E7-A517-8BCA3FD41858}">
      <text>
        <t>[Threaded comment]
Your version of Excel allows you to read this threaded comment; however, any edits to it will get removed if the file is opened in a newer version of Excel. Learn more: https://go.microsoft.com/fwlink/?linkid=870924
Comment:
    I do not think we have data to calculate this benefit. Leaving blank for now.</t>
      </text>
    </comment>
  </commentList>
</comments>
</file>

<file path=xl/sharedStrings.xml><?xml version="1.0" encoding="utf-8"?>
<sst xmlns="http://schemas.openxmlformats.org/spreadsheetml/2006/main" count="208" uniqueCount="157">
  <si>
    <t xml:space="preserve">Transforming Waugh Drive </t>
  </si>
  <si>
    <t>Project Cost: $120,780,000</t>
  </si>
  <si>
    <t>Summary Benefits Table</t>
  </si>
  <si>
    <t xml:space="preserve">Total Project Cost, Discounted </t>
  </si>
  <si>
    <t xml:space="preserve">Total Benefits, Discounted: </t>
  </si>
  <si>
    <t>Discounted BCA</t>
  </si>
  <si>
    <t xml:space="preserve">Summary of Benefits </t>
  </si>
  <si>
    <t xml:space="preserve">Benefit Category </t>
  </si>
  <si>
    <t>Discounted Benefit @ 3.1% (2022)</t>
  </si>
  <si>
    <t>Source</t>
  </si>
  <si>
    <t>Location</t>
  </si>
  <si>
    <r>
      <rPr>
        <b/>
        <sz val="11"/>
        <color theme="1"/>
        <rFont val="Calibri"/>
        <family val="2"/>
        <scheme val="minor"/>
      </rPr>
      <t xml:space="preserve">Roadway Crash Benefits Template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(Source: HGAC Templates)</t>
    </r>
  </si>
  <si>
    <t>H-GAC Template 1</t>
  </si>
  <si>
    <t>HGAC BCA Teamplate</t>
  </si>
  <si>
    <t>Excel FIle: Roadway Crash Benefits Tempalte July 2024 - Waugh 1</t>
  </si>
  <si>
    <t>H-GAC Template 2</t>
  </si>
  <si>
    <t>Excel FIle: Roadway Crash Benefits Tempalte July 2024 - Waugh 2</t>
  </si>
  <si>
    <t>H-GAC Template 3</t>
  </si>
  <si>
    <t>Excel FIle: Roadway Crash Benefits Tempalte July 2024 - Waugh 3</t>
  </si>
  <si>
    <t>H-GAC Template 4</t>
  </si>
  <si>
    <t>Excel FIle: Roadway Crash Benefits Tempalte July 2024 - Waugh 4</t>
  </si>
  <si>
    <t>H-GAC Template 5</t>
  </si>
  <si>
    <t>Excel FIle: Roadway Crash Benefits Tempalte July 2024 - Waugh 5</t>
  </si>
  <si>
    <t xml:space="preserve">Total Safety Benefit </t>
  </si>
  <si>
    <t>Useful Life Monetized Benefit</t>
  </si>
  <si>
    <t>Total Monetized Benefit Discounted @ 3.1% (No Build less Build)</t>
  </si>
  <si>
    <t xml:space="preserve">Straight line depreciation based on construction cost and design life of assest. Design life of asset based on COH IDM requirements. </t>
  </si>
  <si>
    <t>Tab: Useful Life Remaining Table</t>
  </si>
  <si>
    <t xml:space="preserve">Total Useful Life Benefit </t>
  </si>
  <si>
    <t>Other Externalities Reduction (Congestion &amp; Noise)</t>
  </si>
  <si>
    <t>Based on Goodman Assumptions, see Tab for more info</t>
  </si>
  <si>
    <t>Tab: Other Externalities</t>
  </si>
  <si>
    <t xml:space="preserve">Total </t>
  </si>
  <si>
    <t xml:space="preserve">Mortality Reduction Factor </t>
  </si>
  <si>
    <t>Due to Induced Walking (Discounted)</t>
  </si>
  <si>
    <t>Based on some sources from Goodman, but followed similar methodolgy as HGAC Active Transportation for Emissions Template</t>
  </si>
  <si>
    <t xml:space="preserve">Tab: Mortality Benefit - Walk </t>
  </si>
  <si>
    <t>Due to Induced Bicyling Trips (Discounted)</t>
  </si>
  <si>
    <t>Tab: Mortality Benefit - Bike</t>
  </si>
  <si>
    <r>
      <rPr>
        <b/>
        <sz val="11"/>
        <color theme="1"/>
        <rFont val="Calibri"/>
        <family val="2"/>
        <scheme val="minor"/>
      </rPr>
      <t xml:space="preserve">Active Transportation Emissions Benefit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(Source: HGAC Template)</t>
    </r>
  </si>
  <si>
    <t>Discounted NOx Benefits @ 3.1% (2022 $)</t>
  </si>
  <si>
    <t>Excel File: Active-Transportation-Emissions-Benefits-Template-July-2024</t>
  </si>
  <si>
    <t>Discounted VOC Benefits @ 3.1% (2022 $)</t>
  </si>
  <si>
    <t>Total Discounted Emissions Benefit</t>
  </si>
  <si>
    <t xml:space="preserve">Transit Delay </t>
  </si>
  <si>
    <t>Discounted Transit Benefit @ 3.1% (2022 $)</t>
  </si>
  <si>
    <t>Excel File: Roadway-Transit-Delay-Benefits-Template-July-2024</t>
  </si>
  <si>
    <t>Total Transit Benefit</t>
  </si>
  <si>
    <t>State of Good Repair - Roadway (Calcs do not include anything bridge specific)</t>
  </si>
  <si>
    <t>Based on Goodman Assumptions, see Excel for more info</t>
  </si>
  <si>
    <t xml:space="preserve">Excel File: State of Good Repair Benefits - Waugh </t>
  </si>
  <si>
    <t xml:space="preserve">Total Discounted State of Good Repair Benefit </t>
  </si>
  <si>
    <t>**DO NOT INCLUDE IN FILE SUBMITTED TO H-GAC**</t>
  </si>
  <si>
    <t xml:space="preserve">Benefits Discussed (internally) but not Quantified </t>
  </si>
  <si>
    <t xml:space="preserve">Drainage Benefit </t>
  </si>
  <si>
    <t xml:space="preserve">Health Benefit tied to extra park space (c)https://www.ncbi.nlm.nih.gov/pmc/articles/PMC10049315/ </t>
  </si>
  <si>
    <t>Value of Travel Time - due to bridges and rerouting, more complex then simple calculations IMO</t>
  </si>
  <si>
    <t xml:space="preserve">Bridge structure - State of Good Repair </t>
  </si>
  <si>
    <t>Total Construction $</t>
  </si>
  <si>
    <t>USE THE BELOW FOR SUMMARY TAB</t>
  </si>
  <si>
    <t>Year</t>
  </si>
  <si>
    <t>Task</t>
  </si>
  <si>
    <t>Nominal Cost in 2022 Dollars</t>
  </si>
  <si>
    <t>Discounted</t>
  </si>
  <si>
    <t>Construction $2021 Dollars</t>
  </si>
  <si>
    <t>Nominal Value (2022)</t>
  </si>
  <si>
    <t>Discounted 3.1%</t>
  </si>
  <si>
    <t>Land Aquisitions &amp; Bats</t>
  </si>
  <si>
    <t>Design</t>
  </si>
  <si>
    <t>Construction</t>
  </si>
  <si>
    <t xml:space="preserve">Year Open to Public </t>
  </si>
  <si>
    <t>Total</t>
  </si>
  <si>
    <t xml:space="preserve">Check </t>
  </si>
  <si>
    <t>Benefits</t>
  </si>
  <si>
    <t>Costs</t>
  </si>
  <si>
    <t>No Build</t>
  </si>
  <si>
    <t>Build</t>
  </si>
  <si>
    <t>Construction Cost</t>
  </si>
  <si>
    <t>(x) Remaining Life at End of Planning Horizon</t>
  </si>
  <si>
    <t>Total in Real $</t>
  </si>
  <si>
    <t>Total Monetized Benefit Real $ (No Build – Build)</t>
  </si>
  <si>
    <t>Total Monetized Benefit Discounted @ 3.1% (No Build – Build)</t>
  </si>
  <si>
    <r>
      <rPr>
        <b/>
        <sz val="11"/>
        <color theme="1"/>
        <rFont val="Calibri"/>
        <family val="2"/>
        <scheme val="minor"/>
      </rPr>
      <t xml:space="preserve">No Build: </t>
    </r>
    <r>
      <rPr>
        <sz val="11"/>
        <color theme="1"/>
        <rFont val="Calibri"/>
        <family val="2"/>
        <scheme val="minor"/>
      </rPr>
      <t xml:space="preserve">The authority would continue repairing the asset throughout the planning horizon. </t>
    </r>
  </si>
  <si>
    <r>
      <rPr>
        <b/>
        <sz val="11"/>
        <color theme="1"/>
        <rFont val="Calibri"/>
        <family val="2"/>
        <scheme val="minor"/>
      </rPr>
      <t>Build Scenario:</t>
    </r>
    <r>
      <rPr>
        <sz val="11"/>
        <color theme="1"/>
        <rFont val="Calibri"/>
        <family val="2"/>
        <scheme val="minor"/>
      </rPr>
      <t xml:space="preserve"> The asset will be built with a useful life of 50 years, therefore there will be remaining useful life at the end of the 20 year planning horizon. </t>
    </r>
  </si>
  <si>
    <t>Memorial Drive Bridge: Built 1955 with planned 50 year life span</t>
  </si>
  <si>
    <t xml:space="preserve">Allen Parkway Bridge: Built 1968 with planned 50 year life span </t>
  </si>
  <si>
    <t xml:space="preserve">Buffalo Bayou Bridges (NB and SB): Built 1994 with planned 50 year life span 
    Therefore, 20 years of useful life remaining in 2024. 
    (EP Note: Do not know construction cost from 1994. I added an estimate based on the costs from the Waugh DCR (see "bat bridge structure" in detailed cost appendix. I used 2022 $ which is probably wrong. This new bridge would be longer than the 1994 bridge so not apples to apples, but a decent cost of value (possibly) of remaining bridge). </t>
  </si>
  <si>
    <t>Annual Emission Reductions Over Life of Project</t>
  </si>
  <si>
    <t xml:space="preserve">Assumption: This Project will result in a modal shift with a reduction in overall vehicle miles traveled, which can result in reductions in congestion externalities.		</t>
  </si>
  <si>
    <t xml:space="preserve">Other Externalities </t>
  </si>
  <si>
    <t xml:space="preserve">Cost per VMT </t>
  </si>
  <si>
    <t>VMT Reduced because of Modal Diversion (source HGAC Tool)</t>
  </si>
  <si>
    <t>Growth Rates</t>
  </si>
  <si>
    <t>Demand Growth</t>
  </si>
  <si>
    <t>Use in Analysis?</t>
  </si>
  <si>
    <t>Estimated Daily VMT Reduced</t>
  </si>
  <si>
    <t>Yearly</t>
  </si>
  <si>
    <t>Congestion Benefit</t>
  </si>
  <si>
    <t xml:space="preserve">Noise Benefit </t>
  </si>
  <si>
    <t>Discounted Benefit (3.1%)</t>
  </si>
  <si>
    <t xml:space="preserve">Congestion </t>
  </si>
  <si>
    <t>2021-2030 Demand Growth</t>
  </si>
  <si>
    <t>Noise</t>
  </si>
  <si>
    <t>2030-2045 Demand Growth</t>
  </si>
  <si>
    <t>Growth Source: HGAC Active Transportation Emissions Template</t>
  </si>
  <si>
    <t>Source: USDOT Benefit-Cost Analysis Guidance for Discretionary Grant Programs</t>
  </si>
  <si>
    <t xml:space="preserve">VMT Shift source: HGAC PedBike Commuter Analysis Tool </t>
  </si>
  <si>
    <t xml:space="preserve">Worksheet Title: </t>
  </si>
  <si>
    <t>Mortality Reduction Benefit - Walking</t>
  </si>
  <si>
    <t>Benefit Calculations</t>
  </si>
  <si>
    <t>Assumptions</t>
  </si>
  <si>
    <t>Data Point</t>
  </si>
  <si>
    <t xml:space="preserve">Source </t>
  </si>
  <si>
    <t>Project Open Year:</t>
  </si>
  <si>
    <t>Major Assumption Key</t>
  </si>
  <si>
    <t>Benefit</t>
  </si>
  <si>
    <t>Planning Horizon Begin Year:</t>
  </si>
  <si>
    <t xml:space="preserve">Daily # of Induced Walking Trips </t>
  </si>
  <si>
    <t>Daily # of Induced Walking Trips *# of Working Days</t>
  </si>
  <si>
    <t>Mortality Reduction Benefit from Walking</t>
  </si>
  <si>
    <t>Discounted @ 3.1%</t>
  </si>
  <si>
    <t>Planning Horizon End Year:</t>
  </si>
  <si>
    <t xml:space="preserve">Average Number of Working Days in a Year </t>
  </si>
  <si>
    <t>Induced Daily Walking Trips - Open Year (Build)</t>
  </si>
  <si>
    <t xml:space="preserve">From HGAC Ped Bike Commuter Tool </t>
  </si>
  <si>
    <t xml:space="preserve">Induced Daily Walking Trips - 2022 </t>
  </si>
  <si>
    <t>Mortality Reduction Benefits per Induced Walking Trip</t>
  </si>
  <si>
    <t>USDOT Benefit-Cost Analysis Guidance for Discretionary Grant Programs</t>
  </si>
  <si>
    <t xml:space="preserve">Planning Horizon Totals </t>
  </si>
  <si>
    <t>Mortality Reduction Benefit of Induced Active Transportation - Cycling</t>
  </si>
  <si>
    <t>Daily # of Induced Cycling Trips</t>
  </si>
  <si>
    <t>Daily # of Induced Cycling Trips *# of Working Days</t>
  </si>
  <si>
    <t>Mortality Reduction Benefit from Biking</t>
  </si>
  <si>
    <t>Induced Daily Cycling Trips - Open Year (Build)</t>
  </si>
  <si>
    <t>Induced Daily Cycling Trips -2022</t>
  </si>
  <si>
    <t>Mortality Reduction Benefits per Induced Cycling Trip</t>
  </si>
  <si>
    <t>Amenity Benefits</t>
  </si>
  <si>
    <t>-</t>
  </si>
  <si>
    <t xml:space="preserve">For recommended monetization values, please refer to the Parameter Values tab directly. </t>
  </si>
  <si>
    <t>There are numerous potential values for pedestrian facilities, bicycle facilities, transit vehicles, and transit stations.</t>
  </si>
  <si>
    <t>Workspace</t>
  </si>
  <si>
    <t xml:space="preserve">Project ID: </t>
  </si>
  <si>
    <t>Bike/Ped Growth Rate:</t>
  </si>
  <si>
    <t>Build Project Length (mile):</t>
  </si>
  <si>
    <t>Pedestrian Facility Benefit</t>
  </si>
  <si>
    <t>Added Sidewalk Width (ft)</t>
  </si>
  <si>
    <t>Service Life (years)</t>
  </si>
  <si>
    <t>Benefit Per Mile Walked</t>
  </si>
  <si>
    <t>Build Annual Miles Walked in Opening Year (existing users)</t>
  </si>
  <si>
    <t>Build Annual Miles Walked in Opening Year(new users)</t>
  </si>
  <si>
    <t>Opening Year Benefit</t>
  </si>
  <si>
    <t>Cycling Facility Benefit - Dedicated Bike Lane</t>
  </si>
  <si>
    <t>Add Bike Facility:</t>
  </si>
  <si>
    <t>Build Annual Cycling Miles in Opening Year (existing users)</t>
  </si>
  <si>
    <t>Build Annual Cycling Miles in Opening Year (new users)</t>
  </si>
  <si>
    <t>Total:</t>
  </si>
  <si>
    <t>Discounted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</si>
</sst>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_);\(0\)"/>
    <numFmt numFmtId="167" formatCode="_(* #,##0.0000_);_(* \(#,##0.0000\);_(* &quot;-&quot;????_);_(@_)"/>
    <numFmt numFmtId="168" formatCode="&quot;$&quot;#,##0.0"/>
    <numFmt numFmtId="169" formatCode="_(* #,##0_);_(* \(#,##0\);_(* &quot;-&quot;??_);_(@_)"/>
    <numFmt numFmtId="170" formatCode="_([$$-409]* #,##0.00_);_([$$-409]* \(#,##0.00\);_([$$-409]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Microsoft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indexed="12"/>
      <name val="Courier"/>
      <family val="3"/>
    </font>
    <font>
      <sz val="10"/>
      <color rgb="FF9C0006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family val="2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6" tint="-0.249977111117893"/>
        <bgColor theme="8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 style="thin">
        <color rgb="FFB2B2B2"/>
      </left>
      <right/>
      <top style="thick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8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5" fillId="0" borderId="11" applyNumberFormat="0" applyFont="0" applyBorder="0" applyAlignment="0" applyProtection="0"/>
    <xf numFmtId="0" fontId="9" fillId="0" borderId="0"/>
    <xf numFmtId="0" fontId="14" fillId="0" borderId="0"/>
    <xf numFmtId="0" fontId="5" fillId="0" borderId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3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7" fillId="3" borderId="1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2" fillId="21" borderId="31" applyNumberFormat="0" applyFont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0" fillId="6" borderId="3" xfId="0" applyFill="1" applyBorder="1"/>
    <xf numFmtId="6" fontId="0" fillId="0" borderId="3" xfId="0" applyNumberFormat="1" applyBorder="1"/>
    <xf numFmtId="164" fontId="0" fillId="0" borderId="3" xfId="0" applyNumberFormat="1" applyBorder="1"/>
    <xf numFmtId="0" fontId="0" fillId="0" borderId="3" xfId="0" applyBorder="1"/>
    <xf numFmtId="9" fontId="0" fillId="0" borderId="3" xfId="214" applyFont="1" applyBorder="1"/>
    <xf numFmtId="0" fontId="0" fillId="6" borderId="0" xfId="0" applyFill="1" applyAlignment="1">
      <alignment wrapText="1"/>
    </xf>
    <xf numFmtId="0" fontId="0" fillId="4" borderId="0" xfId="0" applyFill="1"/>
    <xf numFmtId="164" fontId="1" fillId="4" borderId="0" xfId="0" applyNumberFormat="1" applyFont="1" applyFill="1"/>
    <xf numFmtId="0" fontId="1" fillId="0" borderId="0" xfId="0" applyFont="1" applyAlignment="1">
      <alignment wrapText="1"/>
    </xf>
    <xf numFmtId="0" fontId="23" fillId="0" borderId="13" xfId="120" applyFont="1" applyBorder="1" applyAlignment="1" applyProtection="1">
      <alignment horizontal="center" vertical="center"/>
      <protection hidden="1"/>
    </xf>
    <xf numFmtId="3" fontId="23" fillId="0" borderId="3" xfId="120" applyNumberFormat="1" applyFont="1" applyBorder="1" applyAlignment="1" applyProtection="1">
      <alignment horizontal="center" vertical="center" wrapText="1"/>
      <protection hidden="1"/>
    </xf>
    <xf numFmtId="0" fontId="23" fillId="0" borderId="3" xfId="120" applyFont="1" applyBorder="1" applyAlignment="1" applyProtection="1">
      <alignment horizontal="center" vertical="center" wrapText="1"/>
      <protection hidden="1"/>
    </xf>
    <xf numFmtId="0" fontId="23" fillId="7" borderId="3" xfId="120" applyFont="1" applyFill="1" applyBorder="1" applyAlignment="1" applyProtection="1">
      <alignment horizontal="center" vertical="center"/>
      <protection hidden="1"/>
    </xf>
    <xf numFmtId="0" fontId="3" fillId="9" borderId="13" xfId="120" applyFont="1" applyFill="1" applyBorder="1" applyAlignment="1" applyProtection="1">
      <alignment vertical="center"/>
      <protection hidden="1"/>
    </xf>
    <xf numFmtId="3" fontId="3" fillId="9" borderId="3" xfId="120" applyNumberFormat="1" applyFont="1" applyFill="1" applyBorder="1" applyAlignment="1" applyProtection="1">
      <alignment horizontal="center" vertical="center" wrapText="1"/>
      <protection hidden="1"/>
    </xf>
    <xf numFmtId="0" fontId="3" fillId="9" borderId="3" xfId="120" applyFont="1" applyFill="1" applyBorder="1" applyAlignment="1" applyProtection="1">
      <alignment horizontal="center" vertical="center" wrapText="1"/>
      <protection hidden="1"/>
    </xf>
    <xf numFmtId="0" fontId="1" fillId="7" borderId="3" xfId="120" applyFont="1" applyFill="1" applyBorder="1" applyAlignment="1" applyProtection="1">
      <alignment horizontal="center" vertical="center" wrapText="1"/>
      <protection hidden="1"/>
    </xf>
    <xf numFmtId="2" fontId="3" fillId="8" borderId="12" xfId="27" applyNumberFormat="1" applyFont="1" applyFill="1" applyBorder="1" applyAlignment="1" applyProtection="1">
      <alignment horizontal="center" vertical="center" wrapText="1"/>
      <protection hidden="1"/>
    </xf>
    <xf numFmtId="0" fontId="2" fillId="10" borderId="13" xfId="120" applyFill="1" applyBorder="1" applyAlignment="1" applyProtection="1">
      <alignment horizontal="center"/>
      <protection hidden="1"/>
    </xf>
    <xf numFmtId="166" fontId="2" fillId="10" borderId="3" xfId="212" applyNumberFormat="1" applyFont="1" applyFill="1" applyBorder="1" applyAlignment="1" applyProtection="1">
      <alignment horizontal="center"/>
      <protection hidden="1"/>
    </xf>
    <xf numFmtId="3" fontId="2" fillId="10" borderId="3" xfId="212" applyNumberFormat="1" applyFont="1" applyFill="1" applyBorder="1" applyAlignment="1" applyProtection="1">
      <alignment horizontal="center"/>
      <protection hidden="1"/>
    </xf>
    <xf numFmtId="165" fontId="2" fillId="7" borderId="2" xfId="213" applyNumberFormat="1" applyFont="1" applyFill="1" applyBorder="1" applyAlignment="1" applyProtection="1">
      <alignment horizontal="center"/>
      <protection hidden="1"/>
    </xf>
    <xf numFmtId="165" fontId="25" fillId="11" borderId="10" xfId="213" applyNumberFormat="1" applyFont="1" applyFill="1" applyBorder="1" applyAlignment="1" applyProtection="1">
      <alignment horizontal="center"/>
      <protection hidden="1"/>
    </xf>
    <xf numFmtId="0" fontId="26" fillId="0" borderId="8" xfId="27" applyFont="1" applyBorder="1" applyAlignment="1" applyProtection="1">
      <alignment vertical="center" wrapText="1"/>
      <protection hidden="1"/>
    </xf>
    <xf numFmtId="3" fontId="2" fillId="0" borderId="3" xfId="212" applyNumberFormat="1" applyFont="1" applyFill="1" applyBorder="1" applyAlignment="1" applyProtection="1">
      <alignment horizontal="center"/>
      <protection hidden="1"/>
    </xf>
    <xf numFmtId="165" fontId="1" fillId="0" borderId="22" xfId="213" applyNumberFormat="1" applyFont="1" applyFill="1" applyBorder="1" applyAlignment="1" applyProtection="1">
      <alignment horizontal="center"/>
      <protection hidden="1"/>
    </xf>
    <xf numFmtId="166" fontId="2" fillId="0" borderId="3" xfId="212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left" vertical="center"/>
      <protection hidden="1"/>
    </xf>
    <xf numFmtId="165" fontId="3" fillId="5" borderId="0" xfId="0" applyNumberFormat="1" applyFont="1" applyFill="1" applyAlignment="1" applyProtection="1">
      <alignment vertical="center"/>
      <protection hidden="1"/>
    </xf>
    <xf numFmtId="0" fontId="2" fillId="5" borderId="0" xfId="120" applyFill="1" applyProtection="1">
      <protection hidden="1"/>
    </xf>
    <xf numFmtId="0" fontId="2" fillId="0" borderId="0" xfId="120" applyProtection="1">
      <protection hidden="1"/>
    </xf>
    <xf numFmtId="0" fontId="0" fillId="0" borderId="0" xfId="0" applyProtection="1">
      <protection hidden="1"/>
    </xf>
    <xf numFmtId="0" fontId="24" fillId="0" borderId="0" xfId="0" applyFont="1" applyProtection="1">
      <protection hidden="1"/>
    </xf>
    <xf numFmtId="3" fontId="24" fillId="0" borderId="0" xfId="0" applyNumberFormat="1" applyFont="1" applyProtection="1">
      <protection hidden="1"/>
    </xf>
    <xf numFmtId="0" fontId="2" fillId="0" borderId="0" xfId="120" applyAlignment="1" applyProtection="1">
      <alignment horizontal="center" vertical="center"/>
      <protection hidden="1"/>
    </xf>
    <xf numFmtId="0" fontId="2" fillId="12" borderId="0" xfId="120" applyFill="1" applyProtection="1">
      <protection hidden="1"/>
    </xf>
    <xf numFmtId="0" fontId="3" fillId="9" borderId="15" xfId="120" applyFont="1" applyFill="1" applyBorder="1" applyAlignment="1" applyProtection="1">
      <alignment horizontal="center" vertical="center"/>
      <protection hidden="1"/>
    </xf>
    <xf numFmtId="0" fontId="2" fillId="0" borderId="6" xfId="120" applyBorder="1" applyProtection="1">
      <protection hidden="1"/>
    </xf>
    <xf numFmtId="0" fontId="2" fillId="0" borderId="0" xfId="120" applyAlignment="1" applyProtection="1">
      <alignment horizontal="center"/>
      <protection hidden="1"/>
    </xf>
    <xf numFmtId="0" fontId="3" fillId="0" borderId="7" xfId="120" applyFont="1" applyBorder="1" applyAlignment="1" applyProtection="1">
      <alignment horizontal="center" vertical="center"/>
      <protection hidden="1"/>
    </xf>
    <xf numFmtId="0" fontId="2" fillId="0" borderId="7" xfId="120" applyBorder="1" applyProtection="1">
      <protection hidden="1"/>
    </xf>
    <xf numFmtId="3" fontId="2" fillId="0" borderId="0" xfId="214" applyNumberFormat="1" applyFont="1" applyFill="1" applyBorder="1" applyAlignment="1" applyProtection="1">
      <alignment horizontal="center"/>
      <protection hidden="1"/>
    </xf>
    <xf numFmtId="3" fontId="2" fillId="0" borderId="6" xfId="120" applyNumberFormat="1" applyBorder="1" applyProtection="1">
      <protection hidden="1"/>
    </xf>
    <xf numFmtId="3" fontId="2" fillId="0" borderId="0" xfId="120" applyNumberFormat="1" applyProtection="1">
      <protection hidden="1"/>
    </xf>
    <xf numFmtId="3" fontId="2" fillId="0" borderId="7" xfId="120" applyNumberFormat="1" applyBorder="1" applyProtection="1">
      <protection hidden="1"/>
    </xf>
    <xf numFmtId="164" fontId="2" fillId="0" borderId="0" xfId="214" applyNumberFormat="1" applyFont="1" applyFill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3" fontId="2" fillId="0" borderId="8" xfId="120" applyNumberFormat="1" applyBorder="1" applyProtection="1">
      <protection hidden="1"/>
    </xf>
    <xf numFmtId="9" fontId="25" fillId="0" borderId="14" xfId="0" applyNumberFormat="1" applyFont="1" applyBorder="1" applyAlignment="1" applyProtection="1">
      <alignment horizontal="center"/>
      <protection hidden="1"/>
    </xf>
    <xf numFmtId="0" fontId="25" fillId="0" borderId="14" xfId="0" applyFont="1" applyBorder="1" applyProtection="1">
      <protection hidden="1"/>
    </xf>
    <xf numFmtId="0" fontId="24" fillId="0" borderId="5" xfId="0" applyFont="1" applyBorder="1" applyProtection="1">
      <protection hidden="1"/>
    </xf>
    <xf numFmtId="0" fontId="28" fillId="0" borderId="0" xfId="0" applyFont="1" applyProtection="1">
      <protection hidden="1"/>
    </xf>
    <xf numFmtId="165" fontId="24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2" fontId="0" fillId="0" borderId="0" xfId="0" applyNumberFormat="1"/>
    <xf numFmtId="0" fontId="3" fillId="9" borderId="3" xfId="0" applyFont="1" applyFill="1" applyBorder="1" applyAlignment="1">
      <alignment horizontal="center" wrapText="1"/>
    </xf>
    <xf numFmtId="10" fontId="3" fillId="9" borderId="3" xfId="214" applyNumberFormat="1" applyFont="1" applyFill="1" applyBorder="1" applyAlignment="1" applyProtection="1">
      <alignment horizontal="center" wrapText="1"/>
    </xf>
    <xf numFmtId="0" fontId="0" fillId="13" borderId="3" xfId="0" applyFill="1" applyBorder="1" applyAlignment="1">
      <alignment horizontal="center"/>
    </xf>
    <xf numFmtId="10" fontId="0" fillId="14" borderId="3" xfId="214" applyNumberFormat="1" applyFont="1" applyFill="1" applyBorder="1" applyAlignment="1" applyProtection="1">
      <alignment horizontal="center"/>
    </xf>
    <xf numFmtId="3" fontId="0" fillId="15" borderId="3" xfId="0" applyNumberFormat="1" applyFill="1" applyBorder="1" applyAlignment="1">
      <alignment horizontal="center"/>
    </xf>
    <xf numFmtId="43" fontId="0" fillId="0" borderId="3" xfId="212" applyFont="1" applyBorder="1" applyProtection="1"/>
    <xf numFmtId="0" fontId="0" fillId="15" borderId="3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0" fontId="0" fillId="0" borderId="0" xfId="214" applyNumberFormat="1" applyFont="1" applyProtection="1"/>
    <xf numFmtId="0" fontId="3" fillId="9" borderId="4" xfId="0" applyFont="1" applyFill="1" applyBorder="1" applyAlignment="1">
      <alignment horizontal="left" wrapText="1"/>
    </xf>
    <xf numFmtId="10" fontId="0" fillId="0" borderId="0" xfId="214" applyNumberFormat="1" applyFont="1" applyAlignment="1" applyProtection="1">
      <alignment wrapText="1"/>
    </xf>
    <xf numFmtId="0" fontId="3" fillId="9" borderId="2" xfId="0" applyFont="1" applyFill="1" applyBorder="1" applyAlignment="1">
      <alignment horizontal="center" wrapText="1"/>
    </xf>
    <xf numFmtId="0" fontId="0" fillId="14" borderId="3" xfId="0" applyFill="1" applyBorder="1" applyAlignment="1">
      <alignment wrapText="1"/>
    </xf>
    <xf numFmtId="10" fontId="0" fillId="14" borderId="3" xfId="214" applyNumberFormat="1" applyFont="1" applyFill="1" applyBorder="1" applyProtection="1">
      <protection locked="0"/>
    </xf>
    <xf numFmtId="167" fontId="0" fillId="0" borderId="3" xfId="212" applyNumberFormat="1" applyFont="1" applyBorder="1" applyProtection="1"/>
    <xf numFmtId="44" fontId="0" fillId="0" borderId="3" xfId="213" applyFont="1" applyBorder="1" applyProtection="1"/>
    <xf numFmtId="44" fontId="0" fillId="17" borderId="3" xfId="213" applyFont="1" applyFill="1" applyBorder="1" applyProtection="1"/>
    <xf numFmtId="10" fontId="0" fillId="0" borderId="0" xfId="214" applyNumberFormat="1" applyFont="1" applyFill="1" applyBorder="1" applyProtection="1"/>
    <xf numFmtId="0" fontId="0" fillId="0" borderId="0" xfId="0" applyAlignment="1" applyProtection="1">
      <alignment wrapText="1"/>
      <protection locked="0"/>
    </xf>
    <xf numFmtId="10" fontId="0" fillId="0" borderId="0" xfId="214" applyNumberFormat="1" applyFont="1" applyProtection="1">
      <protection locked="0"/>
    </xf>
    <xf numFmtId="0" fontId="1" fillId="15" borderId="3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8" borderId="0" xfId="0" applyFont="1" applyFill="1"/>
    <xf numFmtId="0" fontId="0" fillId="18" borderId="0" xfId="0" applyFill="1"/>
    <xf numFmtId="164" fontId="1" fillId="18" borderId="0" xfId="0" applyNumberFormat="1" applyFont="1" applyFill="1"/>
    <xf numFmtId="0" fontId="26" fillId="0" borderId="0" xfId="0" applyFont="1"/>
    <xf numFmtId="0" fontId="23" fillId="18" borderId="0" xfId="0" applyFont="1" applyFill="1"/>
    <xf numFmtId="9" fontId="0" fillId="0" borderId="3" xfId="0" applyNumberFormat="1" applyBorder="1"/>
    <xf numFmtId="165" fontId="0" fillId="0" borderId="3" xfId="0" applyNumberFormat="1" applyBorder="1"/>
    <xf numFmtId="164" fontId="0" fillId="19" borderId="23" xfId="0" applyNumberFormat="1" applyFill="1" applyBorder="1"/>
    <xf numFmtId="0" fontId="0" fillId="6" borderId="0" xfId="0" applyFill="1" applyAlignment="1">
      <alignment vertical="center"/>
    </xf>
    <xf numFmtId="165" fontId="0" fillId="6" borderId="0" xfId="0" applyNumberFormat="1" applyFill="1" applyAlignment="1">
      <alignment horizontal="right" vertical="center"/>
    </xf>
    <xf numFmtId="167" fontId="1" fillId="0" borderId="3" xfId="212" applyNumberFormat="1" applyFont="1" applyBorder="1" applyProtection="1"/>
    <xf numFmtId="44" fontId="1" fillId="0" borderId="3" xfId="213" applyFont="1" applyBorder="1" applyProtection="1"/>
    <xf numFmtId="44" fontId="1" fillId="17" borderId="3" xfId="213" applyFont="1" applyFill="1" applyBorder="1" applyProtection="1"/>
    <xf numFmtId="0" fontId="3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18" fillId="0" borderId="0" xfId="0" applyNumberFormat="1" applyFont="1"/>
    <xf numFmtId="0" fontId="0" fillId="4" borderId="0" xfId="0" applyFill="1" applyAlignment="1">
      <alignment wrapText="1"/>
    </xf>
    <xf numFmtId="0" fontId="0" fillId="18" borderId="0" xfId="0" applyFill="1" applyAlignment="1">
      <alignment wrapText="1"/>
    </xf>
    <xf numFmtId="165" fontId="0" fillId="0" borderId="0" xfId="0" applyNumberFormat="1" applyAlignment="1">
      <alignment wrapText="1"/>
    </xf>
    <xf numFmtId="3" fontId="30" fillId="0" borderId="0" xfId="0" applyNumberFormat="1" applyFont="1"/>
    <xf numFmtId="168" fontId="0" fillId="0" borderId="0" xfId="0" applyNumberFormat="1"/>
    <xf numFmtId="0" fontId="31" fillId="20" borderId="0" xfId="0" applyFont="1" applyFill="1"/>
    <xf numFmtId="0" fontId="26" fillId="7" borderId="24" xfId="0" applyFont="1" applyFill="1" applyBorder="1"/>
    <xf numFmtId="164" fontId="0" fillId="7" borderId="25" xfId="0" applyNumberFormat="1" applyFill="1" applyBorder="1"/>
    <xf numFmtId="0" fontId="0" fillId="7" borderId="26" xfId="0" applyFill="1" applyBorder="1"/>
    <xf numFmtId="164" fontId="0" fillId="7" borderId="27" xfId="0" applyNumberFormat="1" applyFill="1" applyBorder="1"/>
    <xf numFmtId="0" fontId="0" fillId="7" borderId="28" xfId="0" applyFill="1" applyBorder="1"/>
    <xf numFmtId="164" fontId="0" fillId="7" borderId="29" xfId="0" applyNumberFormat="1" applyFill="1" applyBorder="1"/>
    <xf numFmtId="0" fontId="25" fillId="0" borderId="0" xfId="0" applyFont="1" applyAlignment="1" applyProtection="1">
      <alignment horizontal="center"/>
      <protection hidden="1"/>
    </xf>
    <xf numFmtId="169" fontId="25" fillId="0" borderId="0" xfId="0" applyNumberFormat="1" applyFont="1" applyAlignment="1" applyProtection="1">
      <alignment vertical="center"/>
      <protection hidden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2" fillId="0" borderId="32" xfId="215" applyFill="1" applyBorder="1" applyAlignment="1" applyProtection="1"/>
    <xf numFmtId="0" fontId="0" fillId="22" borderId="0" xfId="0" applyFill="1"/>
    <xf numFmtId="0" fontId="0" fillId="22" borderId="33" xfId="217" applyFont="1" applyFill="1" applyBorder="1"/>
    <xf numFmtId="0" fontId="0" fillId="22" borderId="0" xfId="217" applyFont="1" applyFill="1" applyBorder="1"/>
    <xf numFmtId="0" fontId="0" fillId="22" borderId="0" xfId="217" applyFont="1" applyFill="1" applyBorder="1" applyAlignment="1">
      <alignment vertical="top"/>
    </xf>
    <xf numFmtId="0" fontId="0" fillId="22" borderId="0" xfId="0" applyFill="1" applyAlignment="1">
      <alignment vertical="top" wrapText="1"/>
    </xf>
    <xf numFmtId="0" fontId="0" fillId="21" borderId="31" xfId="217" applyFont="1" applyAlignment="1">
      <alignment vertical="top"/>
    </xf>
    <xf numFmtId="0" fontId="0" fillId="21" borderId="31" xfId="217" applyFont="1"/>
    <xf numFmtId="0" fontId="33" fillId="0" borderId="6" xfId="216" applyBorder="1" applyProtection="1"/>
    <xf numFmtId="0" fontId="34" fillId="5" borderId="3" xfId="0" applyFont="1" applyFill="1" applyBorder="1" applyAlignment="1">
      <alignment horizontal="right"/>
    </xf>
    <xf numFmtId="0" fontId="34" fillId="5" borderId="34" xfId="0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23" borderId="35" xfId="0" applyFill="1" applyBorder="1"/>
    <xf numFmtId="6" fontId="35" fillId="23" borderId="4" xfId="0" applyNumberFormat="1" applyFont="1" applyFill="1" applyBorder="1"/>
    <xf numFmtId="0" fontId="0" fillId="0" borderId="36" xfId="0" applyBorder="1"/>
    <xf numFmtId="0" fontId="0" fillId="0" borderId="37" xfId="0" applyBorder="1"/>
    <xf numFmtId="0" fontId="0" fillId="23" borderId="0" xfId="0" applyFill="1"/>
    <xf numFmtId="0" fontId="0" fillId="22" borderId="7" xfId="0" applyFill="1" applyBorder="1"/>
    <xf numFmtId="0" fontId="0" fillId="23" borderId="13" xfId="0" applyFill="1" applyBorder="1"/>
    <xf numFmtId="0" fontId="0" fillId="24" borderId="34" xfId="0" applyFill="1" applyBorder="1"/>
    <xf numFmtId="0" fontId="0" fillId="22" borderId="36" xfId="0" applyFill="1" applyBorder="1"/>
    <xf numFmtId="0" fontId="0" fillId="22" borderId="37" xfId="0" applyFill="1" applyBorder="1"/>
    <xf numFmtId="0" fontId="0" fillId="24" borderId="3" xfId="0" applyFill="1" applyBorder="1"/>
    <xf numFmtId="2" fontId="0" fillId="24" borderId="3" xfId="0" applyNumberFormat="1" applyFill="1" applyBorder="1"/>
    <xf numFmtId="0" fontId="34" fillId="5" borderId="0" xfId="0" applyFont="1" applyFill="1"/>
    <xf numFmtId="0" fontId="0" fillId="5" borderId="0" xfId="0" applyFill="1"/>
    <xf numFmtId="0" fontId="0" fillId="23" borderId="34" xfId="0" applyFill="1" applyBorder="1"/>
    <xf numFmtId="0" fontId="0" fillId="23" borderId="3" xfId="0" applyFill="1" applyBorder="1"/>
    <xf numFmtId="164" fontId="0" fillId="25" borderId="3" xfId="213" applyNumberFormat="1" applyFont="1" applyFill="1" applyBorder="1"/>
    <xf numFmtId="0" fontId="0" fillId="23" borderId="38" xfId="0" applyFill="1" applyBorder="1"/>
    <xf numFmtId="165" fontId="0" fillId="25" borderId="3" xfId="213" applyNumberFormat="1" applyFont="1" applyFill="1" applyBorder="1"/>
    <xf numFmtId="0" fontId="34" fillId="5" borderId="36" xfId="0" applyFont="1" applyFill="1" applyBorder="1"/>
    <xf numFmtId="0" fontId="0" fillId="5" borderId="39" xfId="0" applyFill="1" applyBorder="1"/>
    <xf numFmtId="0" fontId="25" fillId="23" borderId="40" xfId="0" applyFont="1" applyFill="1" applyBorder="1"/>
    <xf numFmtId="0" fontId="0" fillId="24" borderId="39" xfId="0" applyFill="1" applyBorder="1" applyAlignment="1">
      <alignment horizontal="right"/>
    </xf>
    <xf numFmtId="0" fontId="0" fillId="23" borderId="40" xfId="0" applyFill="1" applyBorder="1"/>
    <xf numFmtId="0" fontId="0" fillId="23" borderId="2" xfId="0" applyFill="1" applyBorder="1"/>
    <xf numFmtId="6" fontId="0" fillId="25" borderId="3" xfId="0" applyNumberFormat="1" applyFill="1" applyBorder="1"/>
    <xf numFmtId="0" fontId="0" fillId="23" borderId="39" xfId="0" applyFill="1" applyBorder="1"/>
    <xf numFmtId="6" fontId="35" fillId="23" borderId="3" xfId="0" applyNumberFormat="1" applyFont="1" applyFill="1" applyBorder="1"/>
    <xf numFmtId="0" fontId="1" fillId="23" borderId="13" xfId="0" applyFont="1" applyFill="1" applyBorder="1"/>
    <xf numFmtId="6" fontId="1" fillId="23" borderId="3" xfId="0" applyNumberFormat="1" applyFont="1" applyFill="1" applyBorder="1"/>
    <xf numFmtId="0" fontId="0" fillId="23" borderId="41" xfId="0" applyFill="1" applyBorder="1"/>
    <xf numFmtId="0" fontId="1" fillId="23" borderId="34" xfId="0" applyFont="1" applyFill="1" applyBorder="1"/>
    <xf numFmtId="0" fontId="0" fillId="0" borderId="6" xfId="0" applyBorder="1"/>
    <xf numFmtId="169" fontId="0" fillId="25" borderId="3" xfId="0" applyNumberFormat="1" applyFill="1" applyBorder="1"/>
    <xf numFmtId="0" fontId="36" fillId="0" borderId="0" xfId="0" applyFont="1"/>
    <xf numFmtId="6" fontId="36" fillId="0" borderId="0" xfId="0" applyNumberFormat="1" applyFont="1"/>
    <xf numFmtId="6" fontId="37" fillId="0" borderId="0" xfId="0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0" xfId="0" applyFont="1"/>
    <xf numFmtId="170" fontId="40" fillId="0" borderId="0" xfId="0" applyNumberFormat="1" applyFont="1"/>
    <xf numFmtId="0" fontId="29" fillId="26" borderId="0" xfId="0" applyFont="1" applyFill="1"/>
    <xf numFmtId="0" fontId="3" fillId="9" borderId="16" xfId="120" applyFont="1" applyFill="1" applyBorder="1" applyAlignment="1" applyProtection="1">
      <alignment horizontal="center" vertical="center"/>
      <protection hidden="1"/>
    </xf>
    <xf numFmtId="0" fontId="3" fillId="9" borderId="17" xfId="12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wrapText="1"/>
    </xf>
    <xf numFmtId="0" fontId="1" fillId="26" borderId="0" xfId="0" applyFont="1" applyFill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3" fillId="0" borderId="9" xfId="120" applyFont="1" applyBorder="1" applyAlignment="1" applyProtection="1">
      <alignment horizontal="center" vertical="center"/>
      <protection hidden="1"/>
    </xf>
    <xf numFmtId="0" fontId="23" fillId="0" borderId="18" xfId="120" applyFont="1" applyBorder="1" applyAlignment="1" applyProtection="1">
      <alignment horizontal="center" vertical="center"/>
      <protection hidden="1"/>
    </xf>
    <xf numFmtId="0" fontId="23" fillId="0" borderId="19" xfId="120" applyFont="1" applyBorder="1" applyAlignment="1" applyProtection="1">
      <alignment horizontal="center" vertical="center"/>
      <protection hidden="1"/>
    </xf>
    <xf numFmtId="2" fontId="3" fillId="8" borderId="20" xfId="27" applyNumberFormat="1" applyFont="1" applyFill="1" applyBorder="1" applyAlignment="1" applyProtection="1">
      <alignment horizontal="center" vertical="center" wrapText="1"/>
      <protection hidden="1"/>
    </xf>
    <xf numFmtId="2" fontId="3" fillId="8" borderId="21" xfId="27" applyNumberFormat="1" applyFont="1" applyFill="1" applyBorder="1" applyAlignment="1" applyProtection="1">
      <alignment horizontal="center" vertical="center" wrapText="1"/>
      <protection hidden="1"/>
    </xf>
    <xf numFmtId="0" fontId="3" fillId="9" borderId="16" xfId="120" applyFont="1" applyFill="1" applyBorder="1" applyAlignment="1" applyProtection="1">
      <alignment horizontal="center" vertical="center"/>
      <protection hidden="1"/>
    </xf>
    <xf numFmtId="0" fontId="3" fillId="9" borderId="17" xfId="120" applyFont="1" applyFill="1" applyBorder="1" applyAlignment="1" applyProtection="1">
      <alignment horizontal="center" vertical="center"/>
      <protection hidden="1"/>
    </xf>
  </cellXfs>
  <cellStyles count="218">
    <cellStyle name="Bad 2" xfId="111" xr:uid="{E2DEAF12-ABA4-43B8-9363-8B244CAB7F17}"/>
    <cellStyle name="Comma" xfId="212" builtinId="3"/>
    <cellStyle name="Comma 10" xfId="208" xr:uid="{DA6BF319-D87B-44FC-A0AD-5FC804484F61}"/>
    <cellStyle name="Comma 11" xfId="2" xr:uid="{987E2736-3E2C-45E5-A3E1-F61CEC8462E9}"/>
    <cellStyle name="Comma 2" xfId="11" xr:uid="{D732C5AA-75FA-4917-8E20-2C4F17BB726E}"/>
    <cellStyle name="Comma 2 2" xfId="12" xr:uid="{3EA190C1-02E4-4D5A-B4E0-68D299176004}"/>
    <cellStyle name="Comma 2 2 2" xfId="153" xr:uid="{E8E5CF8B-A74A-4D83-8FC9-85DDAC86C9EE}"/>
    <cellStyle name="Comma 2 3" xfId="17" xr:uid="{AFE5AAEA-61F3-481B-ADB9-223B7B351FBF}"/>
    <cellStyle name="Comma 2 4" xfId="32" xr:uid="{36BF0505-2D7E-4537-A945-B0BF7CE33533}"/>
    <cellStyle name="Comma 2 5" xfId="44" xr:uid="{7BCFC6D4-9594-4BFD-83F9-BF45D26D6AD8}"/>
    <cellStyle name="Comma 2 5 2" xfId="162" xr:uid="{5E70134A-E6E3-4087-ABCE-5F3E27B7871F}"/>
    <cellStyle name="Comma 2 6" xfId="152" xr:uid="{C5B9F8E5-6BB9-4A14-8841-85DCED9E934F}"/>
    <cellStyle name="Comma 3" xfId="16" xr:uid="{F162D60A-4FEE-475E-BF83-C875215462DA}"/>
    <cellStyle name="Comma 3 2" xfId="45" xr:uid="{B3B1714D-443C-4552-9463-99B384312422}"/>
    <cellStyle name="Comma 3 2 2" xfId="163" xr:uid="{F8655213-CA70-4274-80B6-D8C4E2BC43E4}"/>
    <cellStyle name="Comma 4" xfId="18" xr:uid="{E528E6B4-6F4A-45C1-991C-1C48129ADE87}"/>
    <cellStyle name="Comma 4 2" xfId="46" xr:uid="{89A5E375-C393-4302-A17E-5AAC3AAF564A}"/>
    <cellStyle name="Comma 5" xfId="19" xr:uid="{3391C625-656F-462C-BBBF-3303E6B06065}"/>
    <cellStyle name="Comma 5 2" xfId="105" xr:uid="{AFBCEF53-975A-4274-BDD6-19CB74DCD27D}"/>
    <cellStyle name="Comma 6" xfId="30" xr:uid="{B3FCE6BC-79DB-4BD8-AC86-6F9CB1EDA76B}"/>
    <cellStyle name="Comma 6 2" xfId="110" xr:uid="{8A8692BC-E121-49CA-9267-0CFFFEADA0D1}"/>
    <cellStyle name="Comma 6 2 2" xfId="173" xr:uid="{BE323518-B3E0-4472-BF6A-F0B554BD3AE5}"/>
    <cellStyle name="Comma 6 3" xfId="161" xr:uid="{E375411B-6C09-4A15-8540-FB0AE6D90AAB}"/>
    <cellStyle name="Comma 7" xfId="102" xr:uid="{2F664BE5-ECC3-4E69-8B81-FD0F1E4EB474}"/>
    <cellStyle name="Comma 8" xfId="114" xr:uid="{1F937F10-66C0-4339-A99E-BF1B52BEC1EF}"/>
    <cellStyle name="Comma 8 2" xfId="175" xr:uid="{4EA1364F-1D9D-47FB-858B-653123D9F2C3}"/>
    <cellStyle name="Comma 9" xfId="121" xr:uid="{8A6EFE86-21AB-4006-A452-AAB416C6AE7B}"/>
    <cellStyle name="Comma 9 2" xfId="128" xr:uid="{D93274D4-466F-4EB1-B568-4B7AD867B32A}"/>
    <cellStyle name="Comma 9 2 2" xfId="184" xr:uid="{F076FEA5-77F7-4298-B9D2-ACAC75365459}"/>
    <cellStyle name="Comma 9 3" xfId="142" xr:uid="{237481B4-8048-4AAF-9034-711D981ED190}"/>
    <cellStyle name="Comma 9 3 2" xfId="198" xr:uid="{2DAFF413-AD0B-44E9-9C97-0E634EB3B808}"/>
    <cellStyle name="Comma 9 4" xfId="147" xr:uid="{F5B091F1-2D07-4A14-9987-44C8C3BA9021}"/>
    <cellStyle name="Comma 9 4 2" xfId="203" xr:uid="{0F3ACE80-5A57-4B8A-A073-E8398C0B3FB8}"/>
    <cellStyle name="Comma 9 5" xfId="179" xr:uid="{E9819F49-30F8-451B-A624-CEF1C77E54A5}"/>
    <cellStyle name="Comma0" xfId="33" xr:uid="{6FFD9371-6BAD-41D2-B252-6D68D401D27C}"/>
    <cellStyle name="Currency" xfId="213" builtinId="4"/>
    <cellStyle name="Currency 10" xfId="3" xr:uid="{DFA283CA-4087-46A3-8321-E329A110B11B}"/>
    <cellStyle name="Currency 2" xfId="6" xr:uid="{F521E170-6FA0-4F55-BC94-02118C05FF52}"/>
    <cellStyle name="Currency 2 10" xfId="47" xr:uid="{A6D1A2D7-2AED-4622-AD35-9CA14E8981AE}"/>
    <cellStyle name="Currency 2 11" xfId="48" xr:uid="{F3560CFC-CC95-42A1-A07D-5EFC77AA4FFD}"/>
    <cellStyle name="Currency 2 12" xfId="49" xr:uid="{F0B47D8B-ABB7-4B4F-AFC4-E48B472C04C2}"/>
    <cellStyle name="Currency 2 13" xfId="50" xr:uid="{592ABA1D-717B-4AE6-917B-981305EEF1E2}"/>
    <cellStyle name="Currency 2 14" xfId="51" xr:uid="{A464753B-AF45-409B-AA04-9C2151D82152}"/>
    <cellStyle name="Currency 2 15" xfId="52" xr:uid="{B9D80CF1-7785-4E0E-8935-B649F2400505}"/>
    <cellStyle name="Currency 2 16" xfId="53" xr:uid="{BD564241-5C1C-49B8-9B68-4B10B56F7199}"/>
    <cellStyle name="Currency 2 17" xfId="104" xr:uid="{898C122B-06E2-41DA-9DEA-691867206DF5}"/>
    <cellStyle name="Currency 2 17 2" xfId="169" xr:uid="{4C909D11-CF31-4173-AF3F-6C698436FD1C}"/>
    <cellStyle name="Currency 2 18" xfId="43" xr:uid="{9E8B17CC-328B-4DF9-869B-2FE413677623}"/>
    <cellStyle name="Currency 2 2" xfId="54" xr:uid="{D49359F6-177C-4B51-B6A9-52F48720DFF8}"/>
    <cellStyle name="Currency 2 3" xfId="55" xr:uid="{3527A637-7A29-4EFD-B057-B544F92B37F8}"/>
    <cellStyle name="Currency 2 4" xfId="56" xr:uid="{E27B4E32-067C-4E80-AC60-B93948C4A436}"/>
    <cellStyle name="Currency 2 5" xfId="57" xr:uid="{B72C8152-5AD8-48BE-9F51-94B55EB800CC}"/>
    <cellStyle name="Currency 2 6" xfId="58" xr:uid="{E72E1959-76CB-44D4-97BE-5F0653A87D9B}"/>
    <cellStyle name="Currency 2 7" xfId="59" xr:uid="{2CDB5AF7-F1D8-4C0D-80A2-15609D307759}"/>
    <cellStyle name="Currency 2 8" xfId="60" xr:uid="{59AC4085-FED0-45E8-A49B-9B5F3239B436}"/>
    <cellStyle name="Currency 2 9" xfId="61" xr:uid="{9C3EBCEA-F0B9-435C-B324-0418CCBB277E}"/>
    <cellStyle name="Currency 3" xfId="14" xr:uid="{012B5002-64D3-4355-AD53-6689B3527C17}"/>
    <cellStyle name="Currency 3 2" xfId="62" xr:uid="{93392A2B-A601-4CCF-8F20-9CF447EDC25F}"/>
    <cellStyle name="Currency 3 2 2" xfId="164" xr:uid="{84D098BB-EFE5-4A94-BE9E-4330015D5924}"/>
    <cellStyle name="Currency 4" xfId="20" xr:uid="{858F0B1C-B63E-436D-A21A-05F621647BB8}"/>
    <cellStyle name="Currency 4 2" xfId="63" xr:uid="{5F62C9F8-7457-4F6B-8C92-7A7C882A13E0}"/>
    <cellStyle name="Currency 5" xfId="29" xr:uid="{22EEDC4A-C547-431F-8E70-E87BEF734719}"/>
    <cellStyle name="Currency 5 2" xfId="160" xr:uid="{7D90CFD7-B264-4804-9385-8846F350174C}"/>
    <cellStyle name="Currency 6" xfId="100" xr:uid="{895FE212-1C0C-4FA4-BD25-AE7110E64B2C}"/>
    <cellStyle name="Currency 7" xfId="116" xr:uid="{2AE5B708-510A-43BF-8A51-EEC3B414A6CB}"/>
    <cellStyle name="Currency 7 2" xfId="177" xr:uid="{516A53DF-CB0E-44D5-9631-46F69EF3B162}"/>
    <cellStyle name="Currency 8" xfId="123" xr:uid="{7B4B6652-BD0A-47B9-9266-FFFDFC016154}"/>
    <cellStyle name="Currency 8 2" xfId="181" xr:uid="{C05D6A96-54D0-4B60-B7D8-0C7C9119E357}"/>
    <cellStyle name="Currency 9" xfId="143" xr:uid="{995483C1-B7B7-4DED-A359-873CA2139245}"/>
    <cellStyle name="Currency 9 2" xfId="199" xr:uid="{59A8C4D8-843C-4AF1-9B6B-A68DF372D9C7}"/>
    <cellStyle name="Currency0" xfId="34" xr:uid="{04150862-B8A8-49DB-B610-92CD97C7CD9F}"/>
    <cellStyle name="Date" xfId="35" xr:uid="{4CABC825-21CD-4724-9925-D3D8E2BC67B7}"/>
    <cellStyle name="Fixed" xfId="36" xr:uid="{0D6AEECF-9229-4195-B5AE-3E80A781B023}"/>
    <cellStyle name="Heading 1" xfId="215" builtinId="16"/>
    <cellStyle name="Heading 1 2" xfId="37" xr:uid="{274847C5-69C7-4AC9-B118-527FEFA388BC}"/>
    <cellStyle name="Heading 2 2" xfId="38" xr:uid="{C7E304F9-FA00-44BC-AB38-35CB538D0135}"/>
    <cellStyle name="Heading 4" xfId="216" builtinId="19"/>
    <cellStyle name="Hyperlink 2" xfId="106" xr:uid="{68C0B409-0337-4C95-A66D-A84DA9C28E12}"/>
    <cellStyle name="Hyperlink 2 2" xfId="125" xr:uid="{159EF12C-A1BD-4D63-AE6A-1F843E3B0DE9}"/>
    <cellStyle name="Hyperlink 3" xfId="124" xr:uid="{71EF5C12-2C2B-4D1D-9220-266DB9762E46}"/>
    <cellStyle name="Input 2" xfId="112" xr:uid="{B707D7DC-552E-4D34-BBEC-0E8A76BA5007}"/>
    <cellStyle name="Normal" xfId="0" builtinId="0"/>
    <cellStyle name="Normal 10" xfId="113" xr:uid="{CDD19B77-6574-4C2C-963B-5C47E02127C1}"/>
    <cellStyle name="Normal 10 2" xfId="129" xr:uid="{B7FCB1F6-37FB-4C9B-9D3A-A5D6BF777EA8}"/>
    <cellStyle name="Normal 10 2 2" xfId="134" xr:uid="{AA296B72-0AAF-4CF6-AD36-A9004D14E0C2}"/>
    <cellStyle name="Normal 10 2 2 2" xfId="190" xr:uid="{652A1BF8-C7F0-44BC-9A5A-0B91AF751A35}"/>
    <cellStyle name="Normal 10 2 3" xfId="138" xr:uid="{7528EF67-1679-470C-840A-CEFA47497BFB}"/>
    <cellStyle name="Normal 10 2 3 2" xfId="194" xr:uid="{0B9DD0D9-AC0F-46C3-A5FD-F0F1992D6DC3}"/>
    <cellStyle name="Normal 10 2 4" xfId="185" xr:uid="{F79CACE6-1B9A-4947-894B-3ADAD5B8A260}"/>
    <cellStyle name="Normal 10 2 5" xfId="206" xr:uid="{A1D01ED2-BF8B-4FCB-A7E8-B73CE5316151}"/>
    <cellStyle name="Normal 10 3" xfId="132" xr:uid="{A0D07B6C-31BD-405A-A442-888D11AE2912}"/>
    <cellStyle name="Normal 10 3 2" xfId="148" xr:uid="{33AB44AE-3B9A-444A-BAD0-35721F8619E3}"/>
    <cellStyle name="Normal 10 3 2 2" xfId="204" xr:uid="{58AA5300-96C9-4636-A029-358F59B94A4A}"/>
    <cellStyle name="Normal 10 3 3" xfId="188" xr:uid="{3E39B1E3-B86F-4055-9FBD-527EA06DC505}"/>
    <cellStyle name="Normal 10 4" xfId="135" xr:uid="{0BA7AA44-1A4E-4233-BA5B-2A10C8C67756}"/>
    <cellStyle name="Normal 10 4 2" xfId="191" xr:uid="{210EED86-BE5A-4E2B-9CE1-4C52D95FC3D2}"/>
    <cellStyle name="Normal 10 5" xfId="136" xr:uid="{65B56D5F-C1D1-4565-A458-562C3983D9F0}"/>
    <cellStyle name="Normal 10 5 2" xfId="192" xr:uid="{56B9955F-F41E-4B80-A1C5-9A4BB9670615}"/>
    <cellStyle name="Normal 10 6" xfId="174" xr:uid="{3A7F401F-F889-4875-BFAE-BCC12C2960B4}"/>
    <cellStyle name="Normal 11" xfId="120" xr:uid="{8E539251-E2E5-44C5-B6D0-619131D21492}"/>
    <cellStyle name="Normal 11 2" xfId="127" xr:uid="{156A29EF-8CDF-4790-A9D6-8478FEFE0A64}"/>
    <cellStyle name="Normal 11 2 2" xfId="139" xr:uid="{350972B9-2B32-4D23-8DB1-C13B993C1A02}"/>
    <cellStyle name="Normal 11 2 2 2" xfId="195" xr:uid="{4700A9D3-06A7-417F-8569-DB8659ACF71B}"/>
    <cellStyle name="Normal 11 2 3" xfId="183" xr:uid="{797E90CB-3A05-49EA-96B4-96B45891929F}"/>
    <cellStyle name="Normal 11 3" xfId="130" xr:uid="{5DE8B90D-1F6E-4AD4-9430-FB758C39B720}"/>
    <cellStyle name="Normal 11 3 2" xfId="186" xr:uid="{01849043-2E68-458D-8F60-5F07F381A350}"/>
    <cellStyle name="Normal 11 4" xfId="141" xr:uid="{4849C3D7-159C-497B-B025-72DF6AC478C2}"/>
    <cellStyle name="Normal 11 4 2" xfId="197" xr:uid="{B6448C26-77F5-4B9F-A1CB-CFEE60044BFB}"/>
    <cellStyle name="Normal 11 5" xfId="145" xr:uid="{F17AF851-3265-4F46-B0C0-23BC07054BA4}"/>
    <cellStyle name="Normal 11 5 2" xfId="201" xr:uid="{03B25E67-9C54-42DD-9451-0EE39B222DA8}"/>
    <cellStyle name="Normal 11 6" xfId="178" xr:uid="{DEDFF796-24DC-4F6F-9495-7EDFA085E8BA}"/>
    <cellStyle name="Normal 12" xfId="207" xr:uid="{DD9B0B56-8769-44DC-B54A-620A45AE1ECB}"/>
    <cellStyle name="Normal 13" xfId="209" xr:uid="{B438D644-DE78-4FC5-9639-E8A4AA08C532}"/>
    <cellStyle name="Normal 14" xfId="210" xr:uid="{05BAF813-65CB-4310-9927-4A4B33E7DF4A}"/>
    <cellStyle name="Normal 15" xfId="211" xr:uid="{6ABF73D6-221E-45AE-BEAE-1617B24B3591}"/>
    <cellStyle name="Normal 16" xfId="1" xr:uid="{0575E82D-FE14-47D7-8C48-8EE9105DFDCB}"/>
    <cellStyle name="Normal 2" xfId="5" xr:uid="{21D0CE62-4EEB-4C33-B56E-565D5936330C}"/>
    <cellStyle name="Normal 2 10" xfId="64" xr:uid="{D986AE26-92DF-42B0-99BE-80D5FF30B8F0}"/>
    <cellStyle name="Normal 2 11" xfId="65" xr:uid="{FDA238F9-04FB-4752-8459-7D87A19832CA}"/>
    <cellStyle name="Normal 2 12" xfId="66" xr:uid="{A19B630D-7771-465B-AB15-5116AD8F301A}"/>
    <cellStyle name="Normal 2 13" xfId="67" xr:uid="{3860955E-7E0B-485B-AB18-2C66E4005BE5}"/>
    <cellStyle name="Normal 2 14" xfId="68" xr:uid="{7357AB0B-141F-4C99-AAB6-FE236B212F6B}"/>
    <cellStyle name="Normal 2 15" xfId="69" xr:uid="{B81CAC31-8A68-4975-BD97-523D594E5933}"/>
    <cellStyle name="Normal 2 16" xfId="70" xr:uid="{81F92E95-CFBB-4573-BB8B-B0484AD2EF48}"/>
    <cellStyle name="Normal 2 17" xfId="103" xr:uid="{C5ABC44C-B991-47E6-8391-5AAD26CFDBC6}"/>
    <cellStyle name="Normal 2 17 2" xfId="168" xr:uid="{667EDCCF-CF6E-4187-87C6-BC4EAE32E09A}"/>
    <cellStyle name="Normal 2 18" xfId="41" xr:uid="{F53B7656-F569-4D14-837D-D87E4F7509F4}"/>
    <cellStyle name="Normal 2 19" xfId="117" xr:uid="{4BB1A72F-A7E4-40F8-84D5-2CBC782F0E70}"/>
    <cellStyle name="Normal 2 2" xfId="15" xr:uid="{5E9E555C-2050-4B67-9547-5D404DD3BA81}"/>
    <cellStyle name="Normal 2 2 2" xfId="21" xr:uid="{65681AD7-E9A8-42B5-A6A3-52F93405E276}"/>
    <cellStyle name="Normal 2 2 3" xfId="71" xr:uid="{A8414F69-4A8D-417E-B634-0DC9CAA17B4B}"/>
    <cellStyle name="Normal 2 2 4" xfId="155" xr:uid="{262EA985-8FB0-43DF-AE9C-ED1181CD94D9}"/>
    <cellStyle name="Normal 2 20" xfId="118" xr:uid="{CC30345C-4A48-43AF-8261-E54741F7BA91}"/>
    <cellStyle name="Normal 2 21" xfId="150" xr:uid="{B5DBD411-681F-4184-BBA1-05B93FED9E06}"/>
    <cellStyle name="Normal 2 3" xfId="22" xr:uid="{422ABA86-40DD-44AE-B3D8-615C58FE0488}"/>
    <cellStyle name="Normal 2 3 2" xfId="72" xr:uid="{18A2D713-2971-41DE-B231-3B7EA5E4F0EE}"/>
    <cellStyle name="Normal 2 3 3" xfId="156" xr:uid="{1083CFCB-948B-41F2-A514-C734A32844F3}"/>
    <cellStyle name="Normal 2 4" xfId="73" xr:uid="{A4BA4663-CC42-40DB-AFB4-08C7C7774859}"/>
    <cellStyle name="Normal 2 5" xfId="74" xr:uid="{3742D895-F8E6-4073-A77E-DA529B9690F5}"/>
    <cellStyle name="Normal 2 6" xfId="75" xr:uid="{BBA210AD-F0F1-4624-A825-3AD125EDEE82}"/>
    <cellStyle name="Normal 2 7" xfId="76" xr:uid="{B1778F45-4963-4AF9-B40E-7F7879582523}"/>
    <cellStyle name="Normal 2 8" xfId="77" xr:uid="{B7F5308E-97AF-4FCD-8172-575DCCDAA373}"/>
    <cellStyle name="Normal 2 9" xfId="78" xr:uid="{1DE2166E-726E-4CD3-92D7-A419DD34A3B0}"/>
    <cellStyle name="Normal 3" xfId="8" xr:uid="{AF81E57D-9E71-40CC-93CD-3F9488CA68ED}"/>
    <cellStyle name="Normal 3 10" xfId="79" xr:uid="{2818B2B1-18F5-471B-AFBD-87A0C5FDE41D}"/>
    <cellStyle name="Normal 3 11" xfId="80" xr:uid="{2163BF51-E5FB-4F58-9D8D-E222B14184A5}"/>
    <cellStyle name="Normal 3 12" xfId="81" xr:uid="{7E0C9D75-FA89-4011-9AA3-16D9DDA6A5FC}"/>
    <cellStyle name="Normal 3 13" xfId="82" xr:uid="{3570BCEE-9B15-49E4-95D0-88ADACE53BA0}"/>
    <cellStyle name="Normal 3 14" xfId="83" xr:uid="{53D956B4-50C1-4C5B-AF9D-0EC2E30451F7}"/>
    <cellStyle name="Normal 3 15" xfId="84" xr:uid="{D253E9E8-A05C-4D4C-B3BD-64926F02F5A9}"/>
    <cellStyle name="Normal 3 16" xfId="85" xr:uid="{8E2A0EFA-E2C9-4BF4-BA49-ECB725FAA696}"/>
    <cellStyle name="Normal 3 17" xfId="42" xr:uid="{4C486DC4-2D2B-4342-90FE-690250ACEB45}"/>
    <cellStyle name="Normal 3 2" xfId="13" xr:uid="{A34E086F-31B6-496A-9309-7E12CE71C5E6}"/>
    <cellStyle name="Normal 3 2 2" xfId="86" xr:uid="{56BAD70A-303D-401C-8769-01913659B25A}"/>
    <cellStyle name="Normal 3 2 3" xfId="154" xr:uid="{53BDB6A0-A87A-4E1E-B6A7-CA9F7CC64C2B}"/>
    <cellStyle name="Normal 3 3" xfId="31" xr:uid="{17EAE787-3E26-4245-89E9-A2FF6DC7168C}"/>
    <cellStyle name="Normal 3 3 2" xfId="87" xr:uid="{C464CEBB-D1B4-43F6-AD75-3D23A17E9B3A}"/>
    <cellStyle name="Normal 3 4" xfId="88" xr:uid="{495C80EC-E84E-469D-86BF-E8A61EC80FF8}"/>
    <cellStyle name="Normal 3 5" xfId="89" xr:uid="{226587CA-EEA9-4932-A998-F7B1BE54F708}"/>
    <cellStyle name="Normal 3 6" xfId="90" xr:uid="{C475892D-828C-4444-8C28-3C22C4D235E6}"/>
    <cellStyle name="Normal 3 7" xfId="91" xr:uid="{C6AB2445-70B1-4516-B400-D667C5920E0C}"/>
    <cellStyle name="Normal 3 8" xfId="92" xr:uid="{38ACC1CB-6872-460F-9D95-80D1A0B0BBDF}"/>
    <cellStyle name="Normal 3 9" xfId="93" xr:uid="{E26852A9-ED8D-4A5F-96CC-D8DBD2C45F21}"/>
    <cellStyle name="Normal 4" xfId="7" xr:uid="{64C090D2-99C0-441B-8414-D8E8A86A4BAE}"/>
    <cellStyle name="Normal 4 2" xfId="94" xr:uid="{CCFB77EB-8D57-4CCD-9DFB-58EF8E1DF06F}"/>
    <cellStyle name="Normal 4 2 2" xfId="165" xr:uid="{192D8E0C-943E-4C00-A40D-FF03069A4504}"/>
    <cellStyle name="Normal 5" xfId="24" xr:uid="{97B60F5C-1D10-43E0-9557-045F8A71C559}"/>
    <cellStyle name="Normal 5 2" xfId="95" xr:uid="{6B547CF0-3BD3-468B-BD35-BBED83CC0CBD}"/>
    <cellStyle name="Normal 6" xfId="25" xr:uid="{6CDBDB2E-DCD5-4C7E-A71A-637FBBBB5BFB}"/>
    <cellStyle name="Normal 6 2" xfId="107" xr:uid="{8F7B80C1-A5DA-4C72-BD83-49A1B444F069}"/>
    <cellStyle name="Normal 6 2 2" xfId="170" xr:uid="{88265531-B6B5-4303-90FA-DAAD3CEDEC72}"/>
    <cellStyle name="Normal 7" xfId="26" xr:uid="{1825E076-4410-46AF-A12E-C7331CCB8BD7}"/>
    <cellStyle name="Normal 7 2" xfId="108" xr:uid="{7FBF4577-6EFE-4A26-96A0-E6EE0EED0236}"/>
    <cellStyle name="Normal 7 2 2" xfId="171" xr:uid="{D341AAE9-E4B1-4FA4-8DF0-E6044DA28E09}"/>
    <cellStyle name="Normal 7 3" xfId="157" xr:uid="{E1A5E352-50D1-4B61-9BDF-58C74F2AD0F7}"/>
    <cellStyle name="Normal 8" xfId="27" xr:uid="{F85B08E4-EBC5-4974-B763-41024B71BC55}"/>
    <cellStyle name="Normal 8 2" xfId="126" xr:uid="{238B7089-E17D-4F94-AC52-7961121DE103}"/>
    <cellStyle name="Normal 8 2 2" xfId="133" xr:uid="{D50234F0-3F87-467E-844C-314D57DD949C}"/>
    <cellStyle name="Normal 8 2 2 2" xfId="189" xr:uid="{B0CB57F7-66EA-4AF2-8955-1871CA3B1D63}"/>
    <cellStyle name="Normal 8 2 3" xfId="140" xr:uid="{C06594AD-93EF-4854-AC78-4C14F64CECDE}"/>
    <cellStyle name="Normal 8 2 3 2" xfId="196" xr:uid="{D3EE2A65-AA34-4AC5-A90C-BD4610A35CE8}"/>
    <cellStyle name="Normal 8 2 4" xfId="182" xr:uid="{EFE7C639-5DBD-47A9-B4C0-A57430B50296}"/>
    <cellStyle name="Normal 8 3" xfId="131" xr:uid="{32F7CD87-61F0-4C82-B0D9-BD7CBDBCB187}"/>
    <cellStyle name="Normal 8 3 2" xfId="149" xr:uid="{11BE5ED8-A27F-4D57-AEEF-DCBED317358B}"/>
    <cellStyle name="Normal 8 3 2 2" xfId="205" xr:uid="{6C736BA1-1EB7-4DAB-B8A4-800DD798035A}"/>
    <cellStyle name="Normal 8 3 3" xfId="187" xr:uid="{009BFBD4-A05F-40DC-8487-577F778DDB78}"/>
    <cellStyle name="Normal 8 4" xfId="137" xr:uid="{65AEFB35-E999-4322-8A94-28A56FC3CE59}"/>
    <cellStyle name="Normal 8 4 2" xfId="193" xr:uid="{E2DC6594-D2E6-43C4-AC5E-CDAA4A86D1FB}"/>
    <cellStyle name="Normal 8 5" xfId="146" xr:uid="{E6E43527-6C13-4305-A195-292969585833}"/>
    <cellStyle name="Normal 8 5 2" xfId="202" xr:uid="{9BDBE2AE-73F7-4885-8F9C-77950737E2A2}"/>
    <cellStyle name="Normal 8 6" xfId="158" xr:uid="{47A2FBE4-80E4-498C-82E2-1D20DAF44630}"/>
    <cellStyle name="Normal 9" xfId="40" xr:uid="{D846D40B-E81F-44E8-A3EB-F3A9AE4F8C7E}"/>
    <cellStyle name="Note" xfId="217" builtinId="10"/>
    <cellStyle name="Percent" xfId="214" builtinId="5"/>
    <cellStyle name="Percent 10" xfId="122" xr:uid="{FB921A22-661C-4966-99F4-E4A9ED8C3787}"/>
    <cellStyle name="Percent 10 2" xfId="180" xr:uid="{370D0816-B092-44E6-AE47-4106B617E653}"/>
    <cellStyle name="Percent 11" xfId="144" xr:uid="{07A4CE0B-86C3-4E59-8C71-B843050C0371}"/>
    <cellStyle name="Percent 11 2" xfId="200" xr:uid="{0F83DE76-CCBC-4810-89B8-67D26B68DD43}"/>
    <cellStyle name="Percent 12" xfId="4" xr:uid="{C5844373-3BC8-46CD-A710-653C500D1712}"/>
    <cellStyle name="Percent 2" xfId="10" xr:uid="{8386A176-E984-4897-858A-2345D721B207}"/>
    <cellStyle name="Percent 2 2" xfId="96" xr:uid="{0E6CA02D-54FE-4C74-977E-6896C39B5397}"/>
    <cellStyle name="Percent 2 3" xfId="151" xr:uid="{4B015E31-1BD4-4563-A0AB-8A92FFA2DB24}"/>
    <cellStyle name="Percent 3" xfId="9" xr:uid="{C0B4092C-220D-48E2-850A-897B70A11133}"/>
    <cellStyle name="Percent 3 2" xfId="97" xr:uid="{1FB54CDB-6A28-47DF-AD1F-2B93D156D1F6}"/>
    <cellStyle name="Percent 3 2 2" xfId="166" xr:uid="{FDD38A1A-9710-496D-AB53-594CF1726D3D}"/>
    <cellStyle name="Percent 4" xfId="23" xr:uid="{552F8790-AB26-450C-AA90-E29FE4641DE0}"/>
    <cellStyle name="Percent 4 2" xfId="98" xr:uid="{090E600E-4B76-4339-8BC1-09AC9AB821FF}"/>
    <cellStyle name="Percent 4 2 2" xfId="167" xr:uid="{DEE3B9ED-122F-4619-96AA-59A198723C1A}"/>
    <cellStyle name="Percent 5" xfId="28" xr:uid="{EEC4186D-F658-4B1F-A584-49ADF9B5FB1C}"/>
    <cellStyle name="Percent 5 2" xfId="99" xr:uid="{5DF39FBA-DAEA-4F30-B350-4270008994C5}"/>
    <cellStyle name="Percent 5 3" xfId="159" xr:uid="{FA7672C2-6F3B-42B5-976E-CD86B906BB50}"/>
    <cellStyle name="Percent 6" xfId="109" xr:uid="{0B221DEE-5EE7-447C-9489-C98CD1496446}"/>
    <cellStyle name="Percent 6 2" xfId="172" xr:uid="{8E657467-04CC-4565-9585-76902D4DE32B}"/>
    <cellStyle name="Percent 7" xfId="101" xr:uid="{13962F09-EC08-4C1B-8259-0DC74F593A94}"/>
    <cellStyle name="Percent 8" xfId="115" xr:uid="{77554B28-0A02-46F0-BAA5-86B2FCA39835}"/>
    <cellStyle name="Percent 8 2" xfId="176" xr:uid="{661C1C52-9479-4032-A382-70909DCE457B}"/>
    <cellStyle name="Percent 9" xfId="119" xr:uid="{56F81362-E3A3-4843-90E3-3E49B11E8BBA}"/>
    <cellStyle name="Total 2" xfId="39" xr:uid="{ED72F4F8-EA6D-4518-B1F0-88DBA177C2E6}"/>
  </cellStyles>
  <dxfs count="4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utx.sharepoint.com/sites/TDO-TrafficManagement/Shared%20Documents/1-Grants/2023%20TIP/2023%202024%20Submissions/Waugh%20Dr.%20Package%202-4/Waugh_2023_HGAC_CFP_BCA%20Calculator_081524.xlsm" TargetMode="External"/><Relationship Id="rId1" Type="http://schemas.openxmlformats.org/officeDocument/2006/relationships/externalLinkPath" Target="/sites/TDO-TrafficManagement/Shared%20Documents/1-Grants/2023%20TIP/2023%202024%20Submissions/Waugh%20Dr.%20Package%202-4/Waugh_2023_HGAC_CFP_BCA%20Calculator_081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struction"/>
      <sheetName val="Project Information Data"/>
      <sheetName val="Raw Crash Data"/>
      <sheetName val="Raw Bike_Ped Data"/>
      <sheetName val="Output"/>
      <sheetName val="Summary"/>
      <sheetName val="Final BCR"/>
      <sheetName val="Capital Costs"/>
      <sheetName val="Operations and Maintenance"/>
      <sheetName val="Safety"/>
      <sheetName val="Travel Time Savings"/>
      <sheetName val="Emissions Reduction"/>
      <sheetName val="Vehicle Operating Cost Savings"/>
      <sheetName val="Other Highway Use Externalities"/>
      <sheetName val="Amenity Benefits"/>
      <sheetName val="Health Benefits"/>
      <sheetName val="Residual Value"/>
      <sheetName val="Project Information"/>
      <sheetName val="Parameter Values"/>
      <sheetName val="Emission Factors"/>
      <sheetName val="Other Benefit 4"/>
      <sheetName val="Other Benefit 3"/>
      <sheetName val="Other Benefit 2"/>
      <sheetName val="Other Benefit 1"/>
      <sheetName val="User Volumes"/>
      <sheetName val="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>
            <v>2022</v>
          </cell>
        </row>
        <row r="9">
          <cell r="B9">
            <v>2030</v>
          </cell>
        </row>
        <row r="12">
          <cell r="B12">
            <v>1208</v>
          </cell>
        </row>
        <row r="17">
          <cell r="B17">
            <v>2</v>
          </cell>
        </row>
        <row r="26">
          <cell r="B26">
            <v>1.7000000000000001E-2</v>
          </cell>
        </row>
        <row r="29">
          <cell r="B29">
            <v>448.59423742716405</v>
          </cell>
        </row>
        <row r="31">
          <cell r="B31">
            <v>134.57827122814922</v>
          </cell>
        </row>
        <row r="35">
          <cell r="B35">
            <v>1155.816785207744</v>
          </cell>
        </row>
        <row r="37">
          <cell r="B37">
            <v>242.72152489362622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Project Information Data"/>
      <sheetName val="Raw Crash Data"/>
      <sheetName val="Raw Bike_Ped Data"/>
      <sheetName val="Overview"/>
      <sheetName val="Output"/>
      <sheetName val="Summary"/>
      <sheetName val="Final BCR"/>
      <sheetName val="User Volumes"/>
      <sheetName val="Capital Costs"/>
      <sheetName val="Operations and Maintenance"/>
      <sheetName val="Safety"/>
      <sheetName val="Travel Time Savings"/>
      <sheetName val="Emissions Reduction"/>
      <sheetName val="Vehicle Operating Cost Savings"/>
      <sheetName val="Other Highway Use Externalities"/>
      <sheetName val="Amenity Benefits"/>
      <sheetName val="Health Benefits"/>
      <sheetName val="Residual Value"/>
      <sheetName val="Project Information"/>
      <sheetName val="Parameter Values"/>
      <sheetName val="Emission Factors"/>
      <sheetName val="Other Benefit 1"/>
      <sheetName val="Other Benefit 2"/>
      <sheetName val="Other Benefit 3"/>
      <sheetName val="Other Benefi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9">
          <cell r="B9">
            <v>2030</v>
          </cell>
        </row>
        <row r="11">
          <cell r="B11">
            <v>2054</v>
          </cell>
        </row>
        <row r="28">
          <cell r="B28">
            <v>20</v>
          </cell>
        </row>
        <row r="34">
          <cell r="B34" t="str">
            <v>Yes</v>
          </cell>
        </row>
      </sheetData>
      <sheetData sheetId="20">
        <row r="140">
          <cell r="B140">
            <v>0.11</v>
          </cell>
        </row>
        <row r="156">
          <cell r="B156">
            <v>1.86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u, Haiqing" id="{E22AE5A9-89C2-47FC-A3E5-91BA6C32415A}" userId="S::Haiqing.Liu@aecom.com::c9c4a449-fa2c-4631-b3fa-e648242e7fd0" providerId="AD"/>
  <person displayName="Pappas, Eleni - HPW" id="{32198E13-3C3F-493C-A6B0-695DF6E6A515}" userId="S::eleni.pappas@houstontx.gov::998ef5e9-d786-4de9-9799-76527c94eb4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7" dT="2024-08-25T15:05:40.44" personId="{32198E13-3C3F-493C-A6B0-695DF6E6A515}" id="{0DD7F89C-9CAA-4BB0-B6E0-E130E8CC8C8C}">
    <text xml:space="preserve">See note in email. If you use the same methodology HGAC uses for Active Benefit due to emissions, and apply the value from USD for bike trips... I think this is "right" - please review with critical eye.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03-22T19:30:17.54" personId="{E22AE5A9-89C2-47FC-A3E5-91BA6C32415A}" id="{FB89BA8B-60C3-48E7-A517-8BCA3FD41858}">
    <text>I do not think we have data to calculate this benefit. Leaving blank for now.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9"/>
  <sheetViews>
    <sheetView tabSelected="1" zoomScale="120" zoomScaleNormal="120" workbookViewId="0">
      <selection activeCell="F19" sqref="F19"/>
    </sheetView>
  </sheetViews>
  <sheetFormatPr defaultRowHeight="14.5" x14ac:dyDescent="0.35"/>
  <cols>
    <col min="1" max="1" width="57.1796875" bestFit="1" customWidth="1"/>
    <col min="2" max="2" width="31.26953125" style="4" customWidth="1"/>
    <col min="3" max="3" width="52.81640625" style="1" customWidth="1"/>
    <col min="4" max="4" width="59.54296875" bestFit="1" customWidth="1"/>
    <col min="5" max="5" width="18.81640625" customWidth="1"/>
    <col min="6" max="6" width="19.26953125" customWidth="1"/>
  </cols>
  <sheetData>
    <row r="1" spans="1:7" x14ac:dyDescent="0.35">
      <c r="A1" t="s">
        <v>0</v>
      </c>
      <c r="B1" s="5"/>
      <c r="E1" s="4">
        <f>145760000-24980000</f>
        <v>120780000</v>
      </c>
      <c r="F1" s="4">
        <f>SUM(B16,B33,B40,B19)</f>
        <v>144460899.5962787</v>
      </c>
      <c r="G1">
        <f>F1/E1</f>
        <v>1.1960663983795223</v>
      </c>
    </row>
    <row r="2" spans="1:7" x14ac:dyDescent="0.35">
      <c r="A2" t="s">
        <v>1</v>
      </c>
      <c r="B2" s="5"/>
    </row>
    <row r="3" spans="1:7" x14ac:dyDescent="0.35">
      <c r="A3" s="3" t="s">
        <v>2</v>
      </c>
    </row>
    <row r="4" spans="1:7" ht="18.5" x14ac:dyDescent="0.45">
      <c r="A4" s="90" t="s">
        <v>0</v>
      </c>
    </row>
    <row r="5" spans="1:7" ht="15.5" x14ac:dyDescent="0.35">
      <c r="A5" s="93" t="s">
        <v>3</v>
      </c>
      <c r="B5" s="174">
        <f>'Cost Summary and Discounting'!N35</f>
        <v>1.44</v>
      </c>
    </row>
    <row r="6" spans="1:7" ht="15.5" x14ac:dyDescent="0.35">
      <c r="A6" s="93" t="s">
        <v>4</v>
      </c>
      <c r="B6" s="173">
        <f>SUM(B16,B20,B23,B28,B33,B37,B40)</f>
        <v>179769653.64209315</v>
      </c>
    </row>
    <row r="7" spans="1:7" ht="15.5" x14ac:dyDescent="0.35">
      <c r="A7" s="93" t="s">
        <v>5</v>
      </c>
      <c r="B7" s="173">
        <f>B6/B5</f>
        <v>124840037.25145358</v>
      </c>
    </row>
    <row r="8" spans="1:7" x14ac:dyDescent="0.35">
      <c r="A8" s="89" t="s">
        <v>6</v>
      </c>
    </row>
    <row r="9" spans="1:7" x14ac:dyDescent="0.35">
      <c r="A9" s="3" t="s">
        <v>7</v>
      </c>
      <c r="B9" s="5" t="s">
        <v>8</v>
      </c>
      <c r="C9" s="15" t="s">
        <v>9</v>
      </c>
      <c r="D9" s="3" t="s">
        <v>10</v>
      </c>
    </row>
    <row r="10" spans="1:7" ht="30" customHeight="1" x14ac:dyDescent="0.35">
      <c r="A10" s="177" t="s">
        <v>11</v>
      </c>
      <c r="B10" s="177"/>
    </row>
    <row r="11" spans="1:7" x14ac:dyDescent="0.35">
      <c r="A11" t="s">
        <v>12</v>
      </c>
      <c r="B11" s="4">
        <v>19664000</v>
      </c>
      <c r="C11" s="1" t="s">
        <v>13</v>
      </c>
      <c r="D11" t="s">
        <v>14</v>
      </c>
    </row>
    <row r="12" spans="1:7" x14ac:dyDescent="0.35">
      <c r="A12" t="s">
        <v>15</v>
      </c>
      <c r="B12" s="4">
        <v>10134000</v>
      </c>
      <c r="C12" s="1" t="s">
        <v>13</v>
      </c>
      <c r="D12" t="s">
        <v>16</v>
      </c>
    </row>
    <row r="13" spans="1:7" x14ac:dyDescent="0.35">
      <c r="A13" t="s">
        <v>17</v>
      </c>
      <c r="B13" s="4">
        <v>14591000</v>
      </c>
      <c r="C13" s="1" t="s">
        <v>13</v>
      </c>
      <c r="D13" t="s">
        <v>18</v>
      </c>
    </row>
    <row r="14" spans="1:7" x14ac:dyDescent="0.35">
      <c r="A14" t="s">
        <v>19</v>
      </c>
      <c r="B14" s="4">
        <v>16589000</v>
      </c>
      <c r="C14" s="1" t="s">
        <v>13</v>
      </c>
      <c r="D14" t="s">
        <v>20</v>
      </c>
    </row>
    <row r="15" spans="1:7" x14ac:dyDescent="0.35">
      <c r="A15" t="s">
        <v>21</v>
      </c>
      <c r="B15" s="4">
        <v>8622000</v>
      </c>
      <c r="C15" s="1" t="s">
        <v>13</v>
      </c>
      <c r="D15" t="s">
        <v>22</v>
      </c>
    </row>
    <row r="16" spans="1:7" x14ac:dyDescent="0.35">
      <c r="A16" s="86" t="s">
        <v>23</v>
      </c>
      <c r="B16" s="88">
        <f>SUM(B11:B15)</f>
        <v>69600000</v>
      </c>
      <c r="C16" s="103"/>
      <c r="D16" s="87"/>
    </row>
    <row r="17" spans="1:4" x14ac:dyDescent="0.35">
      <c r="A17" s="13"/>
      <c r="B17" s="14"/>
      <c r="C17" s="102"/>
      <c r="D17" s="13"/>
    </row>
    <row r="18" spans="1:4" x14ac:dyDescent="0.35">
      <c r="A18" s="3" t="s">
        <v>24</v>
      </c>
    </row>
    <row r="19" spans="1:4" ht="43.5" x14ac:dyDescent="0.35">
      <c r="A19" t="s">
        <v>25</v>
      </c>
      <c r="B19" s="5">
        <f>'Useful Life Remaining Table '!C7</f>
        <v>31780616.158678059</v>
      </c>
      <c r="C19" s="1" t="s">
        <v>26</v>
      </c>
      <c r="D19" t="s">
        <v>27</v>
      </c>
    </row>
    <row r="20" spans="1:4" x14ac:dyDescent="0.35">
      <c r="A20" s="86" t="s">
        <v>28</v>
      </c>
      <c r="B20" s="88">
        <f>B19</f>
        <v>31780616.158678059</v>
      </c>
      <c r="C20" s="103"/>
      <c r="D20" s="87"/>
    </row>
    <row r="21" spans="1:4" x14ac:dyDescent="0.35">
      <c r="A21" s="13"/>
      <c r="B21" s="14"/>
      <c r="C21" s="102"/>
      <c r="D21" s="13"/>
    </row>
    <row r="22" spans="1:4" x14ac:dyDescent="0.35">
      <c r="A22" s="3" t="s">
        <v>29</v>
      </c>
      <c r="C22" s="104" t="s">
        <v>30</v>
      </c>
      <c r="D22" t="s">
        <v>31</v>
      </c>
    </row>
    <row r="23" spans="1:4" x14ac:dyDescent="0.35">
      <c r="A23" s="86" t="s">
        <v>32</v>
      </c>
      <c r="B23" s="88">
        <f>'Other Externalities '!T35</f>
        <v>1425203.8213973818</v>
      </c>
      <c r="C23" s="103"/>
      <c r="D23" s="87"/>
    </row>
    <row r="24" spans="1:4" x14ac:dyDescent="0.35">
      <c r="A24" s="13"/>
      <c r="B24" s="14"/>
      <c r="C24" s="102"/>
      <c r="D24" s="13"/>
    </row>
    <row r="25" spans="1:4" x14ac:dyDescent="0.35">
      <c r="A25" s="3" t="s">
        <v>33</v>
      </c>
    </row>
    <row r="26" spans="1:4" ht="43.5" x14ac:dyDescent="0.35">
      <c r="A26" t="s">
        <v>34</v>
      </c>
      <c r="B26" s="4">
        <f>'Mortality Benefit - Walk '!J48</f>
        <v>6258971.3548229923</v>
      </c>
      <c r="C26" s="1" t="s">
        <v>35</v>
      </c>
      <c r="D26" t="s">
        <v>36</v>
      </c>
    </row>
    <row r="27" spans="1:4" ht="43.5" x14ac:dyDescent="0.35">
      <c r="A27" t="s">
        <v>37</v>
      </c>
      <c r="B27" s="4">
        <f>'Mortality Benefit - Bike'!J48</f>
        <v>26467578.869594108</v>
      </c>
      <c r="C27" s="1" t="s">
        <v>35</v>
      </c>
      <c r="D27" t="s">
        <v>38</v>
      </c>
    </row>
    <row r="28" spans="1:4" x14ac:dyDescent="0.35">
      <c r="A28" s="86" t="s">
        <v>32</v>
      </c>
      <c r="B28" s="88">
        <f>SUM(B26:B27)</f>
        <v>32726550.224417102</v>
      </c>
      <c r="C28" s="103"/>
      <c r="D28" s="87"/>
    </row>
    <row r="29" spans="1:4" x14ac:dyDescent="0.35">
      <c r="A29" s="13"/>
      <c r="B29" s="14"/>
      <c r="C29" s="102"/>
      <c r="D29" s="13"/>
    </row>
    <row r="30" spans="1:4" ht="29" x14ac:dyDescent="0.35">
      <c r="A30" s="1" t="s">
        <v>39</v>
      </c>
    </row>
    <row r="31" spans="1:4" x14ac:dyDescent="0.35">
      <c r="A31" s="94" t="s">
        <v>40</v>
      </c>
      <c r="B31" s="95">
        <v>9779.4222064287787</v>
      </c>
      <c r="C31" s="1" t="s">
        <v>13</v>
      </c>
      <c r="D31" t="s">
        <v>41</v>
      </c>
    </row>
    <row r="32" spans="1:4" x14ac:dyDescent="0.35">
      <c r="A32" s="94" t="s">
        <v>42</v>
      </c>
      <c r="B32" s="95">
        <v>475191.01539419836</v>
      </c>
      <c r="C32" s="1" t="s">
        <v>13</v>
      </c>
      <c r="D32" t="s">
        <v>41</v>
      </c>
    </row>
    <row r="33" spans="1:4" x14ac:dyDescent="0.35">
      <c r="A33" s="86" t="s">
        <v>43</v>
      </c>
      <c r="B33" s="88">
        <v>484970.43760062713</v>
      </c>
      <c r="C33" s="103"/>
      <c r="D33" s="87"/>
    </row>
    <row r="34" spans="1:4" x14ac:dyDescent="0.35">
      <c r="A34" s="13"/>
      <c r="B34" s="14"/>
      <c r="C34" s="102"/>
      <c r="D34" s="13"/>
    </row>
    <row r="35" spans="1:4" x14ac:dyDescent="0.35">
      <c r="A35" s="3" t="s">
        <v>44</v>
      </c>
    </row>
    <row r="36" spans="1:4" x14ac:dyDescent="0.35">
      <c r="A36" t="s">
        <v>45</v>
      </c>
      <c r="B36" s="4">
        <v>1157000</v>
      </c>
      <c r="C36" s="1" t="s">
        <v>13</v>
      </c>
      <c r="D36" t="s">
        <v>46</v>
      </c>
    </row>
    <row r="37" spans="1:4" x14ac:dyDescent="0.35">
      <c r="A37" s="86" t="s">
        <v>47</v>
      </c>
      <c r="B37" s="88">
        <v>1157000</v>
      </c>
      <c r="C37" s="103"/>
      <c r="D37" s="87"/>
    </row>
    <row r="38" spans="1:4" x14ac:dyDescent="0.35">
      <c r="A38" s="13"/>
      <c r="B38" s="14"/>
      <c r="C38" s="102"/>
      <c r="D38" s="13"/>
    </row>
    <row r="39" spans="1:4" x14ac:dyDescent="0.35">
      <c r="A39" s="3" t="s">
        <v>48</v>
      </c>
      <c r="C39" s="104" t="s">
        <v>49</v>
      </c>
      <c r="D39" s="6" t="s">
        <v>50</v>
      </c>
    </row>
    <row r="40" spans="1:4" x14ac:dyDescent="0.35">
      <c r="A40" s="86" t="s">
        <v>51</v>
      </c>
      <c r="B40" s="88">
        <v>42595313</v>
      </c>
      <c r="C40" s="103"/>
      <c r="D40" s="87"/>
    </row>
    <row r="41" spans="1:4" x14ac:dyDescent="0.35">
      <c r="A41" s="13"/>
      <c r="B41" s="14"/>
      <c r="C41" s="102"/>
      <c r="D41" s="13"/>
    </row>
    <row r="42" spans="1:4" x14ac:dyDescent="0.35">
      <c r="B42" s="5"/>
    </row>
    <row r="43" spans="1:4" x14ac:dyDescent="0.35">
      <c r="B43" s="5"/>
    </row>
    <row r="44" spans="1:4" x14ac:dyDescent="0.35">
      <c r="A44" s="107" t="s">
        <v>52</v>
      </c>
    </row>
    <row r="45" spans="1:4" x14ac:dyDescent="0.35">
      <c r="A45" s="108" t="s">
        <v>53</v>
      </c>
      <c r="B45" s="109"/>
    </row>
    <row r="46" spans="1:4" x14ac:dyDescent="0.35">
      <c r="A46" s="110" t="s">
        <v>54</v>
      </c>
      <c r="B46" s="111"/>
    </row>
    <row r="47" spans="1:4" x14ac:dyDescent="0.35">
      <c r="A47" s="110" t="s">
        <v>55</v>
      </c>
      <c r="B47" s="111"/>
    </row>
    <row r="48" spans="1:4" x14ac:dyDescent="0.35">
      <c r="A48" s="110" t="s">
        <v>56</v>
      </c>
      <c r="B48" s="111"/>
    </row>
    <row r="49" spans="1:2" x14ac:dyDescent="0.35">
      <c r="A49" s="112" t="s">
        <v>57</v>
      </c>
      <c r="B49" s="113"/>
    </row>
  </sheetData>
  <mergeCells count="1">
    <mergeCell ref="A10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0C9D-6B72-49D2-A1BF-61FC4C1C6576}">
  <sheetPr codeName="Sheet2"/>
  <dimension ref="A1:N35"/>
  <sheetViews>
    <sheetView workbookViewId="0">
      <selection activeCell="Q9" sqref="Q9:Q10"/>
    </sheetView>
  </sheetViews>
  <sheetFormatPr defaultRowHeight="14.5" x14ac:dyDescent="0.35"/>
  <cols>
    <col min="1" max="1" width="18.54296875" bestFit="1" customWidth="1"/>
    <col min="2" max="2" width="6.54296875" bestFit="1" customWidth="1"/>
    <col min="3" max="3" width="21.26953125" bestFit="1" customWidth="1"/>
    <col min="4" max="4" width="14.7265625" bestFit="1" customWidth="1"/>
    <col min="5" max="5" width="12.453125" bestFit="1" customWidth="1"/>
    <col min="7" max="7" width="5" bestFit="1" customWidth="1"/>
    <col min="8" max="8" width="13.7265625" bestFit="1" customWidth="1"/>
    <col min="9" max="9" width="12.7265625" bestFit="1" customWidth="1"/>
    <col min="10" max="10" width="15.26953125" bestFit="1" customWidth="1"/>
    <col min="12" max="13" width="13.7265625" bestFit="1" customWidth="1"/>
    <col min="14" max="14" width="5" bestFit="1" customWidth="1"/>
  </cols>
  <sheetData>
    <row r="1" spans="1:10" x14ac:dyDescent="0.35">
      <c r="C1" s="116" t="s">
        <v>58</v>
      </c>
      <c r="D1" s="105">
        <v>120780000</v>
      </c>
      <c r="G1" s="178" t="s">
        <v>59</v>
      </c>
      <c r="H1" s="178"/>
      <c r="I1" s="178"/>
      <c r="J1" s="178"/>
    </row>
    <row r="2" spans="1:10" ht="29" x14ac:dyDescent="0.35">
      <c r="B2" s="118" t="s">
        <v>60</v>
      </c>
      <c r="C2" s="118" t="s">
        <v>61</v>
      </c>
      <c r="D2" s="119" t="s">
        <v>62</v>
      </c>
      <c r="E2" s="118" t="s">
        <v>63</v>
      </c>
      <c r="G2" s="170" t="s">
        <v>60</v>
      </c>
      <c r="H2" s="171" t="s">
        <v>64</v>
      </c>
      <c r="I2" s="171" t="s">
        <v>65</v>
      </c>
      <c r="J2" s="170" t="s">
        <v>66</v>
      </c>
    </row>
    <row r="3" spans="1:10" x14ac:dyDescent="0.35">
      <c r="B3">
        <v>2022</v>
      </c>
      <c r="G3" s="167">
        <v>2022</v>
      </c>
      <c r="H3" s="168">
        <v>0</v>
      </c>
      <c r="I3" s="168">
        <v>0</v>
      </c>
      <c r="J3" s="168">
        <v>0</v>
      </c>
    </row>
    <row r="4" spans="1:10" x14ac:dyDescent="0.35">
      <c r="B4">
        <v>2023</v>
      </c>
      <c r="G4" s="167">
        <v>2023</v>
      </c>
      <c r="H4" s="168">
        <v>0</v>
      </c>
      <c r="I4" s="168">
        <v>0</v>
      </c>
      <c r="J4" s="168">
        <v>0</v>
      </c>
    </row>
    <row r="5" spans="1:10" x14ac:dyDescent="0.35">
      <c r="B5">
        <v>2024</v>
      </c>
      <c r="G5" s="167">
        <v>2024</v>
      </c>
      <c r="H5" s="168">
        <v>0</v>
      </c>
      <c r="I5" s="168">
        <v>0</v>
      </c>
      <c r="J5" s="168">
        <v>0</v>
      </c>
    </row>
    <row r="6" spans="1:10" x14ac:dyDescent="0.35">
      <c r="B6">
        <v>2025</v>
      </c>
      <c r="C6" t="s">
        <v>67</v>
      </c>
      <c r="D6" s="6">
        <v>2000000</v>
      </c>
      <c r="E6" s="106">
        <f>D6/(1+3.1%)^(B6-2022)</f>
        <v>1824962.7309989126</v>
      </c>
      <c r="G6" s="167">
        <v>2025</v>
      </c>
      <c r="H6" s="168">
        <v>0</v>
      </c>
      <c r="I6" s="168">
        <v>0</v>
      </c>
      <c r="J6" s="168">
        <v>0</v>
      </c>
    </row>
    <row r="7" spans="1:10" x14ac:dyDescent="0.35">
      <c r="B7">
        <v>2026</v>
      </c>
      <c r="C7" t="s">
        <v>67</v>
      </c>
      <c r="D7" s="6">
        <v>2000000</v>
      </c>
      <c r="E7" s="106">
        <f>D7/(1+3.1%)^(B7-2022)</f>
        <v>1770089.942772951</v>
      </c>
      <c r="G7" s="167">
        <v>2026</v>
      </c>
      <c r="H7" s="168">
        <v>0</v>
      </c>
      <c r="I7" s="168">
        <v>0</v>
      </c>
      <c r="J7" s="168">
        <v>0</v>
      </c>
    </row>
    <row r="8" spans="1:10" x14ac:dyDescent="0.35">
      <c r="B8">
        <v>2027</v>
      </c>
      <c r="C8" t="s">
        <v>68</v>
      </c>
      <c r="D8" s="6">
        <v>14000000</v>
      </c>
      <c r="E8" s="106">
        <f>D8/(1+3.1%)^(B8-2022)</f>
        <v>12018069.446567079</v>
      </c>
      <c r="G8" s="167">
        <v>2027</v>
      </c>
      <c r="H8" s="168">
        <v>0</v>
      </c>
      <c r="I8" s="168">
        <v>0</v>
      </c>
      <c r="J8" s="168">
        <v>0</v>
      </c>
    </row>
    <row r="9" spans="1:10" x14ac:dyDescent="0.35">
      <c r="B9">
        <v>2028</v>
      </c>
      <c r="C9" t="s">
        <v>68</v>
      </c>
      <c r="D9" s="6">
        <v>14000000</v>
      </c>
      <c r="E9" s="106">
        <f>D9/(1+3.1%)^(B9-2022)</f>
        <v>11656711.39337253</v>
      </c>
      <c r="G9" s="167">
        <v>2028</v>
      </c>
      <c r="H9" s="168">
        <v>0</v>
      </c>
      <c r="I9" s="168">
        <v>0</v>
      </c>
      <c r="J9" s="168">
        <v>0</v>
      </c>
    </row>
    <row r="10" spans="1:10" x14ac:dyDescent="0.35">
      <c r="B10">
        <v>2029</v>
      </c>
      <c r="C10" t="s">
        <v>69</v>
      </c>
      <c r="D10" s="6">
        <f>(D1-SUM(D6:D9))/2</f>
        <v>44390000</v>
      </c>
      <c r="E10" s="106">
        <f>D10/(1+3.1%)^(B10-2022)</f>
        <v>35848788.884010442</v>
      </c>
      <c r="G10" s="167">
        <v>2029</v>
      </c>
      <c r="H10" s="168">
        <v>0</v>
      </c>
      <c r="I10" s="168">
        <v>0</v>
      </c>
      <c r="J10" s="168">
        <v>0</v>
      </c>
    </row>
    <row r="11" spans="1:10" x14ac:dyDescent="0.35">
      <c r="A11" s="117" t="s">
        <v>70</v>
      </c>
      <c r="B11" s="3">
        <v>2030</v>
      </c>
      <c r="C11" t="s">
        <v>69</v>
      </c>
      <c r="D11" s="6">
        <f>(D1-SUM(D6:D9))/2</f>
        <v>44390000</v>
      </c>
      <c r="E11" s="106">
        <f t="shared" ref="E11" si="0">D11/(1+3.7%)^(B11-2022)</f>
        <v>33193656.383076929</v>
      </c>
      <c r="G11" s="167">
        <v>2030</v>
      </c>
      <c r="H11" s="168">
        <v>120780000</v>
      </c>
      <c r="I11" s="169">
        <v>120780000</v>
      </c>
      <c r="J11" s="168">
        <v>124524180</v>
      </c>
    </row>
    <row r="12" spans="1:10" x14ac:dyDescent="0.35">
      <c r="D12" s="6"/>
      <c r="G12" s="167">
        <v>2031</v>
      </c>
      <c r="H12" s="168">
        <v>120780000</v>
      </c>
      <c r="I12" s="169">
        <v>120780000</v>
      </c>
      <c r="J12" s="168">
        <v>124524180</v>
      </c>
    </row>
    <row r="13" spans="1:10" x14ac:dyDescent="0.35">
      <c r="B13" t="s">
        <v>71</v>
      </c>
      <c r="D13" s="6">
        <f>SUM(D6:D11)</f>
        <v>120780000</v>
      </c>
      <c r="E13" s="6">
        <f>SUM(E6:E11)</f>
        <v>96312278.780798852</v>
      </c>
      <c r="G13" s="167">
        <v>2032</v>
      </c>
      <c r="H13" s="168">
        <v>120780000</v>
      </c>
      <c r="I13" s="169">
        <v>120780000</v>
      </c>
      <c r="J13" s="168">
        <v>124524180</v>
      </c>
    </row>
    <row r="14" spans="1:10" x14ac:dyDescent="0.35">
      <c r="B14" t="s">
        <v>72</v>
      </c>
      <c r="D14" s="6">
        <f>D1-D13</f>
        <v>0</v>
      </c>
      <c r="G14" s="167">
        <v>2033</v>
      </c>
      <c r="H14" s="168">
        <v>120780000</v>
      </c>
      <c r="I14" s="169">
        <v>120780000</v>
      </c>
      <c r="J14" s="168">
        <v>124524180</v>
      </c>
    </row>
    <row r="15" spans="1:10" x14ac:dyDescent="0.35">
      <c r="G15" s="167">
        <v>2034</v>
      </c>
      <c r="H15" s="168">
        <v>120780000</v>
      </c>
      <c r="I15" s="169">
        <v>120780000</v>
      </c>
      <c r="J15" s="168">
        <v>124524180</v>
      </c>
    </row>
    <row r="16" spans="1:10" x14ac:dyDescent="0.35">
      <c r="G16" s="167">
        <v>2035</v>
      </c>
      <c r="H16" s="168">
        <v>120780000</v>
      </c>
      <c r="I16" s="169">
        <v>120780000</v>
      </c>
      <c r="J16" s="168">
        <v>124524180</v>
      </c>
    </row>
    <row r="17" spans="7:10" x14ac:dyDescent="0.35">
      <c r="G17" s="167">
        <v>2036</v>
      </c>
      <c r="H17" s="168">
        <v>120780000</v>
      </c>
      <c r="I17" s="169">
        <v>120780000</v>
      </c>
      <c r="J17" s="168">
        <v>124524180</v>
      </c>
    </row>
    <row r="18" spans="7:10" x14ac:dyDescent="0.35">
      <c r="G18" s="167">
        <v>2037</v>
      </c>
      <c r="H18" s="168">
        <v>120780000</v>
      </c>
      <c r="I18" s="169">
        <v>120780000</v>
      </c>
      <c r="J18" s="168">
        <v>124524180</v>
      </c>
    </row>
    <row r="19" spans="7:10" x14ac:dyDescent="0.35">
      <c r="G19" s="167">
        <v>2038</v>
      </c>
      <c r="H19" s="168">
        <v>120780000</v>
      </c>
      <c r="I19" s="169">
        <v>120780000</v>
      </c>
      <c r="J19" s="168">
        <v>124524180</v>
      </c>
    </row>
    <row r="20" spans="7:10" x14ac:dyDescent="0.35">
      <c r="G20" s="167">
        <v>2039</v>
      </c>
      <c r="H20" s="168">
        <v>120780000</v>
      </c>
      <c r="I20" s="169">
        <v>120780000</v>
      </c>
      <c r="J20" s="168">
        <v>124524180</v>
      </c>
    </row>
    <row r="21" spans="7:10" x14ac:dyDescent="0.35">
      <c r="G21" s="167">
        <v>2040</v>
      </c>
      <c r="H21" s="168">
        <v>120780000</v>
      </c>
      <c r="I21" s="169">
        <v>120780000</v>
      </c>
      <c r="J21" s="168">
        <v>124524180</v>
      </c>
    </row>
    <row r="22" spans="7:10" x14ac:dyDescent="0.35">
      <c r="G22" s="167">
        <v>2041</v>
      </c>
      <c r="H22" s="168">
        <v>120780000</v>
      </c>
      <c r="I22" s="169">
        <v>120780000</v>
      </c>
      <c r="J22" s="168">
        <v>124524180</v>
      </c>
    </row>
    <row r="23" spans="7:10" x14ac:dyDescent="0.35">
      <c r="G23" s="167">
        <v>2042</v>
      </c>
      <c r="H23" s="168">
        <v>120780000</v>
      </c>
      <c r="I23" s="169">
        <v>120780000</v>
      </c>
      <c r="J23" s="168">
        <v>124524180</v>
      </c>
    </row>
    <row r="24" spans="7:10" x14ac:dyDescent="0.35">
      <c r="G24" s="167">
        <v>2043</v>
      </c>
      <c r="H24" s="168">
        <v>120780000</v>
      </c>
      <c r="I24" s="169">
        <v>120780000</v>
      </c>
      <c r="J24" s="168">
        <v>124524180</v>
      </c>
    </row>
    <row r="25" spans="7:10" x14ac:dyDescent="0.35">
      <c r="G25" s="167">
        <v>2044</v>
      </c>
      <c r="H25" s="168">
        <v>120780000</v>
      </c>
      <c r="I25" s="169">
        <v>120780000</v>
      </c>
      <c r="J25" s="168">
        <v>124524180</v>
      </c>
    </row>
    <row r="26" spans="7:10" x14ac:dyDescent="0.35">
      <c r="G26" s="167">
        <v>2045</v>
      </c>
      <c r="H26" s="168">
        <v>120780000</v>
      </c>
      <c r="I26" s="169">
        <v>120780000</v>
      </c>
      <c r="J26" s="168">
        <v>124524180</v>
      </c>
    </row>
    <row r="27" spans="7:10" x14ac:dyDescent="0.35">
      <c r="G27" s="167">
        <v>2046</v>
      </c>
      <c r="H27" s="168">
        <v>120780000</v>
      </c>
      <c r="I27" s="169">
        <v>120780000</v>
      </c>
      <c r="J27" s="168">
        <v>124524180</v>
      </c>
    </row>
    <row r="28" spans="7:10" x14ac:dyDescent="0.35">
      <c r="G28" s="167">
        <v>2047</v>
      </c>
      <c r="H28" s="168">
        <v>120780000</v>
      </c>
      <c r="I28" s="169">
        <v>120780000</v>
      </c>
      <c r="J28" s="168">
        <v>124524180</v>
      </c>
    </row>
    <row r="29" spans="7:10" x14ac:dyDescent="0.35">
      <c r="G29" s="167">
        <v>2048</v>
      </c>
      <c r="H29" s="168">
        <v>120780000</v>
      </c>
      <c r="I29" s="169">
        <v>120780000</v>
      </c>
      <c r="J29" s="168">
        <v>124524180</v>
      </c>
    </row>
    <row r="30" spans="7:10" x14ac:dyDescent="0.35">
      <c r="G30" s="167">
        <v>2049</v>
      </c>
      <c r="H30" s="168">
        <v>120780000</v>
      </c>
      <c r="I30" s="169">
        <v>120780000</v>
      </c>
      <c r="J30" s="168">
        <v>124524180</v>
      </c>
    </row>
    <row r="31" spans="7:10" x14ac:dyDescent="0.35">
      <c r="G31" s="167">
        <v>2050</v>
      </c>
      <c r="H31" s="168">
        <v>120780000</v>
      </c>
      <c r="I31" s="169">
        <v>120780000</v>
      </c>
      <c r="J31" s="168">
        <v>124524180</v>
      </c>
    </row>
    <row r="32" spans="7:10" x14ac:dyDescent="0.35">
      <c r="G32" s="167">
        <v>2051</v>
      </c>
      <c r="H32" s="168">
        <v>120780000</v>
      </c>
      <c r="I32" s="169">
        <v>120780000</v>
      </c>
      <c r="J32" s="168">
        <v>124524180</v>
      </c>
    </row>
    <row r="33" spans="7:14" x14ac:dyDescent="0.35">
      <c r="G33" s="167">
        <v>2052</v>
      </c>
      <c r="H33" s="168">
        <v>120780000</v>
      </c>
      <c r="I33" s="169">
        <v>120780000</v>
      </c>
      <c r="J33" s="168">
        <v>124524180</v>
      </c>
    </row>
    <row r="34" spans="7:14" x14ac:dyDescent="0.35">
      <c r="G34" s="167">
        <v>2053</v>
      </c>
      <c r="H34" s="168">
        <v>120780000</v>
      </c>
      <c r="I34" s="169">
        <v>120780000</v>
      </c>
      <c r="J34" s="168">
        <v>124524180</v>
      </c>
      <c r="L34" s="118" t="s">
        <v>73</v>
      </c>
      <c r="M34" s="118" t="s">
        <v>74</v>
      </c>
    </row>
    <row r="35" spans="7:14" x14ac:dyDescent="0.35">
      <c r="G35" s="167">
        <v>2054</v>
      </c>
      <c r="H35" s="168">
        <v>120780000</v>
      </c>
      <c r="I35" s="169">
        <v>120780000</v>
      </c>
      <c r="J35" s="168">
        <v>124524180</v>
      </c>
      <c r="L35" s="168">
        <v>179769654</v>
      </c>
      <c r="M35" s="168">
        <v>124524180</v>
      </c>
      <c r="N35" s="172">
        <v>1.44</v>
      </c>
    </row>
  </sheetData>
  <mergeCells count="1">
    <mergeCell ref="G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7887-A448-4ED1-834F-EDC99CF1C070}">
  <sheetPr codeName="Sheet3"/>
  <dimension ref="B2:D14"/>
  <sheetViews>
    <sheetView workbookViewId="0">
      <selection activeCell="D3" sqref="D3"/>
    </sheetView>
  </sheetViews>
  <sheetFormatPr defaultRowHeight="14.5" x14ac:dyDescent="0.35"/>
  <cols>
    <col min="2" max="2" width="57.1796875" bestFit="1" customWidth="1"/>
    <col min="3" max="3" width="17" customWidth="1"/>
    <col min="4" max="4" width="22.81640625" customWidth="1"/>
    <col min="5" max="5" width="31.26953125" customWidth="1"/>
    <col min="6" max="6" width="13.1796875" customWidth="1"/>
  </cols>
  <sheetData>
    <row r="2" spans="2:4" x14ac:dyDescent="0.35">
      <c r="B2" s="3" t="s">
        <v>24</v>
      </c>
      <c r="C2" s="3" t="s">
        <v>75</v>
      </c>
      <c r="D2" s="5" t="s">
        <v>76</v>
      </c>
    </row>
    <row r="3" spans="2:4" x14ac:dyDescent="0.35">
      <c r="B3" s="7" t="s">
        <v>77</v>
      </c>
      <c r="C3" s="8">
        <v>9217260</v>
      </c>
      <c r="D3" s="9">
        <v>120780000</v>
      </c>
    </row>
    <row r="4" spans="2:4" x14ac:dyDescent="0.35">
      <c r="B4" s="7" t="s">
        <v>78</v>
      </c>
      <c r="C4" s="91">
        <v>0</v>
      </c>
      <c r="D4" s="11">
        <v>0.6</v>
      </c>
    </row>
    <row r="5" spans="2:4" x14ac:dyDescent="0.35">
      <c r="B5" s="7" t="s">
        <v>79</v>
      </c>
      <c r="C5" s="92">
        <f>C3*C4</f>
        <v>0</v>
      </c>
      <c r="D5" s="9">
        <f>D3*D4</f>
        <v>72468000</v>
      </c>
    </row>
    <row r="6" spans="2:4" x14ac:dyDescent="0.35">
      <c r="B6" s="7" t="s">
        <v>80</v>
      </c>
      <c r="C6" s="179">
        <f>D5-C5</f>
        <v>72468000</v>
      </c>
      <c r="D6" s="180"/>
    </row>
    <row r="7" spans="2:4" x14ac:dyDescent="0.35">
      <c r="B7" s="7" t="s">
        <v>81</v>
      </c>
      <c r="C7" s="181">
        <f>C6/(1+3.1%)^(2049-2022)</f>
        <v>31780616.158678059</v>
      </c>
      <c r="D7" s="182"/>
    </row>
    <row r="9" spans="2:4" ht="29" x14ac:dyDescent="0.35">
      <c r="B9" s="12" t="s">
        <v>82</v>
      </c>
    </row>
    <row r="10" spans="2:4" ht="43.5" x14ac:dyDescent="0.35">
      <c r="B10" s="12" t="s">
        <v>83</v>
      </c>
    </row>
    <row r="11" spans="2:4" x14ac:dyDescent="0.35">
      <c r="B11" s="3"/>
    </row>
    <row r="12" spans="2:4" x14ac:dyDescent="0.35">
      <c r="B12" t="s">
        <v>84</v>
      </c>
      <c r="D12" s="2"/>
    </row>
    <row r="13" spans="2:4" x14ac:dyDescent="0.35">
      <c r="B13" t="s">
        <v>85</v>
      </c>
      <c r="D13" s="2"/>
    </row>
    <row r="14" spans="2:4" ht="130.5" x14ac:dyDescent="0.35">
      <c r="B14" s="1" t="s">
        <v>86</v>
      </c>
    </row>
  </sheetData>
  <mergeCells count="2">
    <mergeCell ref="C6:D6"/>
    <mergeCell ref="C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FF51-29BF-4F65-9156-A58CB294760A}">
  <sheetPr codeName="Sheet4"/>
  <dimension ref="B1:T37"/>
  <sheetViews>
    <sheetView workbookViewId="0">
      <selection activeCell="H14" sqref="H14"/>
    </sheetView>
  </sheetViews>
  <sheetFormatPr defaultRowHeight="14.5" x14ac:dyDescent="0.35"/>
  <cols>
    <col min="2" max="2" width="19" customWidth="1"/>
    <col min="3" max="3" width="17.81640625" customWidth="1"/>
    <col min="4" max="4" width="21.81640625" customWidth="1"/>
    <col min="5" max="5" width="23.81640625" customWidth="1"/>
    <col min="7" max="7" width="4.54296875" style="71" customWidth="1"/>
    <col min="8" max="8" width="32.81640625" style="82" customWidth="1"/>
    <col min="9" max="9" width="14" style="71" bestFit="1" customWidth="1"/>
    <col min="10" max="10" width="7.1796875" style="71" customWidth="1"/>
    <col min="11" max="11" width="7.26953125" style="83" customWidth="1"/>
    <col min="12" max="12" width="7.453125" style="70" customWidth="1"/>
    <col min="13" max="13" width="10.1796875" style="70" customWidth="1"/>
    <col min="14" max="14" width="9" style="71" customWidth="1"/>
    <col min="15" max="16" width="13" style="71" customWidth="1"/>
    <col min="17" max="17" width="16.54296875" style="71" customWidth="1"/>
    <col min="18" max="18" width="23.26953125" style="71" customWidth="1"/>
    <col min="19" max="19" width="20" style="71" customWidth="1"/>
    <col min="20" max="20" width="17.453125" style="71" customWidth="1"/>
  </cols>
  <sheetData>
    <row r="1" spans="2:20" x14ac:dyDescent="0.35">
      <c r="G1"/>
      <c r="H1" s="1"/>
      <c r="I1"/>
      <c r="J1"/>
      <c r="K1" s="72"/>
      <c r="L1" t="s">
        <v>87</v>
      </c>
      <c r="M1" s="61"/>
      <c r="N1"/>
      <c r="O1"/>
      <c r="P1"/>
      <c r="Q1"/>
      <c r="R1"/>
      <c r="S1"/>
      <c r="T1"/>
    </row>
    <row r="2" spans="2:20" x14ac:dyDescent="0.35">
      <c r="B2" t="s">
        <v>88</v>
      </c>
      <c r="G2"/>
      <c r="H2" s="1"/>
      <c r="I2"/>
      <c r="J2"/>
      <c r="K2" s="72"/>
      <c r="L2" s="61"/>
      <c r="M2" s="61"/>
      <c r="N2"/>
      <c r="O2"/>
      <c r="P2"/>
      <c r="Q2"/>
      <c r="R2"/>
      <c r="S2"/>
      <c r="T2"/>
    </row>
    <row r="3" spans="2:20" x14ac:dyDescent="0.35">
      <c r="B3" s="3" t="s">
        <v>89</v>
      </c>
      <c r="G3"/>
      <c r="H3" s="1"/>
      <c r="I3"/>
      <c r="J3"/>
      <c r="K3" s="72"/>
      <c r="L3"/>
      <c r="M3"/>
      <c r="N3"/>
      <c r="O3"/>
      <c r="P3"/>
      <c r="Q3"/>
      <c r="R3"/>
      <c r="S3"/>
      <c r="T3" s="72"/>
    </row>
    <row r="4" spans="2:20" ht="43.5" x14ac:dyDescent="0.35">
      <c r="B4" s="3"/>
      <c r="C4" s="3" t="s">
        <v>90</v>
      </c>
      <c r="D4" s="15" t="s">
        <v>91</v>
      </c>
      <c r="E4" s="3"/>
      <c r="G4" s="1"/>
      <c r="H4" s="73" t="s">
        <v>92</v>
      </c>
      <c r="I4" s="1"/>
      <c r="J4" s="1"/>
      <c r="K4" s="74"/>
      <c r="L4" s="62" t="s">
        <v>60</v>
      </c>
      <c r="M4" s="63" t="s">
        <v>93</v>
      </c>
      <c r="N4" s="62" t="s">
        <v>94</v>
      </c>
      <c r="O4" s="62" t="s">
        <v>95</v>
      </c>
      <c r="P4" s="62" t="s">
        <v>96</v>
      </c>
      <c r="Q4" s="62" t="s">
        <v>97</v>
      </c>
      <c r="R4" s="62" t="s">
        <v>98</v>
      </c>
      <c r="S4" s="62" t="s">
        <v>32</v>
      </c>
      <c r="T4" s="75" t="s">
        <v>99</v>
      </c>
    </row>
    <row r="5" spans="2:20" x14ac:dyDescent="0.35">
      <c r="B5" s="3" t="s">
        <v>100</v>
      </c>
      <c r="C5">
        <v>0.14399999999999999</v>
      </c>
      <c r="D5">
        <v>2423.23</v>
      </c>
      <c r="G5"/>
      <c r="H5" s="76" t="s">
        <v>101</v>
      </c>
      <c r="I5" s="77">
        <v>1.5650307834140342E-2</v>
      </c>
      <c r="J5"/>
      <c r="K5" s="72"/>
      <c r="L5" s="64">
        <v>2023</v>
      </c>
      <c r="M5" s="65">
        <f>$I$5</f>
        <v>1.5650307834140342E-2</v>
      </c>
      <c r="N5" s="66">
        <v>0</v>
      </c>
      <c r="O5" s="67">
        <f>D5</f>
        <v>2423.23</v>
      </c>
      <c r="P5" s="67">
        <f>O5*260</f>
        <v>630039.80000000005</v>
      </c>
      <c r="Q5" s="67"/>
      <c r="R5" s="78">
        <f>(Q5*(1/907184))*260</f>
        <v>0</v>
      </c>
      <c r="S5" s="79">
        <f>R5+Q5</f>
        <v>0</v>
      </c>
      <c r="T5" s="80">
        <f t="shared" ref="T5:T11" si="0">S5/(1.031^(L5-$F$5))</f>
        <v>0</v>
      </c>
    </row>
    <row r="6" spans="2:20" x14ac:dyDescent="0.35">
      <c r="B6" s="3" t="s">
        <v>102</v>
      </c>
      <c r="C6">
        <v>4.7999999999999996E-3</v>
      </c>
      <c r="D6">
        <v>2423.23</v>
      </c>
      <c r="G6"/>
      <c r="H6" s="76" t="s">
        <v>103</v>
      </c>
      <c r="I6" s="77">
        <v>1.5650307834140342E-2</v>
      </c>
      <c r="J6"/>
      <c r="K6" s="72"/>
      <c r="L6" s="68">
        <f t="shared" ref="L6:L31" si="1">L5+1</f>
        <v>2024</v>
      </c>
      <c r="M6" s="65">
        <f t="shared" ref="M6:M31" si="2">$I$5</f>
        <v>1.5650307834140342E-2</v>
      </c>
      <c r="N6" s="66">
        <v>0</v>
      </c>
      <c r="O6" s="67">
        <f>M6*O5+O5</f>
        <v>2461.1542954529241</v>
      </c>
      <c r="P6" s="67">
        <f t="shared" ref="P6:P31" si="3">O6*260</f>
        <v>639900.11681776028</v>
      </c>
      <c r="Q6" s="67"/>
      <c r="R6" s="78">
        <f t="shared" ref="R6:R11" si="4">(Q6*(1/907184))*260</f>
        <v>0</v>
      </c>
      <c r="S6" s="79">
        <f t="shared" ref="S6:S35" si="5">R6+Q6</f>
        <v>0</v>
      </c>
      <c r="T6" s="80">
        <f t="shared" si="0"/>
        <v>0</v>
      </c>
    </row>
    <row r="7" spans="2:20" x14ac:dyDescent="0.35">
      <c r="G7"/>
      <c r="H7" s="1"/>
      <c r="I7" s="81"/>
      <c r="J7"/>
      <c r="K7" s="72"/>
      <c r="L7" s="64">
        <f t="shared" si="1"/>
        <v>2025</v>
      </c>
      <c r="M7" s="65">
        <f t="shared" si="2"/>
        <v>1.5650307834140342E-2</v>
      </c>
      <c r="N7" s="66">
        <v>0</v>
      </c>
      <c r="O7" s="67">
        <f t="shared" ref="O7:O14" si="6">O6+(O6*M6)</f>
        <v>2499.6721178040793</v>
      </c>
      <c r="P7" s="67">
        <f t="shared" si="3"/>
        <v>649914.75062906067</v>
      </c>
      <c r="Q7" s="67"/>
      <c r="R7" s="78">
        <f t="shared" si="4"/>
        <v>0</v>
      </c>
      <c r="S7" s="79">
        <f t="shared" si="5"/>
        <v>0</v>
      </c>
      <c r="T7" s="80">
        <f t="shared" si="0"/>
        <v>0</v>
      </c>
    </row>
    <row r="8" spans="2:20" ht="29" x14ac:dyDescent="0.35">
      <c r="G8"/>
      <c r="H8" s="1" t="s">
        <v>104</v>
      </c>
      <c r="I8" s="61"/>
      <c r="J8"/>
      <c r="K8" s="72"/>
      <c r="L8" s="68">
        <f t="shared" si="1"/>
        <v>2026</v>
      </c>
      <c r="M8" s="65">
        <f t="shared" si="2"/>
        <v>1.5650307834140342E-2</v>
      </c>
      <c r="N8" s="66">
        <v>0</v>
      </c>
      <c r="O8" s="67">
        <f t="shared" si="6"/>
        <v>2538.7927559321306</v>
      </c>
      <c r="P8" s="67">
        <f t="shared" si="3"/>
        <v>660086.11654235399</v>
      </c>
      <c r="Q8" s="67"/>
      <c r="R8" s="78">
        <f t="shared" si="4"/>
        <v>0</v>
      </c>
      <c r="S8" s="79">
        <f t="shared" si="5"/>
        <v>0</v>
      </c>
      <c r="T8" s="80">
        <f t="shared" si="0"/>
        <v>0</v>
      </c>
    </row>
    <row r="9" spans="2:20" x14ac:dyDescent="0.35">
      <c r="G9"/>
      <c r="H9" s="1"/>
      <c r="I9" s="61"/>
      <c r="J9"/>
      <c r="K9" s="72"/>
      <c r="L9" s="64">
        <f>L8+1</f>
        <v>2027</v>
      </c>
      <c r="M9" s="65">
        <f t="shared" si="2"/>
        <v>1.5650307834140342E-2</v>
      </c>
      <c r="N9" s="66">
        <v>0</v>
      </c>
      <c r="O9" s="67">
        <f>O8+(O8*M8)</f>
        <v>2578.5256440895541</v>
      </c>
      <c r="P9" s="67">
        <f t="shared" si="3"/>
        <v>670416.6674632841</v>
      </c>
      <c r="Q9" s="67"/>
      <c r="R9" s="78">
        <f t="shared" si="4"/>
        <v>0</v>
      </c>
      <c r="S9" s="79">
        <f t="shared" si="5"/>
        <v>0</v>
      </c>
      <c r="T9" s="80">
        <f t="shared" si="0"/>
        <v>0</v>
      </c>
    </row>
    <row r="10" spans="2:20" x14ac:dyDescent="0.35">
      <c r="B10" t="s">
        <v>105</v>
      </c>
      <c r="G10"/>
      <c r="H10" s="99"/>
      <c r="I10"/>
      <c r="J10"/>
      <c r="K10" s="72"/>
      <c r="L10" s="68">
        <f t="shared" si="1"/>
        <v>2028</v>
      </c>
      <c r="M10" s="65">
        <f t="shared" si="2"/>
        <v>1.5650307834140342E-2</v>
      </c>
      <c r="N10" s="66">
        <v>0</v>
      </c>
      <c r="O10" s="67">
        <f t="shared" si="6"/>
        <v>2618.8803641777808</v>
      </c>
      <c r="P10" s="67">
        <f t="shared" si="3"/>
        <v>680908.89468622301</v>
      </c>
      <c r="Q10" s="67"/>
      <c r="R10" s="78">
        <f t="shared" si="4"/>
        <v>0</v>
      </c>
      <c r="S10" s="79">
        <f t="shared" si="5"/>
        <v>0</v>
      </c>
      <c r="T10" s="80">
        <f t="shared" si="0"/>
        <v>0</v>
      </c>
    </row>
    <row r="11" spans="2:20" x14ac:dyDescent="0.35">
      <c r="B11" t="s">
        <v>106</v>
      </c>
      <c r="G11"/>
      <c r="H11" s="100"/>
      <c r="I11" s="101"/>
      <c r="J11"/>
      <c r="K11" s="72"/>
      <c r="L11" s="64">
        <f t="shared" si="1"/>
        <v>2029</v>
      </c>
      <c r="M11" s="65">
        <f t="shared" si="2"/>
        <v>1.5650307834140342E-2</v>
      </c>
      <c r="N11" s="66">
        <v>0</v>
      </c>
      <c r="O11" s="67">
        <f t="shared" si="6"/>
        <v>2659.8666480579486</v>
      </c>
      <c r="P11" s="67">
        <f t="shared" si="3"/>
        <v>691565.32849506661</v>
      </c>
      <c r="Q11" s="67"/>
      <c r="R11" s="78">
        <f t="shared" si="4"/>
        <v>0</v>
      </c>
      <c r="S11" s="79">
        <f t="shared" si="5"/>
        <v>0</v>
      </c>
      <c r="T11" s="80">
        <f t="shared" si="0"/>
        <v>0</v>
      </c>
    </row>
    <row r="12" spans="2:20" x14ac:dyDescent="0.35">
      <c r="D12" s="2"/>
      <c r="G12"/>
      <c r="H12" s="100"/>
      <c r="I12" s="101"/>
      <c r="J12"/>
      <c r="K12" s="72"/>
      <c r="L12" s="84">
        <f t="shared" si="1"/>
        <v>2030</v>
      </c>
      <c r="M12" s="65">
        <f t="shared" si="2"/>
        <v>1.5650307834140342E-2</v>
      </c>
      <c r="N12" s="66">
        <v>0</v>
      </c>
      <c r="O12" s="67">
        <f t="shared" si="6"/>
        <v>2701.4943798978184</v>
      </c>
      <c r="P12" s="67">
        <f t="shared" si="3"/>
        <v>702388.53877343272</v>
      </c>
      <c r="Q12" s="67">
        <f t="shared" ref="Q12:Q31" si="7">$C$5*P12</f>
        <v>101143.9495833743</v>
      </c>
      <c r="R12" s="78">
        <f>$C$6*P12</f>
        <v>3371.4649861124767</v>
      </c>
      <c r="S12" s="79">
        <f t="shared" si="5"/>
        <v>104515.41456948678</v>
      </c>
      <c r="T12" s="80">
        <f>S12/(1.031^(L12-2022))</f>
        <v>81867.405147050158</v>
      </c>
    </row>
    <row r="13" spans="2:20" x14ac:dyDescent="0.35">
      <c r="D13" s="2"/>
      <c r="G13"/>
      <c r="H13" s="1"/>
      <c r="I13"/>
      <c r="J13"/>
      <c r="K13" s="72"/>
      <c r="L13" s="64">
        <f t="shared" si="1"/>
        <v>2031</v>
      </c>
      <c r="M13" s="65">
        <f t="shared" si="2"/>
        <v>1.5650307834140342E-2</v>
      </c>
      <c r="N13" s="66">
        <v>0</v>
      </c>
      <c r="O13" s="67">
        <f t="shared" si="6"/>
        <v>2743.7735985554191</v>
      </c>
      <c r="P13" s="67">
        <f t="shared" si="3"/>
        <v>713381.13562440895</v>
      </c>
      <c r="Q13" s="67">
        <f t="shared" si="7"/>
        <v>102726.88352991488</v>
      </c>
      <c r="R13" s="78">
        <f t="shared" ref="R13:R31" si="8">$C$6*P13</f>
        <v>3424.2294509971625</v>
      </c>
      <c r="S13" s="79">
        <f t="shared" si="5"/>
        <v>106151.11298091205</v>
      </c>
      <c r="T13" s="80">
        <f t="shared" ref="T13:T31" si="9">S13/(1.031^(L13-2022))</f>
        <v>80648.550183495434</v>
      </c>
    </row>
    <row r="14" spans="2:20" x14ac:dyDescent="0.35">
      <c r="G14"/>
      <c r="H14" s="1"/>
      <c r="I14"/>
      <c r="J14"/>
      <c r="K14" s="72"/>
      <c r="L14" s="68">
        <f t="shared" si="1"/>
        <v>2032</v>
      </c>
      <c r="M14" s="65">
        <f t="shared" si="2"/>
        <v>1.5650307834140342E-2</v>
      </c>
      <c r="N14" s="66">
        <v>0</v>
      </c>
      <c r="O14" s="67">
        <f t="shared" si="6"/>
        <v>2786.7144999999982</v>
      </c>
      <c r="P14" s="67">
        <f t="shared" si="3"/>
        <v>724545.76999999955</v>
      </c>
      <c r="Q14" s="67">
        <f t="shared" si="7"/>
        <v>104334.59087999993</v>
      </c>
      <c r="R14" s="78">
        <f t="shared" si="8"/>
        <v>3477.8196959999977</v>
      </c>
      <c r="S14" s="79">
        <f t="shared" si="5"/>
        <v>107812.41057599992</v>
      </c>
      <c r="T14" s="80">
        <f t="shared" si="9"/>
        <v>79447.84172671604</v>
      </c>
    </row>
    <row r="15" spans="2:20" x14ac:dyDescent="0.35">
      <c r="G15"/>
      <c r="H15" s="99"/>
      <c r="I15"/>
      <c r="J15"/>
      <c r="K15" s="72"/>
      <c r="L15" s="64">
        <f t="shared" si="1"/>
        <v>2033</v>
      </c>
      <c r="M15" s="65">
        <f t="shared" si="2"/>
        <v>1.5650307834140342E-2</v>
      </c>
      <c r="N15" s="66">
        <v>0</v>
      </c>
      <c r="O15" s="67">
        <f>O14+(O14*M15)</f>
        <v>2830.3274397708606</v>
      </c>
      <c r="P15" s="67">
        <f t="shared" si="3"/>
        <v>735885.13434042374</v>
      </c>
      <c r="Q15" s="67">
        <f t="shared" si="7"/>
        <v>105967.45934502101</v>
      </c>
      <c r="R15" s="78">
        <f t="shared" si="8"/>
        <v>3532.2486448340337</v>
      </c>
      <c r="S15" s="79">
        <f t="shared" si="5"/>
        <v>109499.70798985504</v>
      </c>
      <c r="T15" s="80">
        <f t="shared" si="9"/>
        <v>78265.009608629698</v>
      </c>
    </row>
    <row r="16" spans="2:20" x14ac:dyDescent="0.35">
      <c r="G16"/>
      <c r="H16" s="1"/>
      <c r="I16"/>
      <c r="J16"/>
      <c r="K16" s="72"/>
      <c r="L16" s="68">
        <f t="shared" si="1"/>
        <v>2034</v>
      </c>
      <c r="M16" s="65">
        <f t="shared" si="2"/>
        <v>1.5650307834140342E-2</v>
      </c>
      <c r="N16" s="66">
        <v>0</v>
      </c>
      <c r="O16" s="67">
        <f t="shared" ref="O16:O31" si="10">O15+(O15*M16)</f>
        <v>2874.6229354746888</v>
      </c>
      <c r="P16" s="67">
        <f t="shared" si="3"/>
        <v>747401.96322341904</v>
      </c>
      <c r="Q16" s="67">
        <f t="shared" si="7"/>
        <v>107625.88270417233</v>
      </c>
      <c r="R16" s="78">
        <f t="shared" si="8"/>
        <v>3587.5294234724111</v>
      </c>
      <c r="S16" s="79">
        <f t="shared" si="5"/>
        <v>111213.41212764474</v>
      </c>
      <c r="T16" s="80">
        <f t="shared" si="9"/>
        <v>77099.78768345945</v>
      </c>
    </row>
    <row r="17" spans="7:20" x14ac:dyDescent="0.35">
      <c r="G17"/>
      <c r="H17" s="99"/>
      <c r="I17"/>
      <c r="J17"/>
      <c r="K17" s="72"/>
      <c r="L17" s="64">
        <f t="shared" si="1"/>
        <v>2035</v>
      </c>
      <c r="M17" s="65">
        <f t="shared" si="2"/>
        <v>1.5650307834140342E-2</v>
      </c>
      <c r="N17" s="66">
        <v>0</v>
      </c>
      <c r="O17" s="67">
        <f t="shared" si="10"/>
        <v>2919.6116693219478</v>
      </c>
      <c r="P17" s="67">
        <f t="shared" si="3"/>
        <v>759099.03402370645</v>
      </c>
      <c r="Q17" s="67">
        <f t="shared" si="7"/>
        <v>109310.26089941373</v>
      </c>
      <c r="R17" s="78">
        <f t="shared" si="8"/>
        <v>3643.6753633137905</v>
      </c>
      <c r="S17" s="79">
        <f t="shared" si="5"/>
        <v>112953.93626272751</v>
      </c>
      <c r="T17" s="80">
        <f t="shared" si="9"/>
        <v>75951.913767849139</v>
      </c>
    </row>
    <row r="18" spans="7:20" x14ac:dyDescent="0.35">
      <c r="G18"/>
      <c r="H18" s="1"/>
      <c r="I18"/>
      <c r="J18"/>
      <c r="K18" s="72"/>
      <c r="L18" s="68">
        <f t="shared" si="1"/>
        <v>2036</v>
      </c>
      <c r="M18" s="65">
        <f t="shared" si="2"/>
        <v>1.5650307834140342E-2</v>
      </c>
      <c r="N18" s="66">
        <v>0</v>
      </c>
      <c r="O18" s="67">
        <f t="shared" si="10"/>
        <v>2965.3044907029848</v>
      </c>
      <c r="P18" s="67">
        <f t="shared" si="3"/>
        <v>770979.16758277605</v>
      </c>
      <c r="Q18" s="67">
        <f t="shared" si="7"/>
        <v>111021.00013191975</v>
      </c>
      <c r="R18" s="78">
        <f t="shared" si="8"/>
        <v>3700.7000043973248</v>
      </c>
      <c r="S18" s="79">
        <f t="shared" si="5"/>
        <v>114721.70013631707</v>
      </c>
      <c r="T18" s="80">
        <f t="shared" si="9"/>
        <v>74821.129581870104</v>
      </c>
    </row>
    <row r="19" spans="7:20" x14ac:dyDescent="0.35">
      <c r="G19"/>
      <c r="H19" s="1"/>
      <c r="I19"/>
      <c r="J19"/>
      <c r="K19" s="72"/>
      <c r="L19" s="64">
        <f t="shared" si="1"/>
        <v>2037</v>
      </c>
      <c r="M19" s="65">
        <f t="shared" si="2"/>
        <v>1.5650307834140342E-2</v>
      </c>
      <c r="N19" s="66">
        <v>0</v>
      </c>
      <c r="O19" s="67">
        <f t="shared" si="10"/>
        <v>3011.7124188044454</v>
      </c>
      <c r="P19" s="67">
        <f t="shared" si="3"/>
        <v>783045.22888915578</v>
      </c>
      <c r="Q19" s="67">
        <f t="shared" si="7"/>
        <v>112758.51296003842</v>
      </c>
      <c r="R19" s="78">
        <f t="shared" si="8"/>
        <v>3758.6170986679476</v>
      </c>
      <c r="S19" s="79">
        <f t="shared" si="5"/>
        <v>116517.13005870637</v>
      </c>
      <c r="T19" s="80">
        <f t="shared" si="9"/>
        <v>73707.180690906374</v>
      </c>
    </row>
    <row r="20" spans="7:20" x14ac:dyDescent="0.35">
      <c r="G20"/>
      <c r="H20" s="1"/>
      <c r="I20"/>
      <c r="J20"/>
      <c r="K20" s="72"/>
      <c r="L20" s="68">
        <f t="shared" si="1"/>
        <v>2038</v>
      </c>
      <c r="M20" s="65">
        <f t="shared" si="2"/>
        <v>1.5650307834140342E-2</v>
      </c>
      <c r="N20" s="66">
        <v>0</v>
      </c>
      <c r="O20" s="67">
        <f t="shared" si="10"/>
        <v>3058.8466452666385</v>
      </c>
      <c r="P20" s="67">
        <f t="shared" si="3"/>
        <v>795300.12776932598</v>
      </c>
      <c r="Q20" s="67">
        <f t="shared" si="7"/>
        <v>114523.21839878293</v>
      </c>
      <c r="R20" s="78">
        <f t="shared" si="8"/>
        <v>3817.4406132927643</v>
      </c>
      <c r="S20" s="79">
        <f t="shared" si="5"/>
        <v>118340.6590120757</v>
      </c>
      <c r="T20" s="80">
        <f t="shared" si="9"/>
        <v>72609.816448405109</v>
      </c>
    </row>
    <row r="21" spans="7:20" x14ac:dyDescent="0.35">
      <c r="G21"/>
      <c r="H21" s="1"/>
      <c r="I21"/>
      <c r="J21"/>
      <c r="K21" s="72"/>
      <c r="L21" s="64">
        <f>L20+1</f>
        <v>2039</v>
      </c>
      <c r="M21" s="65">
        <f t="shared" si="2"/>
        <v>1.5650307834140342E-2</v>
      </c>
      <c r="N21" s="66">
        <v>0</v>
      </c>
      <c r="O21" s="67">
        <f>O20+(O20*M21)</f>
        <v>3106.7185368824889</v>
      </c>
      <c r="P21" s="67">
        <f t="shared" si="3"/>
        <v>807746.81958944711</v>
      </c>
      <c r="Q21" s="67">
        <f t="shared" si="7"/>
        <v>116315.54202088037</v>
      </c>
      <c r="R21" s="78">
        <f t="shared" si="8"/>
        <v>3877.1847340293457</v>
      </c>
      <c r="S21" s="79">
        <f t="shared" si="5"/>
        <v>120192.72675490972</v>
      </c>
      <c r="T21" s="80">
        <f t="shared" si="9"/>
        <v>71528.789939479218</v>
      </c>
    </row>
    <row r="22" spans="7:20" x14ac:dyDescent="0.35">
      <c r="G22"/>
      <c r="H22" s="1"/>
      <c r="I22"/>
      <c r="J22"/>
      <c r="K22" s="72"/>
      <c r="L22" s="68">
        <f t="shared" si="1"/>
        <v>2040</v>
      </c>
      <c r="M22" s="65">
        <f t="shared" si="2"/>
        <v>1.5650307834140342E-2</v>
      </c>
      <c r="N22" s="66">
        <v>0</v>
      </c>
      <c r="O22" s="67">
        <f t="shared" si="10"/>
        <v>3155.3396383387299</v>
      </c>
      <c r="P22" s="67">
        <f t="shared" si="3"/>
        <v>820388.3059680697</v>
      </c>
      <c r="Q22" s="67">
        <f t="shared" si="7"/>
        <v>118135.91605940202</v>
      </c>
      <c r="R22" s="78">
        <f t="shared" si="8"/>
        <v>3937.8638686467343</v>
      </c>
      <c r="S22" s="79">
        <f t="shared" si="5"/>
        <v>122073.77992804875</v>
      </c>
      <c r="T22" s="80">
        <f t="shared" si="9"/>
        <v>70463.857925349788</v>
      </c>
    </row>
    <row r="23" spans="7:20" x14ac:dyDescent="0.35">
      <c r="G23"/>
      <c r="H23" s="1"/>
      <c r="I23"/>
      <c r="J23"/>
      <c r="K23" s="72"/>
      <c r="L23" s="64">
        <f t="shared" si="1"/>
        <v>2041</v>
      </c>
      <c r="M23" s="65">
        <f t="shared" si="2"/>
        <v>1.5650307834140342E-2</v>
      </c>
      <c r="N23" s="66">
        <v>0</v>
      </c>
      <c r="O23" s="67">
        <f t="shared" si="10"/>
        <v>3204.7216749999961</v>
      </c>
      <c r="P23" s="67">
        <f t="shared" si="3"/>
        <v>833227.63549999904</v>
      </c>
      <c r="Q23" s="67">
        <f t="shared" si="7"/>
        <v>119984.77951199985</v>
      </c>
      <c r="R23" s="78">
        <f t="shared" si="8"/>
        <v>3999.492650399995</v>
      </c>
      <c r="S23" s="79">
        <f t="shared" si="5"/>
        <v>123984.27216239984</v>
      </c>
      <c r="T23" s="80">
        <f t="shared" si="9"/>
        <v>69414.780788615579</v>
      </c>
    </row>
    <row r="24" spans="7:20" x14ac:dyDescent="0.35">
      <c r="G24"/>
      <c r="H24" s="1"/>
      <c r="I24"/>
      <c r="J24"/>
      <c r="K24" s="72"/>
      <c r="L24" s="68">
        <f t="shared" si="1"/>
        <v>2042</v>
      </c>
      <c r="M24" s="65">
        <f t="shared" si="2"/>
        <v>1.5650307834140342E-2</v>
      </c>
      <c r="N24" s="66">
        <v>0</v>
      </c>
      <c r="O24" s="67">
        <f t="shared" si="10"/>
        <v>3254.8765557364877</v>
      </c>
      <c r="P24" s="67">
        <f t="shared" si="3"/>
        <v>846267.90449148684</v>
      </c>
      <c r="Q24" s="67">
        <f t="shared" si="7"/>
        <v>121862.57824677409</v>
      </c>
      <c r="R24" s="78">
        <f t="shared" si="8"/>
        <v>4062.0859415591367</v>
      </c>
      <c r="S24" s="79">
        <f t="shared" si="5"/>
        <v>125924.66418833323</v>
      </c>
      <c r="T24" s="80">
        <f t="shared" si="9"/>
        <v>68381.322479337323</v>
      </c>
    </row>
    <row r="25" spans="7:20" x14ac:dyDescent="0.35">
      <c r="G25"/>
      <c r="H25" s="1"/>
      <c r="I25"/>
      <c r="J25"/>
      <c r="K25" s="72"/>
      <c r="L25" s="64">
        <f t="shared" si="1"/>
        <v>2043</v>
      </c>
      <c r="M25" s="65">
        <f t="shared" si="2"/>
        <v>1.5650307834140342E-2</v>
      </c>
      <c r="N25" s="66">
        <v>0</v>
      </c>
      <c r="O25" s="67">
        <f t="shared" si="10"/>
        <v>3305.8163757958901</v>
      </c>
      <c r="P25" s="67">
        <f t="shared" si="3"/>
        <v>859512.25770693144</v>
      </c>
      <c r="Q25" s="67">
        <f t="shared" si="7"/>
        <v>123769.76510979811</v>
      </c>
      <c r="R25" s="78">
        <f t="shared" si="8"/>
        <v>4125.6588369932706</v>
      </c>
      <c r="S25" s="79">
        <f t="shared" si="5"/>
        <v>127895.42394679139</v>
      </c>
      <c r="T25" s="80">
        <f t="shared" si="9"/>
        <v>67363.250461924908</v>
      </c>
    </row>
    <row r="26" spans="7:20" x14ac:dyDescent="0.35">
      <c r="G26"/>
      <c r="H26" s="1"/>
      <c r="I26"/>
      <c r="J26"/>
      <c r="K26" s="72"/>
      <c r="L26" s="68">
        <f t="shared" si="1"/>
        <v>2044</v>
      </c>
      <c r="M26" s="65">
        <f t="shared" si="2"/>
        <v>1.5650307834140342E-2</v>
      </c>
      <c r="N26" s="66">
        <v>0</v>
      </c>
      <c r="O26" s="67">
        <f t="shared" si="10"/>
        <v>3357.5534197202378</v>
      </c>
      <c r="P26" s="67">
        <f t="shared" si="3"/>
        <v>872963.88912726182</v>
      </c>
      <c r="Q26" s="67">
        <f t="shared" si="7"/>
        <v>125706.80003432569</v>
      </c>
      <c r="R26" s="78">
        <f t="shared" si="8"/>
        <v>4190.2266678108563</v>
      </c>
      <c r="S26" s="79">
        <f t="shared" si="5"/>
        <v>129897.02670213654</v>
      </c>
      <c r="T26" s="80">
        <f t="shared" si="9"/>
        <v>66360.33566281505</v>
      </c>
    </row>
    <row r="27" spans="7:20" x14ac:dyDescent="0.35">
      <c r="G27"/>
      <c r="H27" s="1"/>
      <c r="I27"/>
      <c r="J27"/>
      <c r="K27" s="72"/>
      <c r="L27" s="64">
        <f t="shared" si="1"/>
        <v>2045</v>
      </c>
      <c r="M27" s="65">
        <f t="shared" si="2"/>
        <v>1.5650307834140342E-2</v>
      </c>
      <c r="N27" s="66">
        <v>0</v>
      </c>
      <c r="O27" s="67">
        <f t="shared" si="10"/>
        <v>3410.1001643084301</v>
      </c>
      <c r="P27" s="67">
        <f t="shared" si="3"/>
        <v>886626.04272019176</v>
      </c>
      <c r="Q27" s="67">
        <f t="shared" si="7"/>
        <v>127674.15015170761</v>
      </c>
      <c r="R27" s="78">
        <f t="shared" si="8"/>
        <v>4255.80500505692</v>
      </c>
      <c r="S27" s="79">
        <f t="shared" si="5"/>
        <v>131929.95515676454</v>
      </c>
      <c r="T27" s="80">
        <f t="shared" si="9"/>
        <v>65372.352418928225</v>
      </c>
    </row>
    <row r="28" spans="7:20" x14ac:dyDescent="0.35">
      <c r="G28"/>
      <c r="H28" s="1"/>
      <c r="I28"/>
      <c r="J28"/>
      <c r="K28" s="72"/>
      <c r="L28" s="64">
        <f t="shared" si="1"/>
        <v>2046</v>
      </c>
      <c r="M28" s="65">
        <f t="shared" si="2"/>
        <v>1.5650307834140342E-2</v>
      </c>
      <c r="N28" s="66">
        <v>0</v>
      </c>
      <c r="O28" s="67">
        <f t="shared" si="10"/>
        <v>3463.4692816251095</v>
      </c>
      <c r="P28" s="67">
        <f t="shared" si="3"/>
        <v>900502.01322252851</v>
      </c>
      <c r="Q28" s="67">
        <f t="shared" si="7"/>
        <v>129672.2899040441</v>
      </c>
      <c r="R28" s="78">
        <f t="shared" si="8"/>
        <v>4322.4096634681364</v>
      </c>
      <c r="S28" s="79">
        <f t="shared" si="5"/>
        <v>133994.69956751223</v>
      </c>
      <c r="T28" s="80">
        <f t="shared" si="9"/>
        <v>64399.078426892695</v>
      </c>
    </row>
    <row r="29" spans="7:20" x14ac:dyDescent="0.35">
      <c r="G29"/>
      <c r="H29" s="1"/>
      <c r="I29"/>
      <c r="J29"/>
      <c r="K29" s="72"/>
      <c r="L29" s="64">
        <f t="shared" si="1"/>
        <v>2047</v>
      </c>
      <c r="M29" s="65">
        <f t="shared" si="2"/>
        <v>1.5650307834140342E-2</v>
      </c>
      <c r="N29" s="66">
        <v>0</v>
      </c>
      <c r="O29" s="67">
        <f t="shared" si="10"/>
        <v>3517.6736420566313</v>
      </c>
      <c r="P29" s="67">
        <f t="shared" si="3"/>
        <v>914595.14693472418</v>
      </c>
      <c r="Q29" s="67">
        <f t="shared" si="7"/>
        <v>131701.70115860028</v>
      </c>
      <c r="R29" s="78">
        <f t="shared" si="8"/>
        <v>4390.0567052866754</v>
      </c>
      <c r="S29" s="79">
        <f t="shared" si="5"/>
        <v>136091.75786388695</v>
      </c>
      <c r="T29" s="80">
        <f t="shared" si="9"/>
        <v>63440.294693024742</v>
      </c>
    </row>
    <row r="30" spans="7:20" x14ac:dyDescent="0.35">
      <c r="G30"/>
      <c r="H30" s="1"/>
      <c r="I30"/>
      <c r="J30"/>
      <c r="K30" s="72"/>
      <c r="L30" s="64">
        <f t="shared" si="1"/>
        <v>2048</v>
      </c>
      <c r="M30" s="65">
        <f t="shared" si="2"/>
        <v>1.5650307834140342E-2</v>
      </c>
      <c r="N30" s="66">
        <v>0</v>
      </c>
      <c r="O30" s="67">
        <f t="shared" si="10"/>
        <v>3572.7263174148593</v>
      </c>
      <c r="P30" s="67">
        <f t="shared" si="3"/>
        <v>928908.84252786345</v>
      </c>
      <c r="Q30" s="67">
        <f t="shared" si="7"/>
        <v>133762.87332401233</v>
      </c>
      <c r="R30" s="78">
        <f t="shared" si="8"/>
        <v>4458.7624441337439</v>
      </c>
      <c r="S30" s="79">
        <f t="shared" si="5"/>
        <v>138221.63576814608</v>
      </c>
      <c r="T30" s="80">
        <f t="shared" si="9"/>
        <v>62495.785484053515</v>
      </c>
    </row>
    <row r="31" spans="7:20" x14ac:dyDescent="0.35">
      <c r="G31"/>
      <c r="H31" s="1"/>
      <c r="I31"/>
      <c r="J31"/>
      <c r="K31" s="72"/>
      <c r="L31" s="85">
        <f t="shared" si="1"/>
        <v>2049</v>
      </c>
      <c r="M31" s="65">
        <f t="shared" si="2"/>
        <v>1.5650307834140342E-2</v>
      </c>
      <c r="N31" s="66">
        <v>0</v>
      </c>
      <c r="O31" s="67">
        <f t="shared" si="10"/>
        <v>3628.6405840895363</v>
      </c>
      <c r="P31" s="67">
        <f t="shared" si="3"/>
        <v>943446.55186327943</v>
      </c>
      <c r="Q31" s="67">
        <f t="shared" si="7"/>
        <v>135856.30346831222</v>
      </c>
      <c r="R31" s="78">
        <f t="shared" si="8"/>
        <v>4528.5434489437412</v>
      </c>
      <c r="S31" s="79">
        <f t="shared" si="5"/>
        <v>140384.84691725596</v>
      </c>
      <c r="T31" s="80">
        <f t="shared" si="9"/>
        <v>61565.338278579373</v>
      </c>
    </row>
    <row r="32" spans="7:20" x14ac:dyDescent="0.35">
      <c r="G32"/>
      <c r="H32" s="1"/>
      <c r="I32"/>
      <c r="J32"/>
      <c r="K32" s="72"/>
      <c r="L32" s="64"/>
      <c r="M32" s="65"/>
      <c r="N32" s="66"/>
      <c r="O32" s="67"/>
      <c r="P32" s="67"/>
      <c r="Q32" s="67"/>
      <c r="R32" s="78"/>
      <c r="S32" s="79"/>
      <c r="T32" s="80"/>
    </row>
    <row r="33" spans="7:20" x14ac:dyDescent="0.35">
      <c r="G33"/>
      <c r="H33" s="1"/>
      <c r="I33"/>
      <c r="J33"/>
      <c r="K33" s="72"/>
      <c r="L33" s="64"/>
      <c r="M33" s="65"/>
      <c r="N33" s="66"/>
      <c r="O33" s="67"/>
      <c r="P33" s="67"/>
      <c r="Q33" s="67"/>
      <c r="R33" s="78"/>
      <c r="S33" s="79"/>
      <c r="T33" s="80"/>
    </row>
    <row r="34" spans="7:20" x14ac:dyDescent="0.35">
      <c r="G34"/>
      <c r="H34" s="1"/>
      <c r="I34"/>
      <c r="J34"/>
      <c r="K34" s="72"/>
      <c r="L34" s="64"/>
      <c r="M34" s="65"/>
      <c r="N34" s="66"/>
      <c r="O34" s="67"/>
      <c r="P34" s="67"/>
      <c r="Q34" s="67"/>
      <c r="R34" s="78"/>
      <c r="S34" s="79"/>
      <c r="T34" s="80"/>
    </row>
    <row r="35" spans="7:20" x14ac:dyDescent="0.35">
      <c r="G35"/>
      <c r="H35" s="1"/>
      <c r="I35"/>
      <c r="J35"/>
      <c r="K35" s="72"/>
      <c r="L35" s="69" t="s">
        <v>71</v>
      </c>
      <c r="M35" s="69"/>
      <c r="N35" s="67"/>
      <c r="O35" s="10"/>
      <c r="P35" s="10"/>
      <c r="Q35" s="96">
        <f>SUM(Q5:Q34)</f>
        <v>2353854.457422494</v>
      </c>
      <c r="R35" s="96">
        <f>SUM(R5:R34)</f>
        <v>78461.815247416467</v>
      </c>
      <c r="S35" s="97">
        <f t="shared" si="5"/>
        <v>2432316.2726699105</v>
      </c>
      <c r="T35" s="98">
        <f>SUM(T5:T34)</f>
        <v>1425203.8213973818</v>
      </c>
    </row>
    <row r="36" spans="7:20" x14ac:dyDescent="0.35">
      <c r="G36"/>
      <c r="H36" s="1"/>
      <c r="I36"/>
      <c r="J36"/>
      <c r="K36" s="72"/>
      <c r="L36" s="61"/>
      <c r="M36" s="61"/>
      <c r="N36"/>
      <c r="O36"/>
      <c r="P36"/>
      <c r="Q36"/>
      <c r="R36"/>
      <c r="S36"/>
      <c r="T36"/>
    </row>
    <row r="37" spans="7:20" x14ac:dyDescent="0.35">
      <c r="G37"/>
      <c r="H37" s="1"/>
      <c r="I37"/>
      <c r="J37"/>
      <c r="K37" s="72"/>
      <c r="L37" s="61"/>
      <c r="M37" s="61"/>
      <c r="N37"/>
      <c r="O37"/>
      <c r="P37"/>
      <c r="Q37"/>
      <c r="R37"/>
      <c r="S37"/>
      <c r="T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A022-408E-4540-BCAF-227AF57417A0}">
  <sheetPr codeName="Sheet5"/>
  <dimension ref="A1:AA55"/>
  <sheetViews>
    <sheetView topLeftCell="A4" zoomScale="40" zoomScaleNormal="40" workbookViewId="0">
      <selection activeCell="C19" sqref="C19"/>
    </sheetView>
  </sheetViews>
  <sheetFormatPr defaultColWidth="9.1796875" defaultRowHeight="14.5" x14ac:dyDescent="0.35"/>
  <cols>
    <col min="1" max="1" width="64.1796875" style="39" bestFit="1" customWidth="1"/>
    <col min="2" max="2" width="19.453125" style="39" customWidth="1"/>
    <col min="3" max="3" width="28.1796875" style="39" customWidth="1"/>
    <col min="4" max="4" width="36.54296875" style="39" customWidth="1"/>
    <col min="5" max="5" width="7.54296875" style="39" customWidth="1"/>
    <col min="6" max="6" width="31" style="39" customWidth="1"/>
    <col min="7" max="7" width="19.81640625" style="39" customWidth="1"/>
    <col min="8" max="8" width="23.1796875" style="40" customWidth="1"/>
    <col min="9" max="9" width="19.81640625" style="39" customWidth="1"/>
    <col min="10" max="10" width="18.1796875" style="39" bestFit="1" customWidth="1"/>
    <col min="11" max="17" width="9.1796875" style="37"/>
    <col min="18" max="27" width="9.1796875" style="38"/>
    <col min="28" max="28" width="9.1796875" style="37"/>
    <col min="29" max="29" width="11.1796875" style="37" bestFit="1" customWidth="1"/>
    <col min="30" max="16384" width="9.1796875" style="37"/>
  </cols>
  <sheetData>
    <row r="1" spans="1:11" ht="25.4" customHeight="1" x14ac:dyDescent="0.35">
      <c r="A1" s="34" t="s">
        <v>107</v>
      </c>
      <c r="B1" s="35" t="s">
        <v>108</v>
      </c>
      <c r="C1" s="36"/>
      <c r="D1" s="36"/>
      <c r="E1" s="36"/>
      <c r="F1" s="37"/>
      <c r="G1" s="37"/>
      <c r="H1" s="37"/>
      <c r="I1" s="37"/>
      <c r="J1" s="37"/>
    </row>
    <row r="2" spans="1:11" x14ac:dyDescent="0.35">
      <c r="A2" s="37"/>
      <c r="B2" s="37"/>
      <c r="C2" s="37"/>
      <c r="D2" s="37"/>
      <c r="E2" s="37"/>
    </row>
    <row r="3" spans="1:11" ht="60" customHeight="1" x14ac:dyDescent="0.35">
      <c r="C3" s="37"/>
      <c r="D3" s="37"/>
      <c r="E3" s="41"/>
      <c r="F3" s="183" t="s">
        <v>109</v>
      </c>
      <c r="G3" s="184"/>
      <c r="H3" s="184"/>
      <c r="I3" s="184"/>
      <c r="J3" s="185"/>
      <c r="K3" s="42"/>
    </row>
    <row r="4" spans="1:11" ht="18.75" customHeight="1" x14ac:dyDescent="0.35">
      <c r="A4" s="43" t="s">
        <v>110</v>
      </c>
      <c r="B4" s="175" t="s">
        <v>111</v>
      </c>
      <c r="C4" s="175" t="s">
        <v>112</v>
      </c>
      <c r="D4" s="176"/>
      <c r="E4" s="41"/>
      <c r="F4" s="16"/>
      <c r="G4" s="18"/>
      <c r="H4" s="17"/>
      <c r="I4" s="19"/>
      <c r="J4" s="186"/>
      <c r="K4" s="42"/>
    </row>
    <row r="5" spans="1:11" ht="60" customHeight="1" x14ac:dyDescent="0.35">
      <c r="A5" s="44" t="s">
        <v>113</v>
      </c>
      <c r="B5" s="45">
        <v>2030</v>
      </c>
      <c r="C5" s="37" t="s">
        <v>114</v>
      </c>
      <c r="D5" s="46"/>
      <c r="E5" s="37"/>
      <c r="F5" s="20"/>
      <c r="G5" s="22"/>
      <c r="H5" s="21"/>
      <c r="I5" s="23" t="s">
        <v>115</v>
      </c>
      <c r="J5" s="187"/>
      <c r="K5" s="42"/>
    </row>
    <row r="6" spans="1:11" ht="60" customHeight="1" x14ac:dyDescent="0.35">
      <c r="A6" s="44" t="s">
        <v>116</v>
      </c>
      <c r="B6" s="45">
        <v>2022</v>
      </c>
      <c r="C6" s="37" t="s">
        <v>114</v>
      </c>
      <c r="D6" s="47"/>
      <c r="E6" s="37"/>
      <c r="F6" s="20"/>
      <c r="G6" s="22" t="s">
        <v>117</v>
      </c>
      <c r="H6" s="21" t="s">
        <v>118</v>
      </c>
      <c r="I6" s="23" t="s">
        <v>119</v>
      </c>
      <c r="J6" s="24" t="s">
        <v>120</v>
      </c>
      <c r="K6" s="42"/>
    </row>
    <row r="7" spans="1:11" ht="20.149999999999999" customHeight="1" x14ac:dyDescent="0.35">
      <c r="A7" s="44" t="s">
        <v>121</v>
      </c>
      <c r="B7" s="45">
        <v>2049</v>
      </c>
      <c r="C7" s="37" t="s">
        <v>114</v>
      </c>
      <c r="D7" s="47"/>
      <c r="E7" s="37"/>
      <c r="F7" s="25">
        <v>2020</v>
      </c>
      <c r="G7" s="26">
        <v>0</v>
      </c>
      <c r="H7" s="27">
        <f t="shared" ref="H7:H37" si="0">IF(F7&lt;$B$5,0,G7*$B$8)</f>
        <v>0</v>
      </c>
      <c r="I7" s="28"/>
      <c r="J7" s="29">
        <v>0</v>
      </c>
      <c r="K7" s="42"/>
    </row>
    <row r="8" spans="1:11" ht="20.149999999999999" customHeight="1" x14ac:dyDescent="0.35">
      <c r="A8" s="44" t="s">
        <v>122</v>
      </c>
      <c r="B8" s="48">
        <v>260</v>
      </c>
      <c r="C8" s="37"/>
      <c r="D8" s="47"/>
      <c r="E8" s="37"/>
      <c r="F8" s="25">
        <v>2021</v>
      </c>
      <c r="G8" s="26">
        <v>0</v>
      </c>
      <c r="H8" s="27">
        <f t="shared" si="0"/>
        <v>0</v>
      </c>
      <c r="I8" s="28"/>
      <c r="J8" s="29">
        <v>0</v>
      </c>
      <c r="K8" s="42"/>
    </row>
    <row r="9" spans="1:11" ht="20.149999999999999" customHeight="1" x14ac:dyDescent="0.35">
      <c r="A9" s="49" t="s">
        <v>123</v>
      </c>
      <c r="B9" s="48">
        <v>57701</v>
      </c>
      <c r="C9" s="50" t="s">
        <v>124</v>
      </c>
      <c r="D9" s="51"/>
      <c r="E9" s="37"/>
      <c r="F9" s="25">
        <v>2022</v>
      </c>
      <c r="G9" s="26">
        <f>B10</f>
        <v>196</v>
      </c>
      <c r="H9" s="27">
        <f t="shared" si="0"/>
        <v>0</v>
      </c>
      <c r="I9" s="28"/>
      <c r="J9" s="29">
        <v>0</v>
      </c>
      <c r="K9" s="42"/>
    </row>
    <row r="10" spans="1:11" ht="20.149999999999999" customHeight="1" x14ac:dyDescent="0.35">
      <c r="A10" s="39" t="s">
        <v>125</v>
      </c>
      <c r="B10" s="114">
        <v>196</v>
      </c>
      <c r="C10" s="50" t="s">
        <v>124</v>
      </c>
      <c r="D10" s="51"/>
      <c r="E10" s="37"/>
      <c r="F10" s="25">
        <v>2023</v>
      </c>
      <c r="G10" s="26">
        <f>G9+G9*'Other Externalities '!$I$5</f>
        <v>199.06746033549152</v>
      </c>
      <c r="H10" s="27">
        <f t="shared" si="0"/>
        <v>0</v>
      </c>
      <c r="I10" s="28"/>
      <c r="J10" s="29">
        <v>0</v>
      </c>
      <c r="K10" s="42"/>
    </row>
    <row r="11" spans="1:11" ht="20.149999999999999" customHeight="1" x14ac:dyDescent="0.35">
      <c r="A11" s="49" t="s">
        <v>126</v>
      </c>
      <c r="B11" s="52">
        <v>7.63</v>
      </c>
      <c r="C11" s="53" t="s">
        <v>127</v>
      </c>
      <c r="D11" s="51"/>
      <c r="E11" s="37"/>
      <c r="F11" s="25">
        <v>2024</v>
      </c>
      <c r="G11" s="26">
        <f>G10+G10*'Other Externalities '!$I$5</f>
        <v>202.18292736950249</v>
      </c>
      <c r="H11" s="27">
        <f t="shared" si="0"/>
        <v>0</v>
      </c>
      <c r="I11" s="28"/>
      <c r="J11" s="29">
        <v>0</v>
      </c>
      <c r="K11" s="42"/>
    </row>
    <row r="12" spans="1:11" ht="20.149999999999999" customHeight="1" x14ac:dyDescent="0.35">
      <c r="A12" s="54"/>
      <c r="B12" s="55"/>
      <c r="C12" s="56"/>
      <c r="D12" s="57"/>
      <c r="E12" s="37"/>
      <c r="F12" s="25">
        <v>2025</v>
      </c>
      <c r="G12" s="26">
        <f>G11+G11*'Other Externalities '!$I$5</f>
        <v>205.34715242164285</v>
      </c>
      <c r="H12" s="27">
        <f t="shared" si="0"/>
        <v>0</v>
      </c>
      <c r="I12" s="28"/>
      <c r="J12" s="29">
        <v>0</v>
      </c>
      <c r="K12" s="42"/>
    </row>
    <row r="13" spans="1:11" ht="20.149999999999999" customHeight="1" x14ac:dyDescent="0.35">
      <c r="A13" s="58"/>
      <c r="E13" s="37"/>
      <c r="F13" s="25">
        <v>2026</v>
      </c>
      <c r="G13" s="26">
        <f>G12+G12*'Other Externalities '!$I$5</f>
        <v>208.5608985699057</v>
      </c>
      <c r="H13" s="27">
        <f t="shared" si="0"/>
        <v>0</v>
      </c>
      <c r="I13" s="28"/>
      <c r="J13" s="29">
        <v>0</v>
      </c>
      <c r="K13" s="42"/>
    </row>
    <row r="14" spans="1:11" ht="20.149999999999999" customHeight="1" x14ac:dyDescent="0.35">
      <c r="A14" s="1" t="s">
        <v>104</v>
      </c>
      <c r="E14" s="37"/>
      <c r="F14" s="25">
        <v>2027</v>
      </c>
      <c r="G14" s="26">
        <f>G13+G13*'Other Externalities '!$I$5</f>
        <v>211.82494083468964</v>
      </c>
      <c r="H14" s="27">
        <f t="shared" si="0"/>
        <v>0</v>
      </c>
      <c r="I14" s="28"/>
      <c r="J14" s="29">
        <v>0</v>
      </c>
      <c r="K14" s="42"/>
    </row>
    <row r="15" spans="1:11" ht="20.149999999999999" customHeight="1" x14ac:dyDescent="0.35">
      <c r="A15" s="58"/>
      <c r="E15" s="37"/>
      <c r="F15" s="25">
        <v>2028</v>
      </c>
      <c r="G15" s="26">
        <f>G14+G14*'Other Externalities '!$I$5</f>
        <v>215.1400663657011</v>
      </c>
      <c r="H15" s="27">
        <f t="shared" si="0"/>
        <v>0</v>
      </c>
      <c r="I15" s="28"/>
      <c r="J15" s="29">
        <v>0</v>
      </c>
      <c r="K15" s="42"/>
    </row>
    <row r="16" spans="1:11" ht="20.149999999999999" customHeight="1" x14ac:dyDescent="0.35">
      <c r="A16" s="58"/>
      <c r="E16" s="37"/>
      <c r="F16" s="25">
        <v>2029</v>
      </c>
      <c r="G16" s="26">
        <f>G15+G15*'Other Externalities '!$I$5</f>
        <v>218.50707463178171</v>
      </c>
      <c r="H16" s="27">
        <f t="shared" si="0"/>
        <v>0</v>
      </c>
      <c r="I16" s="28"/>
      <c r="J16" s="29">
        <v>0</v>
      </c>
      <c r="K16" s="42"/>
    </row>
    <row r="17" spans="5:11" ht="20.149999999999999" customHeight="1" x14ac:dyDescent="0.35">
      <c r="E17" s="37"/>
      <c r="F17" s="25">
        <v>2030</v>
      </c>
      <c r="G17" s="26">
        <f>G16+G16*'Other Externalities '!$I$5</f>
        <v>221.92677761370658</v>
      </c>
      <c r="H17" s="27">
        <f t="shared" si="0"/>
        <v>57700.962179563707</v>
      </c>
      <c r="I17" s="28">
        <f>H17*$B$11</f>
        <v>440258.3414300711</v>
      </c>
      <c r="J17" s="29">
        <f>I17/(1+3.1%)^(F17-2022)</f>
        <v>344856.38463655527</v>
      </c>
      <c r="K17" s="42"/>
    </row>
    <row r="18" spans="5:11" ht="20.149999999999999" customHeight="1" x14ac:dyDescent="0.35">
      <c r="E18" s="37"/>
      <c r="F18" s="25">
        <v>2031</v>
      </c>
      <c r="G18" s="26">
        <f>G17+G17*'Other Externalities '!$I$5</f>
        <v>225.39999999999989</v>
      </c>
      <c r="H18" s="27">
        <f t="shared" si="0"/>
        <v>58603.999999999971</v>
      </c>
      <c r="I18" s="28">
        <f t="shared" ref="I18:I47" si="1">H18*$B$11</f>
        <v>447148.51999999979</v>
      </c>
      <c r="J18" s="29">
        <f t="shared" ref="J18:J37" si="2">I18/(1+3.1%)^(F18-2022)</f>
        <v>339722.1078706946</v>
      </c>
      <c r="K18" s="42"/>
    </row>
    <row r="19" spans="5:11" ht="20.149999999999999" customHeight="1" x14ac:dyDescent="0.35">
      <c r="E19" s="37"/>
      <c r="F19" s="25">
        <v>2032</v>
      </c>
      <c r="G19" s="26">
        <f>G18+G18*'Other Externalities '!$I$5</f>
        <v>228.92757938581514</v>
      </c>
      <c r="H19" s="27">
        <f t="shared" si="0"/>
        <v>59521.170640311939</v>
      </c>
      <c r="I19" s="28">
        <f t="shared" si="1"/>
        <v>454146.53198558011</v>
      </c>
      <c r="J19" s="29">
        <f t="shared" si="2"/>
        <v>334664.27103485359</v>
      </c>
      <c r="K19" s="42"/>
    </row>
    <row r="20" spans="5:11" ht="20.149999999999999" customHeight="1" x14ac:dyDescent="0.35">
      <c r="E20" s="37"/>
      <c r="F20" s="25">
        <v>2033</v>
      </c>
      <c r="G20" s="26">
        <f>G19+G19*'Other Externalities '!$I$5</f>
        <v>232.51036647492774</v>
      </c>
      <c r="H20" s="27">
        <f t="shared" si="0"/>
        <v>60452.695283481211</v>
      </c>
      <c r="I20" s="28">
        <f t="shared" si="1"/>
        <v>461254.06501296163</v>
      </c>
      <c r="J20" s="29">
        <f t="shared" si="2"/>
        <v>329681.73607918253</v>
      </c>
      <c r="K20" s="42"/>
    </row>
    <row r="21" spans="5:11" ht="20.149999999999999" customHeight="1" x14ac:dyDescent="0.35">
      <c r="E21" s="37"/>
      <c r="F21" s="25">
        <v>2034</v>
      </c>
      <c r="G21" s="26">
        <f>G20+G20*'Other Externalities '!$I$5</f>
        <v>236.14922528488913</v>
      </c>
      <c r="H21" s="27">
        <f t="shared" si="0"/>
        <v>61398.798574071174</v>
      </c>
      <c r="I21" s="28">
        <f t="shared" si="1"/>
        <v>468472.83312016306</v>
      </c>
      <c r="J21" s="29">
        <f t="shared" si="2"/>
        <v>324773.38189729926</v>
      </c>
      <c r="K21" s="42"/>
    </row>
    <row r="22" spans="5:11" ht="20.149999999999999" customHeight="1" x14ac:dyDescent="0.35">
      <c r="E22" s="37"/>
      <c r="F22" s="25">
        <v>2035</v>
      </c>
      <c r="G22" s="26">
        <f>G21+G21*'Other Externalities '!$I$5</f>
        <v>239.84503335539139</v>
      </c>
      <c r="H22" s="27">
        <f t="shared" si="0"/>
        <v>62359.708672401764</v>
      </c>
      <c r="I22" s="28">
        <f t="shared" si="1"/>
        <v>475804.57717042544</v>
      </c>
      <c r="J22" s="29">
        <f t="shared" si="2"/>
        <v>319938.10407403181</v>
      </c>
      <c r="K22" s="42"/>
    </row>
    <row r="23" spans="5:11" ht="20.149999999999999" customHeight="1" x14ac:dyDescent="0.35">
      <c r="E23" s="37"/>
      <c r="F23" s="25">
        <v>2036</v>
      </c>
      <c r="G23" s="26">
        <f>G22+G22*'Other Externalities '!$I$5</f>
        <v>243.59868195989293</v>
      </c>
      <c r="H23" s="27">
        <f t="shared" si="0"/>
        <v>63335.657309572161</v>
      </c>
      <c r="I23" s="28">
        <f t="shared" si="1"/>
        <v>483251.0652720356</v>
      </c>
      <c r="J23" s="29">
        <f t="shared" si="2"/>
        <v>315174.81463691732</v>
      </c>
      <c r="K23" s="42"/>
    </row>
    <row r="24" spans="5:11" ht="20.149999999999999" customHeight="1" x14ac:dyDescent="0.35">
      <c r="E24" s="37"/>
      <c r="F24" s="25">
        <v>2037</v>
      </c>
      <c r="G24" s="26">
        <f>G23+G23*'Other Externalities '!$I$5</f>
        <v>247.41107632055611</v>
      </c>
      <c r="H24" s="27">
        <f t="shared" si="0"/>
        <v>64326.879843344585</v>
      </c>
      <c r="I24" s="28">
        <f t="shared" si="1"/>
        <v>490814.09320471919</v>
      </c>
      <c r="J24" s="29">
        <f t="shared" si="2"/>
        <v>310482.44181139977</v>
      </c>
      <c r="K24" s="42"/>
    </row>
    <row r="25" spans="5:11" ht="20.149999999999999" customHeight="1" x14ac:dyDescent="0.35">
      <c r="E25" s="37"/>
      <c r="F25" s="25">
        <v>2038</v>
      </c>
      <c r="G25" s="26">
        <f>G24+G24*'Other Externalities '!$I$5</f>
        <v>251.2831358265488</v>
      </c>
      <c r="H25" s="27">
        <f t="shared" si="0"/>
        <v>65333.615314902687</v>
      </c>
      <c r="I25" s="28">
        <f t="shared" si="1"/>
        <v>498495.48485270748</v>
      </c>
      <c r="J25" s="29">
        <f t="shared" si="2"/>
        <v>305859.92977967387</v>
      </c>
      <c r="K25" s="42"/>
    </row>
    <row r="26" spans="5:11" ht="20.149999999999999" customHeight="1" x14ac:dyDescent="0.35">
      <c r="E26" s="37"/>
      <c r="F26" s="25">
        <v>2039</v>
      </c>
      <c r="G26" s="26">
        <f>G25+G25*'Other Externalities '!$I$5</f>
        <v>255.21579425576238</v>
      </c>
      <c r="H26" s="27">
        <f t="shared" si="0"/>
        <v>66356.10650649821</v>
      </c>
      <c r="I26" s="28">
        <f t="shared" si="1"/>
        <v>506297.09264458134</v>
      </c>
      <c r="J26" s="29">
        <f t="shared" si="2"/>
        <v>301306.23844311765</v>
      </c>
      <c r="K26" s="42"/>
    </row>
    <row r="27" spans="5:11" ht="20.149999999999999" customHeight="1" x14ac:dyDescent="0.35">
      <c r="E27" s="37"/>
      <c r="F27" s="25">
        <v>2040</v>
      </c>
      <c r="G27" s="26">
        <f>G26+G26*'Other Externalities '!$I$5</f>
        <v>259.2099999999997</v>
      </c>
      <c r="H27" s="27">
        <f t="shared" si="0"/>
        <v>67394.599999999919</v>
      </c>
      <c r="I27" s="28">
        <f t="shared" si="1"/>
        <v>514220.79799999937</v>
      </c>
      <c r="J27" s="29">
        <f t="shared" si="2"/>
        <v>296820.34318826324</v>
      </c>
      <c r="K27" s="42"/>
    </row>
    <row r="28" spans="5:11" ht="20.149999999999999" customHeight="1" x14ac:dyDescent="0.35">
      <c r="E28" s="37"/>
      <c r="F28" s="25">
        <v>2041</v>
      </c>
      <c r="G28" s="26">
        <f>G27+G27*'Other Externalities '!$I$5</f>
        <v>263.26671629368718</v>
      </c>
      <c r="H28" s="27">
        <f t="shared" si="0"/>
        <v>68449.346236358673</v>
      </c>
      <c r="I28" s="28">
        <f t="shared" si="1"/>
        <v>522268.51178341667</v>
      </c>
      <c r="J28" s="29">
        <f t="shared" si="2"/>
        <v>292401.23465625098</v>
      </c>
      <c r="K28" s="42"/>
    </row>
    <row r="29" spans="5:11" ht="20.149999999999999" customHeight="1" x14ac:dyDescent="0.35">
      <c r="E29" s="37"/>
      <c r="F29" s="25">
        <v>2042</v>
      </c>
      <c r="G29" s="26">
        <f>G28+G28*'Other Externalities '!$I$5</f>
        <v>267.3869214461667</v>
      </c>
      <c r="H29" s="27">
        <f t="shared" si="0"/>
        <v>69520.59957600334</v>
      </c>
      <c r="I29" s="28">
        <f t="shared" si="1"/>
        <v>530442.17476490547</v>
      </c>
      <c r="J29" s="29">
        <f t="shared" si="2"/>
        <v>288047.9185157168</v>
      </c>
      <c r="K29" s="42"/>
    </row>
    <row r="30" spans="5:11" ht="20.149999999999999" customHeight="1" x14ac:dyDescent="0.35">
      <c r="E30" s="37"/>
      <c r="F30" s="25">
        <v>2043</v>
      </c>
      <c r="G30" s="26">
        <f>G29+G29*'Other Externalities '!$I$5</f>
        <v>271.57160907762233</v>
      </c>
      <c r="H30" s="27">
        <f t="shared" si="0"/>
        <v>70608.618360181805</v>
      </c>
      <c r="I30" s="28">
        <f t="shared" si="1"/>
        <v>538743.7580881872</v>
      </c>
      <c r="J30" s="29">
        <f t="shared" si="2"/>
        <v>283759.4152390603</v>
      </c>
      <c r="K30" s="42"/>
    </row>
    <row r="31" spans="5:11" ht="20.149999999999999" customHeight="1" x14ac:dyDescent="0.35">
      <c r="E31" s="37"/>
      <c r="F31" s="25">
        <v>2044</v>
      </c>
      <c r="G31" s="26">
        <f>G30+G30*'Other Externalities '!$I$5</f>
        <v>275.82178835869996</v>
      </c>
      <c r="H31" s="27">
        <f t="shared" si="0"/>
        <v>71713.664973261984</v>
      </c>
      <c r="I31" s="28">
        <f t="shared" si="1"/>
        <v>547175.26374598895</v>
      </c>
      <c r="J31" s="29">
        <f t="shared" si="2"/>
        <v>279534.75988204393</v>
      </c>
      <c r="K31" s="42"/>
    </row>
    <row r="32" spans="5:11" ht="20.149999999999999" customHeight="1" x14ac:dyDescent="0.35">
      <c r="F32" s="25">
        <v>2045</v>
      </c>
      <c r="G32" s="26">
        <f>G31+G31*'Other Externalities '!$I$5</f>
        <v>280.1384842538767</v>
      </c>
      <c r="H32" s="27">
        <f t="shared" si="0"/>
        <v>72836.005906007937</v>
      </c>
      <c r="I32" s="28">
        <f t="shared" si="1"/>
        <v>555738.7250628405</v>
      </c>
      <c r="J32" s="29">
        <f t="shared" si="2"/>
        <v>275373.00186667347</v>
      </c>
      <c r="K32" s="42"/>
    </row>
    <row r="33" spans="6:11" ht="20.149999999999999" customHeight="1" x14ac:dyDescent="0.35">
      <c r="F33" s="25">
        <v>2046</v>
      </c>
      <c r="G33" s="26">
        <f>G32+G32*'Other Externalities '!$I$5</f>
        <v>284.52273776863933</v>
      </c>
      <c r="H33" s="27">
        <f t="shared" si="0"/>
        <v>73975.911819846224</v>
      </c>
      <c r="I33" s="28">
        <f t="shared" si="1"/>
        <v>564436.20718542673</v>
      </c>
      <c r="J33" s="29">
        <f t="shared" si="2"/>
        <v>271273.20476731163</v>
      </c>
      <c r="K33" s="42"/>
    </row>
    <row r="34" spans="6:11" ht="20.149999999999999" customHeight="1" x14ac:dyDescent="0.35">
      <c r="F34" s="25">
        <v>2047</v>
      </c>
      <c r="G34" s="26">
        <f>G33+G33*'Other Externalities '!$I$5</f>
        <v>288.97560620053093</v>
      </c>
      <c r="H34" s="27">
        <f t="shared" si="0"/>
        <v>75133.657612138049</v>
      </c>
      <c r="I34" s="28">
        <f t="shared" si="1"/>
        <v>573269.8075806133</v>
      </c>
      <c r="J34" s="29">
        <f t="shared" si="2"/>
        <v>267234.44609997462</v>
      </c>
      <c r="K34" s="42"/>
    </row>
    <row r="35" spans="6:11" ht="20.149999999999999" customHeight="1" x14ac:dyDescent="0.35">
      <c r="F35" s="25">
        <v>2048</v>
      </c>
      <c r="G35" s="26">
        <f>G34+G34*'Other Externalities '!$I$5</f>
        <v>293.49816339412655</v>
      </c>
      <c r="H35" s="27">
        <f t="shared" si="0"/>
        <v>76309.522482472908</v>
      </c>
      <c r="I35" s="28">
        <f t="shared" si="1"/>
        <v>582241.65654126834</v>
      </c>
      <c r="J35" s="29">
        <f t="shared" si="2"/>
        <v>263255.8171147675</v>
      </c>
      <c r="K35" s="42"/>
    </row>
    <row r="36" spans="6:11" ht="20.149999999999999" customHeight="1" x14ac:dyDescent="0.35">
      <c r="F36" s="25">
        <v>2049</v>
      </c>
      <c r="G36" s="26">
        <f>G35+G35*'Other Externalities '!$I$5</f>
        <v>298.09149999999943</v>
      </c>
      <c r="H36" s="27">
        <f t="shared" si="0"/>
        <v>77503.789999999848</v>
      </c>
      <c r="I36" s="28">
        <f t="shared" si="1"/>
        <v>591353.91769999883</v>
      </c>
      <c r="J36" s="29">
        <f t="shared" si="2"/>
        <v>259336.42259140802</v>
      </c>
      <c r="K36" s="42"/>
    </row>
    <row r="37" spans="6:11" ht="20.149999999999999" customHeight="1" x14ac:dyDescent="0.35">
      <c r="F37" s="25">
        <v>2050</v>
      </c>
      <c r="G37" s="26">
        <f>G36+G36*'Other Externalities '!$I$5</f>
        <v>302.75672373774006</v>
      </c>
      <c r="H37" s="27">
        <f t="shared" si="0"/>
        <v>78716.748171812418</v>
      </c>
      <c r="I37" s="28">
        <f t="shared" si="1"/>
        <v>600608.7885509287</v>
      </c>
      <c r="J37" s="29">
        <f t="shared" si="2"/>
        <v>255475.38063779657</v>
      </c>
      <c r="K37" s="42"/>
    </row>
    <row r="38" spans="6:11" ht="20.149999999999999" customHeight="1" x14ac:dyDescent="0.35">
      <c r="F38" s="25">
        <v>2051</v>
      </c>
      <c r="G38" s="26"/>
      <c r="H38" s="27"/>
      <c r="I38" s="28">
        <f t="shared" si="1"/>
        <v>0</v>
      </c>
      <c r="J38" s="29">
        <v>0</v>
      </c>
      <c r="K38" s="42"/>
    </row>
    <row r="39" spans="6:11" ht="20.149999999999999" customHeight="1" x14ac:dyDescent="0.35">
      <c r="F39" s="25">
        <v>2052</v>
      </c>
      <c r="G39" s="26"/>
      <c r="H39" s="27"/>
      <c r="I39" s="28">
        <f t="shared" si="1"/>
        <v>0</v>
      </c>
      <c r="J39" s="29">
        <v>0</v>
      </c>
      <c r="K39" s="42"/>
    </row>
    <row r="40" spans="6:11" ht="20.149999999999999" customHeight="1" x14ac:dyDescent="0.35">
      <c r="F40" s="25">
        <v>2053</v>
      </c>
      <c r="G40" s="26"/>
      <c r="H40" s="27"/>
      <c r="I40" s="28">
        <f t="shared" si="1"/>
        <v>0</v>
      </c>
      <c r="J40" s="29">
        <v>0</v>
      </c>
      <c r="K40" s="42"/>
    </row>
    <row r="41" spans="6:11" ht="20.149999999999999" customHeight="1" x14ac:dyDescent="0.35">
      <c r="F41" s="25">
        <v>2054</v>
      </c>
      <c r="G41" s="26"/>
      <c r="H41" s="27"/>
      <c r="I41" s="28">
        <f t="shared" si="1"/>
        <v>0</v>
      </c>
      <c r="J41" s="29">
        <v>0</v>
      </c>
      <c r="K41" s="42"/>
    </row>
    <row r="42" spans="6:11" ht="20.149999999999999" customHeight="1" x14ac:dyDescent="0.35">
      <c r="F42" s="25">
        <v>2055</v>
      </c>
      <c r="G42" s="26"/>
      <c r="H42" s="27"/>
      <c r="I42" s="28">
        <f t="shared" si="1"/>
        <v>0</v>
      </c>
      <c r="J42" s="29">
        <v>0</v>
      </c>
      <c r="K42" s="42"/>
    </row>
    <row r="43" spans="6:11" ht="20.149999999999999" customHeight="1" x14ac:dyDescent="0.35">
      <c r="F43" s="25">
        <v>2056</v>
      </c>
      <c r="G43" s="26"/>
      <c r="H43" s="27"/>
      <c r="I43" s="28">
        <f t="shared" si="1"/>
        <v>0</v>
      </c>
      <c r="J43" s="29">
        <v>0</v>
      </c>
      <c r="K43" s="42"/>
    </row>
    <row r="44" spans="6:11" ht="20.149999999999999" customHeight="1" x14ac:dyDescent="0.35">
      <c r="F44" s="25">
        <v>2057</v>
      </c>
      <c r="G44" s="26"/>
      <c r="H44" s="27"/>
      <c r="I44" s="28">
        <f t="shared" si="1"/>
        <v>0</v>
      </c>
      <c r="J44" s="29">
        <v>0</v>
      </c>
      <c r="K44" s="42"/>
    </row>
    <row r="45" spans="6:11" ht="20.149999999999999" customHeight="1" x14ac:dyDescent="0.35">
      <c r="F45" s="25">
        <v>2058</v>
      </c>
      <c r="G45" s="26"/>
      <c r="H45" s="27"/>
      <c r="I45" s="28">
        <f t="shared" si="1"/>
        <v>0</v>
      </c>
      <c r="J45" s="29">
        <v>0</v>
      </c>
      <c r="K45" s="42"/>
    </row>
    <row r="46" spans="6:11" ht="20.149999999999999" customHeight="1" x14ac:dyDescent="0.35">
      <c r="F46" s="25">
        <v>2059</v>
      </c>
      <c r="G46" s="26"/>
      <c r="H46" s="27"/>
      <c r="I46" s="28">
        <f t="shared" si="1"/>
        <v>0</v>
      </c>
      <c r="J46" s="29">
        <v>0</v>
      </c>
      <c r="K46" s="42"/>
    </row>
    <row r="47" spans="6:11" ht="20.149999999999999" customHeight="1" x14ac:dyDescent="0.35">
      <c r="F47" s="25">
        <v>2060</v>
      </c>
      <c r="G47" s="26"/>
      <c r="H47" s="27"/>
      <c r="I47" s="28">
        <f t="shared" si="1"/>
        <v>0</v>
      </c>
      <c r="J47" s="29">
        <v>0</v>
      </c>
      <c r="K47" s="42"/>
    </row>
    <row r="48" spans="6:11" ht="20.149999999999999" customHeight="1" x14ac:dyDescent="0.35">
      <c r="F48" s="30" t="s">
        <v>128</v>
      </c>
      <c r="G48" s="33"/>
      <c r="H48" s="31"/>
      <c r="I48" s="32">
        <f>SUMIFS($I$7:$I$47,$F$7:$F$47,"&gt;="&amp;$B$6,$F$7:$F$47,"&lt;="&amp;$B$7)</f>
        <v>10245833.425145889</v>
      </c>
      <c r="J48" s="32">
        <f>SUM(J7:J47)</f>
        <v>6258971.3548229923</v>
      </c>
      <c r="K48" s="42"/>
    </row>
    <row r="49" spans="7:9" ht="19.5" customHeight="1" x14ac:dyDescent="0.35">
      <c r="G49" s="59"/>
      <c r="I49" s="59"/>
    </row>
    <row r="50" spans="7:9" ht="20.149999999999999" customHeight="1" x14ac:dyDescent="0.35"/>
    <row r="51" spans="7:9" ht="20.149999999999999" customHeight="1" x14ac:dyDescent="0.35"/>
    <row r="52" spans="7:9" ht="20.149999999999999" customHeight="1" x14ac:dyDescent="0.35"/>
    <row r="53" spans="7:9" ht="20.149999999999999" customHeight="1" x14ac:dyDescent="0.35"/>
    <row r="54" spans="7:9" ht="20.149999999999999" customHeight="1" x14ac:dyDescent="0.35"/>
    <row r="55" spans="7:9" ht="20.149999999999999" customHeight="1" x14ac:dyDescent="0.35"/>
  </sheetData>
  <mergeCells count="2">
    <mergeCell ref="F3:J3"/>
    <mergeCell ref="J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1636-9C76-4548-980F-324A9C5068FE}">
  <sheetPr codeName="Sheet6"/>
  <dimension ref="A1:AA55"/>
  <sheetViews>
    <sheetView workbookViewId="0">
      <selection activeCell="C20" sqref="C20"/>
    </sheetView>
  </sheetViews>
  <sheetFormatPr defaultColWidth="9.1796875" defaultRowHeight="14.5" x14ac:dyDescent="0.35"/>
  <cols>
    <col min="1" max="1" width="64.1796875" style="39" bestFit="1" customWidth="1"/>
    <col min="2" max="3" width="28.1796875" style="39" customWidth="1"/>
    <col min="4" max="4" width="36.54296875" style="39" customWidth="1"/>
    <col min="5" max="5" width="7.54296875" style="39" customWidth="1"/>
    <col min="6" max="6" width="31" style="39" customWidth="1"/>
    <col min="7" max="7" width="19.81640625" style="40" customWidth="1"/>
    <col min="8" max="8" width="23.1796875" style="40" customWidth="1"/>
    <col min="9" max="9" width="19.81640625" style="39" customWidth="1"/>
    <col min="10" max="10" width="18.1796875" style="39" bestFit="1" customWidth="1"/>
    <col min="11" max="17" width="9.1796875" style="37"/>
    <col min="18" max="27" width="9.1796875" style="38"/>
    <col min="28" max="28" width="9.1796875" style="37"/>
    <col min="29" max="29" width="11.1796875" style="37" bestFit="1" customWidth="1"/>
    <col min="30" max="16384" width="9.1796875" style="37"/>
  </cols>
  <sheetData>
    <row r="1" spans="1:11" ht="25.4" customHeight="1" x14ac:dyDescent="0.35">
      <c r="A1" s="34" t="s">
        <v>107</v>
      </c>
      <c r="B1" s="35" t="s">
        <v>129</v>
      </c>
      <c r="C1" s="36"/>
      <c r="D1" s="36"/>
      <c r="E1" s="36"/>
      <c r="F1" s="37"/>
      <c r="G1" s="37"/>
      <c r="H1" s="37"/>
      <c r="I1" s="37"/>
      <c r="J1" s="37"/>
    </row>
    <row r="2" spans="1:11" x14ac:dyDescent="0.35">
      <c r="A2" s="37"/>
      <c r="B2" s="37"/>
      <c r="C2" s="37"/>
      <c r="D2" s="37"/>
      <c r="E2" s="37"/>
    </row>
    <row r="3" spans="1:11" ht="60" customHeight="1" x14ac:dyDescent="0.35">
      <c r="A3" s="43" t="s">
        <v>110</v>
      </c>
      <c r="B3" s="175" t="s">
        <v>111</v>
      </c>
      <c r="C3" s="188" t="s">
        <v>112</v>
      </c>
      <c r="D3" s="189"/>
      <c r="E3" s="41"/>
      <c r="F3" s="183" t="s">
        <v>109</v>
      </c>
      <c r="G3" s="184"/>
      <c r="H3" s="184"/>
      <c r="I3" s="184"/>
      <c r="J3" s="185"/>
      <c r="K3" s="42"/>
    </row>
    <row r="4" spans="1:11" ht="18.75" customHeight="1" x14ac:dyDescent="0.35">
      <c r="A4" s="44" t="s">
        <v>113</v>
      </c>
      <c r="B4" s="45">
        <v>2030</v>
      </c>
      <c r="C4" s="37" t="s">
        <v>114</v>
      </c>
      <c r="D4" s="46"/>
      <c r="E4" s="41"/>
      <c r="F4" s="16"/>
      <c r="G4" s="17"/>
      <c r="H4" s="17"/>
      <c r="I4" s="19"/>
      <c r="J4" s="186"/>
      <c r="K4" s="42"/>
    </row>
    <row r="5" spans="1:11" ht="60" customHeight="1" x14ac:dyDescent="0.35">
      <c r="A5" s="44" t="s">
        <v>116</v>
      </c>
      <c r="B5" s="45">
        <v>2022</v>
      </c>
      <c r="C5" s="37" t="s">
        <v>114</v>
      </c>
      <c r="D5" s="47"/>
      <c r="E5" s="37"/>
      <c r="F5" s="20"/>
      <c r="G5" s="21"/>
      <c r="H5" s="21"/>
      <c r="I5" s="23"/>
      <c r="J5" s="187"/>
      <c r="K5" s="42"/>
    </row>
    <row r="6" spans="1:11" ht="77.150000000000006" customHeight="1" x14ac:dyDescent="0.35">
      <c r="A6" s="44" t="s">
        <v>121</v>
      </c>
      <c r="B6" s="45">
        <v>2049</v>
      </c>
      <c r="C6" s="37" t="s">
        <v>114</v>
      </c>
      <c r="D6" s="47"/>
      <c r="E6" s="37"/>
      <c r="F6" s="20"/>
      <c r="G6" s="21" t="s">
        <v>130</v>
      </c>
      <c r="H6" s="21" t="s">
        <v>131</v>
      </c>
      <c r="I6" s="23" t="s">
        <v>132</v>
      </c>
      <c r="J6" s="24" t="s">
        <v>120</v>
      </c>
      <c r="K6" s="42"/>
    </row>
    <row r="7" spans="1:11" ht="20.149999999999999" customHeight="1" x14ac:dyDescent="0.35">
      <c r="A7" s="44" t="s">
        <v>122</v>
      </c>
      <c r="B7" s="48">
        <v>260</v>
      </c>
      <c r="C7" s="37"/>
      <c r="D7" s="47"/>
      <c r="E7" s="37"/>
      <c r="F7" s="25">
        <v>2020</v>
      </c>
      <c r="G7" s="26">
        <v>0</v>
      </c>
      <c r="H7" s="27">
        <f>IF(F7&lt;$B$5,0,G7*$B$8)</f>
        <v>0</v>
      </c>
      <c r="I7" s="28"/>
      <c r="J7" s="29">
        <v>0</v>
      </c>
      <c r="K7" s="42"/>
    </row>
    <row r="8" spans="1:11" ht="20.149999999999999" customHeight="1" x14ac:dyDescent="0.35">
      <c r="A8" s="49" t="s">
        <v>133</v>
      </c>
      <c r="B8" s="115">
        <v>273785</v>
      </c>
      <c r="C8" s="50" t="s">
        <v>124</v>
      </c>
      <c r="D8" s="51"/>
      <c r="E8" s="37"/>
      <c r="F8" s="25">
        <v>2021</v>
      </c>
      <c r="G8" s="26">
        <v>0</v>
      </c>
      <c r="H8" s="27">
        <f>IF(F8&lt;$B$5,0,G8*$B$8)</f>
        <v>0</v>
      </c>
      <c r="I8" s="28"/>
      <c r="J8" s="29">
        <v>0</v>
      </c>
      <c r="K8" s="42"/>
    </row>
    <row r="9" spans="1:11" ht="20.149999999999999" customHeight="1" x14ac:dyDescent="0.35">
      <c r="A9" s="49" t="s">
        <v>134</v>
      </c>
      <c r="B9" s="48">
        <v>930</v>
      </c>
      <c r="C9" s="50" t="s">
        <v>124</v>
      </c>
      <c r="D9" s="51"/>
      <c r="E9" s="37"/>
      <c r="F9" s="25">
        <v>2022</v>
      </c>
      <c r="G9" s="26">
        <f>B9</f>
        <v>930</v>
      </c>
      <c r="H9" s="27">
        <f>IF(F9&lt;$B$5,0,G9*$B$7)</f>
        <v>241800</v>
      </c>
      <c r="I9" s="28"/>
      <c r="J9" s="29">
        <v>0</v>
      </c>
      <c r="K9" s="42"/>
    </row>
    <row r="10" spans="1:11" ht="20.149999999999999" customHeight="1" x14ac:dyDescent="0.35">
      <c r="A10" s="49" t="s">
        <v>135</v>
      </c>
      <c r="B10" s="52">
        <v>6.8</v>
      </c>
      <c r="C10" s="53" t="s">
        <v>127</v>
      </c>
      <c r="D10" s="47"/>
      <c r="E10" s="37"/>
      <c r="F10" s="25">
        <v>2023</v>
      </c>
      <c r="G10" s="26">
        <f>G9+G9*'Other Externalities '!$I$5</f>
        <v>944.55478628575054</v>
      </c>
      <c r="H10" s="27">
        <f>IF(F10&lt;$B$5,0,G10*$B$7)</f>
        <v>245584.24443429513</v>
      </c>
      <c r="I10" s="28"/>
      <c r="J10" s="29">
        <v>0</v>
      </c>
      <c r="K10" s="42"/>
    </row>
    <row r="11" spans="1:11" ht="20.149999999999999" customHeight="1" x14ac:dyDescent="0.35">
      <c r="A11" s="54"/>
      <c r="B11" s="55"/>
      <c r="C11" s="56"/>
      <c r="D11" s="57"/>
      <c r="E11" s="37"/>
      <c r="F11" s="25">
        <v>2024</v>
      </c>
      <c r="G11" s="26">
        <f>G10+G10*'Other Externalities '!$I$5</f>
        <v>959.33735945733315</v>
      </c>
      <c r="H11" s="27">
        <f>IF(F11&lt;$B$5,0,G11*$B$7)</f>
        <v>249427.71345890663</v>
      </c>
      <c r="I11" s="28"/>
      <c r="J11" s="29">
        <v>0</v>
      </c>
      <c r="K11" s="42"/>
    </row>
    <row r="12" spans="1:11" ht="20.149999999999999" customHeight="1" x14ac:dyDescent="0.35">
      <c r="A12" s="60"/>
      <c r="E12" s="37"/>
      <c r="F12" s="25">
        <v>2025</v>
      </c>
      <c r="G12" s="26">
        <f>G11+G11*'Other Externalities '!$I$5</f>
        <v>974.35128444963175</v>
      </c>
      <c r="H12" s="27">
        <f t="shared" ref="H12:H37" si="0">IF(F12&lt;$B$5,0,G12*$B$7)</f>
        <v>253331.33395690424</v>
      </c>
      <c r="I12" s="28"/>
      <c r="J12" s="29">
        <v>0</v>
      </c>
      <c r="K12" s="42"/>
    </row>
    <row r="13" spans="1:11" ht="20.149999999999999" customHeight="1" x14ac:dyDescent="0.35">
      <c r="A13" s="58"/>
      <c r="E13" s="37"/>
      <c r="F13" s="25">
        <v>2026</v>
      </c>
      <c r="G13" s="26">
        <f>G12+G12*'Other Externalities '!$I$5</f>
        <v>989.60018198985847</v>
      </c>
      <c r="H13" s="27">
        <f t="shared" si="0"/>
        <v>257296.04731736321</v>
      </c>
      <c r="I13" s="28"/>
      <c r="J13" s="29">
        <v>0</v>
      </c>
      <c r="K13" s="42"/>
    </row>
    <row r="14" spans="1:11" ht="20.149999999999999" customHeight="1" x14ac:dyDescent="0.35">
      <c r="C14" s="37"/>
      <c r="D14" s="37"/>
      <c r="E14" s="37"/>
      <c r="F14" s="25">
        <v>2027</v>
      </c>
      <c r="G14" s="26">
        <f>G13+G13*'Other Externalities '!$I$5</f>
        <v>1005.0877294707211</v>
      </c>
      <c r="H14" s="27">
        <f t="shared" si="0"/>
        <v>261322.8096623875</v>
      </c>
      <c r="I14" s="28"/>
      <c r="J14" s="29">
        <v>0</v>
      </c>
      <c r="K14" s="42"/>
    </row>
    <row r="15" spans="1:11" ht="20.149999999999999" customHeight="1" x14ac:dyDescent="0.35">
      <c r="E15" s="37"/>
      <c r="F15" s="25">
        <v>2028</v>
      </c>
      <c r="G15" s="26">
        <f>G14+G14*'Other Externalities '!$I$5</f>
        <v>1020.8176618372551</v>
      </c>
      <c r="H15" s="27">
        <f t="shared" si="0"/>
        <v>265412.59207768633</v>
      </c>
      <c r="I15" s="28"/>
      <c r="J15" s="29">
        <v>0</v>
      </c>
      <c r="K15" s="42"/>
    </row>
    <row r="16" spans="1:11" ht="20.149999999999999" customHeight="1" x14ac:dyDescent="0.35">
      <c r="E16" s="37"/>
      <c r="F16" s="25">
        <v>2029</v>
      </c>
      <c r="G16" s="26">
        <f>G15+G15*'Other Externalities '!$I$5</f>
        <v>1036.7937724875355</v>
      </c>
      <c r="H16" s="27">
        <f t="shared" si="0"/>
        <v>269566.38084675925</v>
      </c>
      <c r="I16" s="28"/>
      <c r="J16" s="29">
        <v>0</v>
      </c>
      <c r="K16" s="42"/>
    </row>
    <row r="17" spans="1:11" ht="20.149999999999999" customHeight="1" x14ac:dyDescent="0.35">
      <c r="E17" s="37"/>
      <c r="F17" s="25">
        <v>2030</v>
      </c>
      <c r="G17" s="26">
        <f>G16+G16*'Other Externalities '!$I$5</f>
        <v>1053.019914187485</v>
      </c>
      <c r="H17" s="27">
        <f t="shared" si="0"/>
        <v>273785.17768874613</v>
      </c>
      <c r="I17" s="28">
        <f>H17*$B$10</f>
        <v>1861739.2082834737</v>
      </c>
      <c r="J17" s="29">
        <f>I17/(1+3.1%)^(F17-2022)</f>
        <v>1458308.8884114635</v>
      </c>
      <c r="K17" s="42"/>
    </row>
    <row r="18" spans="1:11" ht="20.149999999999999" customHeight="1" x14ac:dyDescent="0.35">
      <c r="E18" s="37"/>
      <c r="F18" s="25">
        <v>2031</v>
      </c>
      <c r="G18" s="26">
        <f>G17+G17*'Other Externalities '!$I$5</f>
        <v>1069.4999999999993</v>
      </c>
      <c r="H18" s="27">
        <f t="shared" si="0"/>
        <v>278069.99999999983</v>
      </c>
      <c r="I18" s="28">
        <f t="shared" ref="I18:I47" si="1">H18*$B$10</f>
        <v>1890875.9999999988</v>
      </c>
      <c r="J18" s="29">
        <f t="shared" ref="J18:J37" si="2">I18/(1+3.1%)^(F18-2022)</f>
        <v>1436597.3534746519</v>
      </c>
      <c r="K18" s="42"/>
    </row>
    <row r="19" spans="1:11" ht="20.149999999999999" customHeight="1" x14ac:dyDescent="0.35">
      <c r="E19" s="37"/>
      <c r="F19" s="25">
        <v>2032</v>
      </c>
      <c r="G19" s="26">
        <f>G18+G18*'Other Externalities '!$I$5</f>
        <v>1086.2380042286125</v>
      </c>
      <c r="H19" s="27">
        <f t="shared" si="0"/>
        <v>282421.88109943923</v>
      </c>
      <c r="I19" s="28">
        <f t="shared" si="1"/>
        <v>1920468.7914761866</v>
      </c>
      <c r="J19" s="29">
        <f t="shared" si="2"/>
        <v>1415209.0633271013</v>
      </c>
      <c r="K19" s="42"/>
    </row>
    <row r="20" spans="1:11" ht="20.149999999999999" customHeight="1" x14ac:dyDescent="0.35">
      <c r="E20" s="37"/>
      <c r="F20" s="25">
        <v>2033</v>
      </c>
      <c r="G20" s="26">
        <f>G19+G19*'Other Externalities '!$I$5</f>
        <v>1103.2379633759324</v>
      </c>
      <c r="H20" s="27">
        <f t="shared" si="0"/>
        <v>286841.8704777424</v>
      </c>
      <c r="I20" s="28">
        <f t="shared" si="1"/>
        <v>1950524.7192486483</v>
      </c>
      <c r="J20" s="29">
        <f t="shared" si="2"/>
        <v>1394139.2054489192</v>
      </c>
      <c r="K20" s="42"/>
    </row>
    <row r="21" spans="1:11" ht="20.149999999999999" customHeight="1" x14ac:dyDescent="0.35">
      <c r="E21" s="37"/>
      <c r="F21" s="25">
        <v>2034</v>
      </c>
      <c r="G21" s="26">
        <f>G20+G20*'Other Externalities '!$I$5</f>
        <v>1120.5039771170757</v>
      </c>
      <c r="H21" s="27">
        <f t="shared" si="0"/>
        <v>291331.03405043966</v>
      </c>
      <c r="I21" s="28">
        <f t="shared" si="1"/>
        <v>1981051.0315429897</v>
      </c>
      <c r="J21" s="29">
        <f t="shared" si="2"/>
        <v>1373383.0389697754</v>
      </c>
      <c r="K21" s="42"/>
    </row>
    <row r="22" spans="1:11" ht="20.149999999999999" customHeight="1" x14ac:dyDescent="0.35">
      <c r="E22" s="37"/>
      <c r="F22" s="25">
        <v>2035</v>
      </c>
      <c r="G22" s="26">
        <f>G21+G21*'Other Externalities '!$I$5</f>
        <v>1138.0402092883364</v>
      </c>
      <c r="H22" s="27">
        <f t="shared" si="0"/>
        <v>295890.45441496745</v>
      </c>
      <c r="I22" s="28">
        <f t="shared" si="1"/>
        <v>2012055.0900217786</v>
      </c>
      <c r="J22" s="29">
        <f t="shared" si="2"/>
        <v>1352935.8936021724</v>
      </c>
      <c r="K22" s="42"/>
    </row>
    <row r="23" spans="1:11" ht="20.149999999999999" customHeight="1" x14ac:dyDescent="0.35">
      <c r="E23" s="37"/>
      <c r="F23" s="25">
        <v>2036</v>
      </c>
      <c r="G23" s="26">
        <f>G22+G22*'Other Externalities '!$I$5</f>
        <v>1155.8508888913284</v>
      </c>
      <c r="H23" s="27">
        <f t="shared" si="0"/>
        <v>300521.23111174541</v>
      </c>
      <c r="I23" s="28">
        <f t="shared" si="1"/>
        <v>2043544.3715598688</v>
      </c>
      <c r="J23" s="29">
        <f t="shared" si="2"/>
        <v>1332793.1685905962</v>
      </c>
      <c r="K23" s="42"/>
    </row>
    <row r="24" spans="1:11" ht="20.149999999999999" customHeight="1" x14ac:dyDescent="0.35">
      <c r="E24" s="37"/>
      <c r="F24" s="25">
        <v>2037</v>
      </c>
      <c r="G24" s="26">
        <f>G23+G23*'Other Externalities '!$I$5</f>
        <v>1173.9403111128424</v>
      </c>
      <c r="H24" s="27">
        <f t="shared" si="0"/>
        <v>305224.48088933906</v>
      </c>
      <c r="I24" s="28">
        <f t="shared" si="1"/>
        <v>2075526.4700475056</v>
      </c>
      <c r="J24" s="29">
        <f t="shared" si="2"/>
        <v>1312950.3316763125</v>
      </c>
      <c r="K24" s="42"/>
    </row>
    <row r="25" spans="1:11" ht="20.149999999999999" customHeight="1" x14ac:dyDescent="0.35">
      <c r="E25" s="37"/>
      <c r="F25" s="25">
        <v>2038</v>
      </c>
      <c r="G25" s="26">
        <f>G24+G24*'Other Externalities '!$I$5</f>
        <v>1192.312838360665</v>
      </c>
      <c r="H25" s="27">
        <f t="shared" si="0"/>
        <v>310001.3379737729</v>
      </c>
      <c r="I25" s="28">
        <f t="shared" si="1"/>
        <v>2108009.0982216555</v>
      </c>
      <c r="J25" s="29">
        <f t="shared" si="2"/>
        <v>1293402.9180775783</v>
      </c>
      <c r="K25" s="42"/>
    </row>
    <row r="26" spans="1:11" ht="20.149999999999999" customHeight="1" x14ac:dyDescent="0.35">
      <c r="A26" s="58"/>
      <c r="E26" s="37"/>
      <c r="F26" s="25">
        <v>2039</v>
      </c>
      <c r="G26" s="26">
        <f>G25+G25*'Other Externalities '!$I$5</f>
        <v>1210.972901315607</v>
      </c>
      <c r="H26" s="27">
        <f t="shared" si="0"/>
        <v>314852.95434205781</v>
      </c>
      <c r="I26" s="28">
        <f t="shared" si="1"/>
        <v>2141000.089525993</v>
      </c>
      <c r="J26" s="29">
        <f t="shared" si="2"/>
        <v>1274146.529485032</v>
      </c>
      <c r="K26" s="42"/>
    </row>
    <row r="27" spans="1:11" ht="20.149999999999999" customHeight="1" x14ac:dyDescent="0.35">
      <c r="A27" s="58"/>
      <c r="E27" s="37"/>
      <c r="F27" s="25">
        <v>2040</v>
      </c>
      <c r="G27" s="26">
        <f>G26+G26*'Other Externalities '!$I$5</f>
        <v>1229.9249999999984</v>
      </c>
      <c r="H27" s="27">
        <f t="shared" si="0"/>
        <v>319780.49999999959</v>
      </c>
      <c r="I27" s="28">
        <f t="shared" si="1"/>
        <v>2174507.3999999971</v>
      </c>
      <c r="J27" s="29">
        <f t="shared" si="2"/>
        <v>1255176.8330720414</v>
      </c>
      <c r="K27" s="42"/>
    </row>
    <row r="28" spans="1:11" ht="20.149999999999999" customHeight="1" x14ac:dyDescent="0.35">
      <c r="A28" s="58"/>
      <c r="E28" s="37"/>
      <c r="F28" s="25">
        <v>2041</v>
      </c>
      <c r="G28" s="26">
        <f>G27+G27*'Other Externalities '!$I$5</f>
        <v>1249.1737048629034</v>
      </c>
      <c r="H28" s="27">
        <f t="shared" si="0"/>
        <v>324785.16326435487</v>
      </c>
      <c r="I28" s="28">
        <f t="shared" si="1"/>
        <v>2208539.110197613</v>
      </c>
      <c r="J28" s="29">
        <f t="shared" si="2"/>
        <v>1236489.5605197868</v>
      </c>
      <c r="K28" s="42"/>
    </row>
    <row r="29" spans="1:11" ht="20.149999999999999" customHeight="1" x14ac:dyDescent="0.35">
      <c r="E29" s="37"/>
      <c r="F29" s="25">
        <v>2042</v>
      </c>
      <c r="G29" s="26">
        <f>G28+G28*'Other Externalities '!$I$5</f>
        <v>1268.7236578823213</v>
      </c>
      <c r="H29" s="27">
        <f t="shared" si="0"/>
        <v>329868.15104940353</v>
      </c>
      <c r="I29" s="28">
        <f t="shared" si="1"/>
        <v>2243103.4271359439</v>
      </c>
      <c r="J29" s="29">
        <f t="shared" si="2"/>
        <v>1218080.5070568596</v>
      </c>
      <c r="K29" s="42"/>
    </row>
    <row r="30" spans="1:11" ht="20.149999999999999" customHeight="1" x14ac:dyDescent="0.35">
      <c r="E30" s="37"/>
      <c r="F30" s="25">
        <v>2043</v>
      </c>
      <c r="G30" s="26">
        <f>G29+G29*'Other Externalities '!$I$5</f>
        <v>1288.5795736846362</v>
      </c>
      <c r="H30" s="27">
        <f t="shared" si="0"/>
        <v>335030.68915800541</v>
      </c>
      <c r="I30" s="28">
        <f t="shared" si="1"/>
        <v>2278208.6862744368</v>
      </c>
      <c r="J30" s="29">
        <f t="shared" si="2"/>
        <v>1199945.5305131576</v>
      </c>
      <c r="K30" s="42"/>
    </row>
    <row r="31" spans="1:11" ht="20.149999999999999" customHeight="1" x14ac:dyDescent="0.35">
      <c r="E31" s="37"/>
      <c r="F31" s="25">
        <v>2044</v>
      </c>
      <c r="G31" s="26">
        <f>G30+G30*'Other Externalities '!$I$5</f>
        <v>1308.7462406815862</v>
      </c>
      <c r="H31" s="27">
        <f t="shared" si="0"/>
        <v>340274.02257721242</v>
      </c>
      <c r="I31" s="28">
        <f t="shared" si="1"/>
        <v>2313863.3535250444</v>
      </c>
      <c r="J31" s="29">
        <f t="shared" si="2"/>
        <v>1182080.5503878656</v>
      </c>
      <c r="K31" s="42"/>
    </row>
    <row r="32" spans="1:11" ht="20.149999999999999" customHeight="1" x14ac:dyDescent="0.35">
      <c r="F32" s="25">
        <v>2045</v>
      </c>
      <c r="G32" s="26">
        <f>G31+G31*'Other Externalities '!$I$5</f>
        <v>1329.2285222250268</v>
      </c>
      <c r="H32" s="27">
        <f t="shared" si="0"/>
        <v>345599.41577850695</v>
      </c>
      <c r="I32" s="28">
        <f t="shared" si="1"/>
        <v>2350076.0272938474</v>
      </c>
      <c r="J32" s="29">
        <f t="shared" si="2"/>
        <v>1164481.546931315</v>
      </c>
      <c r="K32" s="42"/>
    </row>
    <row r="33" spans="1:11" ht="20.149999999999999" customHeight="1" x14ac:dyDescent="0.35">
      <c r="A33" s="37"/>
      <c r="B33" s="37"/>
      <c r="C33" s="37"/>
      <c r="D33" s="37"/>
      <c r="F33" s="25">
        <v>2046</v>
      </c>
      <c r="G33" s="26">
        <f>G32+G32*'Other Externalities '!$I$5</f>
        <v>1350.0313577797679</v>
      </c>
      <c r="H33" s="27">
        <f t="shared" si="0"/>
        <v>351008.15302273963</v>
      </c>
      <c r="I33" s="28">
        <f t="shared" si="1"/>
        <v>2386855.4405546295</v>
      </c>
      <c r="J33" s="29">
        <f t="shared" si="2"/>
        <v>1147144.5602405102</v>
      </c>
      <c r="K33" s="42"/>
    </row>
    <row r="34" spans="1:11" ht="20.149999999999999" customHeight="1" x14ac:dyDescent="0.35">
      <c r="A34" s="37"/>
      <c r="B34" s="37"/>
      <c r="C34" s="37"/>
      <c r="D34" s="37"/>
      <c r="F34" s="25">
        <v>2047</v>
      </c>
      <c r="G34" s="26">
        <f>G33+G33*'Other Externalities '!$I$5</f>
        <v>1371.1597641147637</v>
      </c>
      <c r="H34" s="27">
        <f t="shared" si="0"/>
        <v>356501.53866983857</v>
      </c>
      <c r="I34" s="28">
        <f t="shared" si="1"/>
        <v>2424210.4629549021</v>
      </c>
      <c r="J34" s="29">
        <f t="shared" si="2"/>
        <v>1130065.689368122</v>
      </c>
      <c r="K34" s="42"/>
    </row>
    <row r="35" spans="1:11" ht="20.149999999999999" customHeight="1" x14ac:dyDescent="0.35">
      <c r="A35" s="37"/>
      <c r="B35" s="37"/>
      <c r="C35" s="37"/>
      <c r="D35" s="37"/>
      <c r="F35" s="25">
        <v>2048</v>
      </c>
      <c r="G35" s="26">
        <f>G34+G34*'Other Externalities '!$I$5</f>
        <v>1392.6188365129469</v>
      </c>
      <c r="H35" s="27">
        <f t="shared" si="0"/>
        <v>362080.89749336621</v>
      </c>
      <c r="I35" s="28">
        <f t="shared" si="1"/>
        <v>2462150.1029548901</v>
      </c>
      <c r="J35" s="29">
        <f t="shared" si="2"/>
        <v>1113241.0914447461</v>
      </c>
      <c r="K35" s="42"/>
    </row>
    <row r="36" spans="1:11" ht="20.149999999999999" customHeight="1" x14ac:dyDescent="0.35">
      <c r="F36" s="25">
        <v>2049</v>
      </c>
      <c r="G36" s="26">
        <f>G35+G35*'Other Externalities '!$I$5</f>
        <v>1414.413749999997</v>
      </c>
      <c r="H36" s="27">
        <f t="shared" si="0"/>
        <v>367747.5749999992</v>
      </c>
      <c r="I36" s="28">
        <f t="shared" si="1"/>
        <v>2500683.5099999947</v>
      </c>
      <c r="J36" s="29">
        <f t="shared" si="2"/>
        <v>1096666.9808142297</v>
      </c>
      <c r="K36" s="42"/>
    </row>
    <row r="37" spans="1:11" ht="20.149999999999999" customHeight="1" x14ac:dyDescent="0.35">
      <c r="F37" s="25">
        <v>2050</v>
      </c>
      <c r="G37" s="26">
        <f>G36+G36*'Other Externalities '!$I$5</f>
        <v>1436.5497605923379</v>
      </c>
      <c r="H37" s="27">
        <f t="shared" si="0"/>
        <v>373502.93775400787</v>
      </c>
      <c r="I37" s="28">
        <f t="shared" si="1"/>
        <v>2539819.9767272533</v>
      </c>
      <c r="J37" s="29">
        <f t="shared" si="2"/>
        <v>1080339.6281818717</v>
      </c>
      <c r="K37" s="42"/>
    </row>
    <row r="38" spans="1:11" ht="20.149999999999999" customHeight="1" x14ac:dyDescent="0.35">
      <c r="F38" s="25">
        <v>2051</v>
      </c>
      <c r="G38" s="26"/>
      <c r="H38" s="27"/>
      <c r="I38" s="28">
        <f t="shared" si="1"/>
        <v>0</v>
      </c>
      <c r="J38" s="29">
        <v>0</v>
      </c>
      <c r="K38" s="42"/>
    </row>
    <row r="39" spans="1:11" ht="20.149999999999999" customHeight="1" x14ac:dyDescent="0.35">
      <c r="F39" s="25">
        <v>2052</v>
      </c>
      <c r="G39" s="26"/>
      <c r="H39" s="27"/>
      <c r="I39" s="28">
        <f t="shared" si="1"/>
        <v>0</v>
      </c>
      <c r="J39" s="29">
        <v>0</v>
      </c>
      <c r="K39" s="42"/>
    </row>
    <row r="40" spans="1:11" ht="20.149999999999999" customHeight="1" x14ac:dyDescent="0.35">
      <c r="F40" s="25">
        <v>2053</v>
      </c>
      <c r="G40" s="26"/>
      <c r="H40" s="27"/>
      <c r="I40" s="28">
        <f t="shared" si="1"/>
        <v>0</v>
      </c>
      <c r="J40" s="29">
        <v>0</v>
      </c>
      <c r="K40" s="42"/>
    </row>
    <row r="41" spans="1:11" ht="20.149999999999999" customHeight="1" x14ac:dyDescent="0.35">
      <c r="F41" s="25">
        <v>2054</v>
      </c>
      <c r="G41" s="26"/>
      <c r="H41" s="27"/>
      <c r="I41" s="28">
        <f t="shared" si="1"/>
        <v>0</v>
      </c>
      <c r="J41" s="29">
        <v>0</v>
      </c>
      <c r="K41" s="42"/>
    </row>
    <row r="42" spans="1:11" ht="20.149999999999999" customHeight="1" x14ac:dyDescent="0.35">
      <c r="F42" s="25">
        <v>2055</v>
      </c>
      <c r="G42" s="26"/>
      <c r="H42" s="27"/>
      <c r="I42" s="28">
        <f t="shared" si="1"/>
        <v>0</v>
      </c>
      <c r="J42" s="29">
        <v>0</v>
      </c>
      <c r="K42" s="42"/>
    </row>
    <row r="43" spans="1:11" ht="20.149999999999999" customHeight="1" x14ac:dyDescent="0.35">
      <c r="F43" s="25">
        <v>2056</v>
      </c>
      <c r="G43" s="26"/>
      <c r="H43" s="27"/>
      <c r="I43" s="28">
        <f t="shared" si="1"/>
        <v>0</v>
      </c>
      <c r="J43" s="29">
        <v>0</v>
      </c>
      <c r="K43" s="42"/>
    </row>
    <row r="44" spans="1:11" ht="20.149999999999999" customHeight="1" x14ac:dyDescent="0.35">
      <c r="F44" s="25">
        <v>2057</v>
      </c>
      <c r="G44" s="26"/>
      <c r="H44" s="27"/>
      <c r="I44" s="28">
        <f t="shared" si="1"/>
        <v>0</v>
      </c>
      <c r="J44" s="29">
        <v>0</v>
      </c>
      <c r="K44" s="42"/>
    </row>
    <row r="45" spans="1:11" ht="20.149999999999999" customHeight="1" x14ac:dyDescent="0.35">
      <c r="F45" s="25">
        <v>2058</v>
      </c>
      <c r="G45" s="26"/>
      <c r="H45" s="27"/>
      <c r="I45" s="28">
        <f t="shared" si="1"/>
        <v>0</v>
      </c>
      <c r="J45" s="29">
        <v>0</v>
      </c>
      <c r="K45" s="42"/>
    </row>
    <row r="46" spans="1:11" ht="20.149999999999999" customHeight="1" x14ac:dyDescent="0.35">
      <c r="F46" s="25">
        <v>2059</v>
      </c>
      <c r="G46" s="26"/>
      <c r="H46" s="27"/>
      <c r="I46" s="28">
        <f t="shared" si="1"/>
        <v>0</v>
      </c>
      <c r="J46" s="29">
        <v>0</v>
      </c>
      <c r="K46" s="42"/>
    </row>
    <row r="47" spans="1:11" ht="20.149999999999999" customHeight="1" x14ac:dyDescent="0.35">
      <c r="F47" s="25">
        <v>2060</v>
      </c>
      <c r="G47" s="26"/>
      <c r="H47" s="27"/>
      <c r="I47" s="28">
        <f t="shared" si="1"/>
        <v>0</v>
      </c>
      <c r="J47" s="29">
        <v>0</v>
      </c>
      <c r="K47" s="42"/>
    </row>
    <row r="48" spans="1:11" ht="20.149999999999999" customHeight="1" x14ac:dyDescent="0.35">
      <c r="F48" s="30" t="s">
        <v>128</v>
      </c>
      <c r="G48" s="33"/>
      <c r="H48" s="31"/>
      <c r="I48" s="32">
        <f>SUMIFS($I$7:$I$47,$F$7:$F$47,"&gt;="&amp;$B$6,$F$7:$F$47,"&lt;="&amp;$B$7)</f>
        <v>0</v>
      </c>
      <c r="J48" s="32">
        <f>SUM(J7:J47)</f>
        <v>26467578.869594108</v>
      </c>
      <c r="K48" s="42"/>
    </row>
    <row r="49" spans="9:9" ht="20.149999999999999" customHeight="1" x14ac:dyDescent="0.35">
      <c r="I49" s="59"/>
    </row>
    <row r="50" spans="9:9" ht="20.149999999999999" customHeight="1" x14ac:dyDescent="0.35"/>
    <row r="51" spans="9:9" ht="20.149999999999999" customHeight="1" x14ac:dyDescent="0.35"/>
    <row r="52" spans="9:9" ht="20.149999999999999" customHeight="1" x14ac:dyDescent="0.35"/>
    <row r="53" spans="9:9" ht="20.149999999999999" customHeight="1" x14ac:dyDescent="0.35"/>
    <row r="54" spans="9:9" ht="20.149999999999999" customHeight="1" x14ac:dyDescent="0.35"/>
    <row r="55" spans="9:9" ht="20.149999999999999" customHeight="1" x14ac:dyDescent="0.35"/>
  </sheetData>
  <mergeCells count="3">
    <mergeCell ref="C3:D3"/>
    <mergeCell ref="F3:J3"/>
    <mergeCell ref="J4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6777-8AC4-4B11-8D85-4D7F988CD87F}">
  <sheetPr codeName="Sheet7"/>
  <dimension ref="A1:H75"/>
  <sheetViews>
    <sheetView topLeftCell="A19" workbookViewId="0">
      <selection activeCell="J41" sqref="J41"/>
    </sheetView>
  </sheetViews>
  <sheetFormatPr defaultRowHeight="14.5" x14ac:dyDescent="0.35"/>
  <cols>
    <col min="2" max="2" width="26.54296875" customWidth="1"/>
    <col min="5" max="5" width="53.7265625" bestFit="1" customWidth="1"/>
    <col min="6" max="6" width="33.7265625" customWidth="1"/>
  </cols>
  <sheetData>
    <row r="1" spans="1:8" ht="20" thickBot="1" x14ac:dyDescent="0.5">
      <c r="A1" s="120" t="s">
        <v>136</v>
      </c>
      <c r="B1" s="121"/>
      <c r="C1" s="121"/>
      <c r="D1" s="121"/>
      <c r="E1" s="121"/>
      <c r="F1" s="121"/>
      <c r="G1" s="121"/>
      <c r="H1" s="121"/>
    </row>
    <row r="2" spans="1:8" ht="15" thickTop="1" x14ac:dyDescent="0.35">
      <c r="A2" s="122"/>
      <c r="B2" s="123"/>
      <c r="C2" s="123"/>
      <c r="D2" s="123"/>
      <c r="E2" s="123"/>
      <c r="F2" s="123"/>
      <c r="G2" s="123"/>
      <c r="H2" s="123"/>
    </row>
    <row r="3" spans="1:8" x14ac:dyDescent="0.35">
      <c r="A3" s="121" t="s">
        <v>137</v>
      </c>
      <c r="B3" s="121"/>
      <c r="C3" s="121"/>
      <c r="D3" s="121"/>
      <c r="E3" s="121"/>
      <c r="F3" s="121"/>
      <c r="G3" s="121"/>
      <c r="H3" s="121"/>
    </row>
    <row r="4" spans="1:8" x14ac:dyDescent="0.35">
      <c r="A4" s="124"/>
      <c r="B4" s="123"/>
      <c r="C4" s="123"/>
      <c r="D4" s="123"/>
      <c r="E4" s="123"/>
      <c r="F4" s="123"/>
      <c r="G4" s="123"/>
      <c r="H4" s="123"/>
    </row>
    <row r="5" spans="1:8" x14ac:dyDescent="0.35">
      <c r="A5" s="125" t="s">
        <v>137</v>
      </c>
      <c r="B5" s="121"/>
      <c r="C5" s="121"/>
      <c r="D5" s="121"/>
      <c r="E5" s="121"/>
      <c r="F5" s="121"/>
      <c r="G5" s="121"/>
      <c r="H5" s="121"/>
    </row>
    <row r="6" spans="1:8" x14ac:dyDescent="0.35">
      <c r="A6" s="126" t="s">
        <v>138</v>
      </c>
      <c r="B6" s="127"/>
      <c r="C6" s="127"/>
      <c r="D6" s="127"/>
      <c r="E6" s="127"/>
      <c r="F6" s="121"/>
      <c r="G6" s="121"/>
      <c r="H6" s="121"/>
    </row>
    <row r="7" spans="1:8" x14ac:dyDescent="0.35">
      <c r="A7" s="126" t="s">
        <v>139</v>
      </c>
      <c r="B7" s="127"/>
      <c r="C7" s="127"/>
      <c r="D7" s="127"/>
      <c r="E7" s="127"/>
      <c r="F7" s="127"/>
      <c r="G7" s="127"/>
      <c r="H7" s="127"/>
    </row>
    <row r="8" spans="1:8" x14ac:dyDescent="0.35">
      <c r="A8" s="121" t="s">
        <v>137</v>
      </c>
      <c r="B8" s="121"/>
      <c r="C8" s="121"/>
      <c r="D8" s="121"/>
      <c r="E8" s="121"/>
      <c r="F8" s="121"/>
      <c r="G8" s="121"/>
      <c r="H8" s="121"/>
    </row>
    <row r="9" spans="1:8" ht="15" thickBot="1" x14ac:dyDescent="0.4">
      <c r="A9" s="128" t="s">
        <v>136</v>
      </c>
      <c r="B9" s="121"/>
      <c r="C9" s="121"/>
      <c r="D9" s="121"/>
      <c r="E9" s="121"/>
      <c r="F9" s="121"/>
      <c r="G9" s="121"/>
      <c r="H9" s="121"/>
    </row>
    <row r="10" spans="1:8" x14ac:dyDescent="0.35">
      <c r="A10" s="129" t="s">
        <v>60</v>
      </c>
      <c r="B10" s="130" t="s">
        <v>136</v>
      </c>
      <c r="C10" s="121"/>
      <c r="D10" s="121"/>
      <c r="E10" s="131" t="s">
        <v>140</v>
      </c>
      <c r="F10" s="132"/>
      <c r="G10" s="132"/>
      <c r="H10" s="132"/>
    </row>
    <row r="11" spans="1:8" x14ac:dyDescent="0.35">
      <c r="A11" s="133">
        <f>'[2]Project Information'!$B$9</f>
        <v>2030</v>
      </c>
      <c r="B11" s="134">
        <f t="shared" ref="B11:B40" si="0">IF(A11 = "", 0, F33)</f>
        <v>2892149.189408605</v>
      </c>
      <c r="C11" s="121"/>
      <c r="D11" s="121"/>
      <c r="E11" s="135"/>
      <c r="F11" s="136"/>
    </row>
    <row r="12" spans="1:8" x14ac:dyDescent="0.35">
      <c r="A12" s="137">
        <f>IF(A11&lt;'[2]Project Information'!$B$11,A11+1,"")</f>
        <v>2031</v>
      </c>
      <c r="B12" s="134">
        <f t="shared" si="0"/>
        <v>2941315.7256285511</v>
      </c>
      <c r="C12" s="121"/>
      <c r="D12" s="138"/>
      <c r="E12" s="139" t="s">
        <v>141</v>
      </c>
      <c r="F12" s="140">
        <f>Project_ID</f>
        <v>1208</v>
      </c>
    </row>
    <row r="13" spans="1:8" x14ac:dyDescent="0.35">
      <c r="A13" s="137">
        <f>IF(A12&lt;'[2]Project Information'!$B$11,A12+1,"")</f>
        <v>2032</v>
      </c>
      <c r="B13" s="134">
        <f t="shared" si="0"/>
        <v>2991318.0929642362</v>
      </c>
      <c r="C13" s="121"/>
      <c r="D13" s="138"/>
      <c r="E13" s="141"/>
      <c r="F13" s="142"/>
    </row>
    <row r="14" spans="1:8" x14ac:dyDescent="0.35">
      <c r="A14" s="137">
        <f>IF(A13&lt;'[2]Project Information'!$B$11,A13+1,"")</f>
        <v>2033</v>
      </c>
      <c r="B14" s="134">
        <f t="shared" si="0"/>
        <v>3042170.5005446277</v>
      </c>
      <c r="C14" s="121"/>
      <c r="D14" s="138"/>
      <c r="E14" s="139" t="s">
        <v>142</v>
      </c>
      <c r="F14" s="143">
        <f>BikePed_GR</f>
        <v>1.7000000000000001E-2</v>
      </c>
    </row>
    <row r="15" spans="1:8" x14ac:dyDescent="0.35">
      <c r="A15" s="137">
        <f>IF(A14&lt;'[2]Project Information'!$B$11,A14+1,"")</f>
        <v>2034</v>
      </c>
      <c r="B15" s="134">
        <f t="shared" si="0"/>
        <v>3093887.3990538861</v>
      </c>
      <c r="C15" s="121"/>
      <c r="D15" s="138"/>
      <c r="E15" s="139" t="s">
        <v>143</v>
      </c>
      <c r="F15" s="144">
        <f>Build_Project_Length</f>
        <v>2</v>
      </c>
    </row>
    <row r="16" spans="1:8" x14ac:dyDescent="0.35">
      <c r="A16" s="137">
        <f>IF(A15&lt;'[2]Project Information'!$B$11,A15+1,"")</f>
        <v>2035</v>
      </c>
      <c r="B16" s="134">
        <f t="shared" si="0"/>
        <v>3146483.4848378017</v>
      </c>
      <c r="C16" s="121"/>
      <c r="D16" s="138"/>
      <c r="E16" s="121"/>
      <c r="F16" s="121"/>
    </row>
    <row r="17" spans="1:6" x14ac:dyDescent="0.35">
      <c r="A17" s="137">
        <f>IF(A16&lt;'[2]Project Information'!$B$11,A16+1,"")</f>
        <v>2036</v>
      </c>
      <c r="B17" s="134">
        <f t="shared" si="0"/>
        <v>3199973.7040800443</v>
      </c>
      <c r="C17" s="121"/>
      <c r="D17" s="138"/>
      <c r="E17" s="145" t="s">
        <v>144</v>
      </c>
      <c r="F17" s="146"/>
    </row>
    <row r="18" spans="1:6" x14ac:dyDescent="0.35">
      <c r="A18" s="137">
        <f>IF(A17&lt;'[2]Project Information'!$B$11,A17+1,"")</f>
        <v>2037</v>
      </c>
      <c r="B18" s="134">
        <f t="shared" si="0"/>
        <v>3254373.2570494046</v>
      </c>
      <c r="C18" s="121"/>
      <c r="D18" s="138"/>
      <c r="E18" s="147" t="s">
        <v>145</v>
      </c>
      <c r="F18" s="143">
        <f>'[2]Project Information'!B28</f>
        <v>20</v>
      </c>
    </row>
    <row r="19" spans="1:6" x14ac:dyDescent="0.35">
      <c r="A19" s="137">
        <f>IF(A18&lt;'[2]Project Information'!$B$11,A18+1,"")</f>
        <v>2038</v>
      </c>
      <c r="B19" s="134">
        <f t="shared" si="0"/>
        <v>3309697.6024192446</v>
      </c>
      <c r="C19" s="121"/>
      <c r="D19" s="138"/>
      <c r="E19" s="147" t="s">
        <v>146</v>
      </c>
      <c r="F19" s="148">
        <v>25</v>
      </c>
    </row>
    <row r="20" spans="1:6" x14ac:dyDescent="0.35">
      <c r="A20" s="137">
        <f>IF(A19&lt;'[2]Project Information'!$B$11,A19+1,"")</f>
        <v>2039</v>
      </c>
      <c r="B20" s="134">
        <f t="shared" si="0"/>
        <v>3365962.4616603716</v>
      </c>
      <c r="C20" s="121"/>
      <c r="D20" s="138"/>
      <c r="E20" s="147" t="s">
        <v>147</v>
      </c>
      <c r="F20" s="149">
        <f>MIN(F18, 31)*'[2]Parameter Values'!$B$140</f>
        <v>2.2000000000000002</v>
      </c>
    </row>
    <row r="21" spans="1:6" x14ac:dyDescent="0.35">
      <c r="A21" s="137">
        <f>IF(A20&lt;'[2]Project Information'!$B$11,A20+1,"")</f>
        <v>2040</v>
      </c>
      <c r="B21" s="134">
        <f t="shared" si="0"/>
        <v>3423183.8235085974</v>
      </c>
      <c r="C21" s="121"/>
      <c r="D21" s="138"/>
      <c r="E21" s="150" t="s">
        <v>148</v>
      </c>
      <c r="F21" s="166">
        <f>No_Build_Start_Daily_Walking_Trips*MAX(Build_Project_Length, 0.86)*365</f>
        <v>327473.79332182975</v>
      </c>
    </row>
    <row r="22" spans="1:6" x14ac:dyDescent="0.35">
      <c r="A22" s="137">
        <f>IF(A21&lt;'[2]Project Information'!$B$11,A21+1,"")</f>
        <v>2041</v>
      </c>
      <c r="B22" s="134">
        <f t="shared" si="0"/>
        <v>3481377.9485082431</v>
      </c>
      <c r="C22" s="121"/>
      <c r="D22" s="138"/>
      <c r="E22" s="137" t="s">
        <v>149</v>
      </c>
      <c r="F22" s="166">
        <f>IF(F18&gt;0, Induced_Daily_Walking_Trips *MAX(Build_Project_Length, 0.86)*365, 0)</f>
        <v>98242.137996548932</v>
      </c>
    </row>
    <row r="23" spans="1:6" x14ac:dyDescent="0.35">
      <c r="A23" s="137">
        <f>IF(A22&lt;'[2]Project Information'!$B$11,A22+1,"")</f>
        <v>2042</v>
      </c>
      <c r="B23" s="134">
        <f t="shared" si="0"/>
        <v>3540561.3736328827</v>
      </c>
      <c r="C23" s="121"/>
      <c r="D23" s="138"/>
      <c r="E23" s="147" t="s">
        <v>150</v>
      </c>
      <c r="F23" s="151">
        <f>(F21 + 0.5*F22) *F20</f>
        <v>828508.69710422936</v>
      </c>
    </row>
    <row r="24" spans="1:6" x14ac:dyDescent="0.35">
      <c r="A24" s="137">
        <f>IF(A23&lt;'[2]Project Information'!$B$11,A23+1,"")</f>
        <v>2043</v>
      </c>
      <c r="B24" s="134">
        <f t="shared" si="0"/>
        <v>3600750.9169846415</v>
      </c>
      <c r="C24" s="121"/>
      <c r="D24" s="138"/>
    </row>
    <row r="25" spans="1:6" x14ac:dyDescent="0.35">
      <c r="A25" s="137">
        <f>IF(A24&lt;'[2]Project Information'!$B$11,A24+1,"")</f>
        <v>2044</v>
      </c>
      <c r="B25" s="134">
        <f t="shared" si="0"/>
        <v>3661963.6825733799</v>
      </c>
      <c r="C25" s="121"/>
      <c r="D25" s="138"/>
      <c r="E25" s="152" t="s">
        <v>151</v>
      </c>
      <c r="F25" s="153"/>
    </row>
    <row r="26" spans="1:6" x14ac:dyDescent="0.35">
      <c r="A26" s="137">
        <f>IF(A25&lt;'[2]Project Information'!$B$11,A25+1,"")</f>
        <v>2045</v>
      </c>
      <c r="B26" s="134">
        <f t="shared" si="0"/>
        <v>3724217.0651771268</v>
      </c>
      <c r="C26" s="121"/>
      <c r="D26" s="138"/>
      <c r="E26" s="154" t="s">
        <v>152</v>
      </c>
      <c r="F26" s="155" t="str">
        <f>'[2]Project Information'!B34</f>
        <v>Yes</v>
      </c>
    </row>
    <row r="27" spans="1:6" x14ac:dyDescent="0.35">
      <c r="A27" s="137">
        <f>IF(A26&lt;'[2]Project Information'!$B$11,A26+1,"")</f>
        <v>2046</v>
      </c>
      <c r="B27" s="134">
        <f t="shared" si="0"/>
        <v>3787528.7552851383</v>
      </c>
      <c r="C27" s="121"/>
      <c r="D27" s="138"/>
      <c r="E27" s="156" t="s">
        <v>146</v>
      </c>
      <c r="F27" s="157">
        <v>25</v>
      </c>
    </row>
    <row r="28" spans="1:6" x14ac:dyDescent="0.35">
      <c r="A28" s="137">
        <f>IF(A27&lt;'[2]Project Information'!$B$11,A27+1,"")</f>
        <v>2047</v>
      </c>
      <c r="B28" s="134">
        <f t="shared" si="0"/>
        <v>3851916.7441249848</v>
      </c>
      <c r="C28" s="121"/>
      <c r="D28" s="138"/>
      <c r="E28" s="150" t="s">
        <v>153</v>
      </c>
      <c r="F28" s="166">
        <f>No_Build_Start_Daily_Cycling_Trips*MAX(Build_Project_Length, 2.38)*365</f>
        <v>1004058.0413099672</v>
      </c>
    </row>
    <row r="29" spans="1:6" x14ac:dyDescent="0.35">
      <c r="A29" s="137">
        <f>IF(A28&lt;'[2]Project Information'!$B$11,A28+1,"")</f>
        <v>2048</v>
      </c>
      <c r="B29" s="134">
        <f t="shared" si="0"/>
        <v>3917399.3287751093</v>
      </c>
      <c r="C29" s="121"/>
      <c r="D29" s="138"/>
      <c r="E29" s="150" t="s">
        <v>154</v>
      </c>
      <c r="F29" s="166">
        <f>IF(F26="Yes", Induced_Daily_Cycling_Trips*MAX(Build_Project_Length, 2.38)*365, 0)</f>
        <v>210852.18867509309</v>
      </c>
    </row>
    <row r="30" spans="1:6" x14ac:dyDescent="0.35">
      <c r="A30" s="137">
        <f>IF(A29&lt;'[2]Project Information'!$B$11,A29+1,"")</f>
        <v>2049</v>
      </c>
      <c r="B30" s="134">
        <f t="shared" si="0"/>
        <v>3983995.1173642855</v>
      </c>
      <c r="C30" s="121"/>
      <c r="D30" s="138"/>
      <c r="E30" s="147" t="s">
        <v>150</v>
      </c>
      <c r="F30" s="158">
        <f>IF(F26="Yes", '[2]Parameter Values'!$B$156*(F28 + 0.5*F29), 0)</f>
        <v>2063640.4923043756</v>
      </c>
    </row>
    <row r="31" spans="1:6" x14ac:dyDescent="0.35">
      <c r="A31" s="137">
        <f>IF(A30&lt;'[2]Project Information'!$B$11,A30+1,"")</f>
        <v>2050</v>
      </c>
      <c r="B31" s="134">
        <f t="shared" si="0"/>
        <v>4051723.0343594784</v>
      </c>
      <c r="C31" s="121"/>
      <c r="D31" s="138"/>
    </row>
    <row r="32" spans="1:6" x14ac:dyDescent="0.35">
      <c r="A32" s="137">
        <f>IF(A31&lt;'[2]Project Information'!$B$11,A31+1,"")</f>
        <v>2051</v>
      </c>
      <c r="B32" s="134">
        <f t="shared" si="0"/>
        <v>4120602.3259435892</v>
      </c>
      <c r="C32" s="121"/>
      <c r="D32" s="138"/>
      <c r="E32" s="130" t="s">
        <v>60</v>
      </c>
      <c r="F32" s="130" t="s">
        <v>136</v>
      </c>
    </row>
    <row r="33" spans="1:6" x14ac:dyDescent="0.35">
      <c r="A33" s="137">
        <f>IF(A32&lt;'[2]Project Information'!$B$11,A32+1,"")</f>
        <v>2052</v>
      </c>
      <c r="B33" s="134">
        <f t="shared" si="0"/>
        <v>4190652.5654846295</v>
      </c>
      <c r="C33" s="121"/>
      <c r="D33" s="138"/>
      <c r="E33" s="133">
        <f>'[2]Project Information'!$B$9</f>
        <v>2030</v>
      </c>
      <c r="F33" s="134">
        <f t="shared" ref="F33:F62" si="1">IF($E33 = "", 0, (IF($E33 - $E$33 &lt; F$19, 1, 0) * F$23  +  IF($E33 - $E$33 &lt; F$27, 1, 0)* F$30)*(1 + BikePed_GR) ^($E33 - $E$33) )</f>
        <v>2892149.189408605</v>
      </c>
    </row>
    <row r="34" spans="1:6" x14ac:dyDescent="0.35">
      <c r="A34" s="137">
        <f>IF(A33&lt;'[2]Project Information'!$B$11,A33+1,"")</f>
        <v>2053</v>
      </c>
      <c r="B34" s="134">
        <f t="shared" si="0"/>
        <v>4261893.6590978671</v>
      </c>
      <c r="C34" s="121"/>
      <c r="D34" s="138"/>
      <c r="E34" s="137">
        <f>IF(E33&lt;'[2]Project Information'!$B$11,E33+1,"")</f>
        <v>2031</v>
      </c>
      <c r="F34" s="134">
        <f t="shared" si="1"/>
        <v>2941315.7256285511</v>
      </c>
    </row>
    <row r="35" spans="1:6" x14ac:dyDescent="0.35">
      <c r="A35" s="137">
        <f>IF(A34&lt;'[2]Project Information'!$B$11,A34+1,"")</f>
        <v>2054</v>
      </c>
      <c r="B35" s="134">
        <f t="shared" si="0"/>
        <v>4334345.8513025315</v>
      </c>
      <c r="C35" s="121"/>
      <c r="D35" s="138"/>
      <c r="E35" s="137">
        <f>IF(E34&lt;'[2]Project Information'!$B$11,E34+1,"")</f>
        <v>2032</v>
      </c>
      <c r="F35" s="134">
        <f t="shared" si="1"/>
        <v>2991318.0929642362</v>
      </c>
    </row>
    <row r="36" spans="1:6" x14ac:dyDescent="0.35">
      <c r="A36" s="137" t="str">
        <f>IF(A35&lt;'[2]Project Information'!$B$11,A35+1,"")</f>
        <v/>
      </c>
      <c r="B36" s="134">
        <f t="shared" si="0"/>
        <v>0</v>
      </c>
      <c r="C36" s="121"/>
      <c r="D36" s="138"/>
      <c r="E36" s="137">
        <f>IF(E35&lt;'[2]Project Information'!$B$11,E35+1,"")</f>
        <v>2033</v>
      </c>
      <c r="F36" s="134">
        <f t="shared" si="1"/>
        <v>3042170.5005446277</v>
      </c>
    </row>
    <row r="37" spans="1:6" x14ac:dyDescent="0.35">
      <c r="A37" s="137" t="str">
        <f>IF(A36&lt;'[2]Project Information'!$B$11,A36+1,"")</f>
        <v/>
      </c>
      <c r="B37" s="134">
        <f t="shared" si="0"/>
        <v>0</v>
      </c>
      <c r="C37" s="121"/>
      <c r="D37" s="138"/>
      <c r="E37" s="137">
        <f>IF(E36&lt;'[2]Project Information'!$B$11,E36+1,"")</f>
        <v>2034</v>
      </c>
      <c r="F37" s="134">
        <f t="shared" si="1"/>
        <v>3093887.3990538861</v>
      </c>
    </row>
    <row r="38" spans="1:6" x14ac:dyDescent="0.35">
      <c r="A38" s="137" t="str">
        <f>IF(A37&lt;'[2]Project Information'!$B$11,A37+1,"")</f>
        <v/>
      </c>
      <c r="B38" s="134">
        <f t="shared" si="0"/>
        <v>0</v>
      </c>
      <c r="C38" s="121"/>
      <c r="D38" s="138"/>
      <c r="E38" s="137">
        <f>IF(E37&lt;'[2]Project Information'!$B$11,E37+1,"")</f>
        <v>2035</v>
      </c>
      <c r="F38" s="134">
        <f t="shared" si="1"/>
        <v>3146483.4848378017</v>
      </c>
    </row>
    <row r="39" spans="1:6" x14ac:dyDescent="0.35">
      <c r="A39" s="137" t="str">
        <f>IF(A38&lt;'[2]Project Information'!$B$11,A38+1,"")</f>
        <v/>
      </c>
      <c r="B39" s="134">
        <f t="shared" si="0"/>
        <v>0</v>
      </c>
      <c r="C39" s="121"/>
      <c r="D39" s="138"/>
      <c r="E39" s="137">
        <f>IF(E38&lt;'[2]Project Information'!$B$11,E38+1,"")</f>
        <v>2036</v>
      </c>
      <c r="F39" s="134">
        <f t="shared" si="1"/>
        <v>3199973.7040800443</v>
      </c>
    </row>
    <row r="40" spans="1:6" x14ac:dyDescent="0.35">
      <c r="A40" s="159" t="str">
        <f>IF(A39&lt;'[2]Project Information'!$B$11,A39+1,"")</f>
        <v/>
      </c>
      <c r="B40" s="160">
        <f t="shared" si="0"/>
        <v>0</v>
      </c>
      <c r="C40" s="121"/>
      <c r="D40" s="138"/>
      <c r="E40" s="137">
        <f>IF(E39&lt;'[2]Project Information'!$B$11,E39+1,"")</f>
        <v>2037</v>
      </c>
      <c r="F40" s="134">
        <f t="shared" si="1"/>
        <v>3254373.2570494046</v>
      </c>
    </row>
    <row r="41" spans="1:6" x14ac:dyDescent="0.35">
      <c r="A41" s="161" t="s">
        <v>155</v>
      </c>
      <c r="B41" s="162">
        <f>SUM(B11:B40)</f>
        <v>89169443.609769255</v>
      </c>
      <c r="C41" s="121"/>
      <c r="D41" s="138"/>
      <c r="E41" s="137">
        <f>IF(E40&lt;'[2]Project Information'!$B$11,E40+1,"")</f>
        <v>2038</v>
      </c>
      <c r="F41" s="134">
        <f t="shared" si="1"/>
        <v>3309697.6024192446</v>
      </c>
    </row>
    <row r="42" spans="1:6" x14ac:dyDescent="0.35">
      <c r="A42" s="161" t="s">
        <v>156</v>
      </c>
      <c r="B42" s="160">
        <f>NPV(0.031, B11:B40)/(1.031 ^ (Opening_Year - Base_Year - 1))</f>
        <v>48300038.808793299</v>
      </c>
      <c r="C42" s="121"/>
      <c r="D42" s="138"/>
      <c r="E42" s="137">
        <f>IF(E41&lt;'[2]Project Information'!$B$11,E41+1,"")</f>
        <v>2039</v>
      </c>
      <c r="F42" s="134">
        <f t="shared" si="1"/>
        <v>3365962.4616603716</v>
      </c>
    </row>
    <row r="43" spans="1:6" x14ac:dyDescent="0.35">
      <c r="A43" s="121"/>
      <c r="B43" s="121"/>
      <c r="C43" s="121"/>
      <c r="D43" s="138"/>
      <c r="E43" s="137">
        <f>IF(E42&lt;'[2]Project Information'!$B$11,E42+1,"")</f>
        <v>2040</v>
      </c>
      <c r="F43" s="134">
        <f t="shared" si="1"/>
        <v>3423183.8235085974</v>
      </c>
    </row>
    <row r="44" spans="1:6" x14ac:dyDescent="0.35">
      <c r="A44" s="121"/>
      <c r="B44" s="121"/>
      <c r="C44" s="121"/>
      <c r="D44" s="138"/>
      <c r="E44" s="137">
        <f>IF(E43&lt;'[2]Project Information'!$B$11,E43+1,"")</f>
        <v>2041</v>
      </c>
      <c r="F44" s="134">
        <f t="shared" si="1"/>
        <v>3481377.9485082431</v>
      </c>
    </row>
    <row r="45" spans="1:6" x14ac:dyDescent="0.35">
      <c r="A45" s="121"/>
      <c r="B45" s="121"/>
      <c r="C45" s="121"/>
      <c r="D45" s="138"/>
      <c r="E45" s="137">
        <f>IF(E44&lt;'[2]Project Information'!$B$11,E44+1,"")</f>
        <v>2042</v>
      </c>
      <c r="F45" s="134">
        <f t="shared" si="1"/>
        <v>3540561.3736328827</v>
      </c>
    </row>
    <row r="46" spans="1:6" x14ac:dyDescent="0.35">
      <c r="A46" s="121"/>
      <c r="B46" s="121"/>
      <c r="C46" s="121"/>
      <c r="D46" s="138"/>
      <c r="E46" s="137">
        <f>IF(E45&lt;'[2]Project Information'!$B$11,E45+1,"")</f>
        <v>2043</v>
      </c>
      <c r="F46" s="134">
        <f t="shared" si="1"/>
        <v>3600750.9169846415</v>
      </c>
    </row>
    <row r="47" spans="1:6" x14ac:dyDescent="0.35">
      <c r="A47" s="121"/>
      <c r="B47" s="121"/>
      <c r="C47" s="121"/>
      <c r="D47" s="138"/>
      <c r="E47" s="137">
        <f>IF(E46&lt;'[2]Project Information'!$B$11,E46+1,"")</f>
        <v>2044</v>
      </c>
      <c r="F47" s="134">
        <f t="shared" si="1"/>
        <v>3661963.6825733799</v>
      </c>
    </row>
    <row r="48" spans="1:6" x14ac:dyDescent="0.35">
      <c r="A48" s="121"/>
      <c r="B48" s="121"/>
      <c r="C48" s="121"/>
      <c r="D48" s="138"/>
      <c r="E48" s="137">
        <f>IF(E47&lt;'[2]Project Information'!$B$11,E47+1,"")</f>
        <v>2045</v>
      </c>
      <c r="F48" s="134">
        <f t="shared" si="1"/>
        <v>3724217.0651771268</v>
      </c>
    </row>
    <row r="49" spans="1:6" x14ac:dyDescent="0.35">
      <c r="A49" s="121"/>
      <c r="B49" s="121"/>
      <c r="C49" s="121"/>
      <c r="D49" s="138"/>
      <c r="E49" s="137">
        <f>IF(E48&lt;'[2]Project Information'!$B$11,E48+1,"")</f>
        <v>2046</v>
      </c>
      <c r="F49" s="134">
        <f t="shared" si="1"/>
        <v>3787528.7552851383</v>
      </c>
    </row>
    <row r="50" spans="1:6" x14ac:dyDescent="0.35">
      <c r="A50" s="121"/>
      <c r="B50" s="121"/>
      <c r="C50" s="121"/>
      <c r="D50" s="138"/>
      <c r="E50" s="137">
        <f>IF(E49&lt;'[2]Project Information'!$B$11,E49+1,"")</f>
        <v>2047</v>
      </c>
      <c r="F50" s="134">
        <f t="shared" si="1"/>
        <v>3851916.7441249848</v>
      </c>
    </row>
    <row r="51" spans="1:6" x14ac:dyDescent="0.35">
      <c r="A51" s="121"/>
      <c r="B51" s="121"/>
      <c r="C51" s="121"/>
      <c r="D51" s="138"/>
      <c r="E51" s="137">
        <f>IF(E50&lt;'[2]Project Information'!$B$11,E50+1,"")</f>
        <v>2048</v>
      </c>
      <c r="F51" s="134">
        <f t="shared" si="1"/>
        <v>3917399.3287751093</v>
      </c>
    </row>
    <row r="52" spans="1:6" x14ac:dyDescent="0.35">
      <c r="A52" s="121"/>
      <c r="B52" s="121"/>
      <c r="C52" s="121"/>
      <c r="D52" s="138"/>
      <c r="E52" s="137">
        <f>IF(E51&lt;'[2]Project Information'!$B$11,E51+1,"")</f>
        <v>2049</v>
      </c>
      <c r="F52" s="134">
        <f t="shared" si="1"/>
        <v>3983995.1173642855</v>
      </c>
    </row>
    <row r="53" spans="1:6" x14ac:dyDescent="0.35">
      <c r="A53" s="121"/>
      <c r="B53" s="121"/>
      <c r="C53" s="121"/>
      <c r="D53" s="138"/>
      <c r="E53" s="137">
        <f>IF(E52&lt;'[2]Project Information'!$B$11,E52+1,"")</f>
        <v>2050</v>
      </c>
      <c r="F53" s="134">
        <f t="shared" si="1"/>
        <v>4051723.0343594784</v>
      </c>
    </row>
    <row r="54" spans="1:6" x14ac:dyDescent="0.35">
      <c r="A54" s="121"/>
      <c r="B54" s="121"/>
      <c r="C54" s="121"/>
      <c r="D54" s="138"/>
      <c r="E54" s="137">
        <f>IF(E53&lt;'[2]Project Information'!$B$11,E53+1,"")</f>
        <v>2051</v>
      </c>
      <c r="F54" s="134">
        <f t="shared" si="1"/>
        <v>4120602.3259435892</v>
      </c>
    </row>
    <row r="55" spans="1:6" x14ac:dyDescent="0.35">
      <c r="A55" s="121"/>
      <c r="B55" s="121"/>
      <c r="C55" s="121"/>
      <c r="D55" s="138"/>
      <c r="E55" s="137">
        <f>IF(E54&lt;'[2]Project Information'!$B$11,E54+1,"")</f>
        <v>2052</v>
      </c>
      <c r="F55" s="134">
        <f t="shared" si="1"/>
        <v>4190652.5654846295</v>
      </c>
    </row>
    <row r="56" spans="1:6" x14ac:dyDescent="0.35">
      <c r="A56" s="121"/>
      <c r="B56" s="121"/>
      <c r="C56" s="121"/>
      <c r="D56" s="138"/>
      <c r="E56" s="137">
        <f>IF(E55&lt;'[2]Project Information'!$B$11,E55+1,"")</f>
        <v>2053</v>
      </c>
      <c r="F56" s="134">
        <f t="shared" si="1"/>
        <v>4261893.6590978671</v>
      </c>
    </row>
    <row r="57" spans="1:6" x14ac:dyDescent="0.35">
      <c r="A57" s="121"/>
      <c r="B57" s="121"/>
      <c r="C57" s="121"/>
      <c r="D57" s="138"/>
      <c r="E57" s="137">
        <f>IF(E56&lt;'[2]Project Information'!$B$11,E56+1,"")</f>
        <v>2054</v>
      </c>
      <c r="F57" s="134">
        <f t="shared" si="1"/>
        <v>4334345.8513025315</v>
      </c>
    </row>
    <row r="58" spans="1:6" x14ac:dyDescent="0.35">
      <c r="A58" s="121"/>
      <c r="B58" s="121"/>
      <c r="C58" s="121"/>
      <c r="D58" s="138"/>
      <c r="E58" s="137" t="str">
        <f>IF(E57&lt;'[2]Project Information'!$B$11,E57+1,"")</f>
        <v/>
      </c>
      <c r="F58" s="134">
        <f t="shared" si="1"/>
        <v>0</v>
      </c>
    </row>
    <row r="59" spans="1:6" x14ac:dyDescent="0.35">
      <c r="A59" s="121"/>
      <c r="B59" s="121"/>
      <c r="C59" s="121"/>
      <c r="D59" s="138"/>
      <c r="E59" s="137" t="str">
        <f>IF(E58&lt;'[2]Project Information'!$B$11,E58+1,"")</f>
        <v/>
      </c>
      <c r="F59" s="134">
        <f t="shared" si="1"/>
        <v>0</v>
      </c>
    </row>
    <row r="60" spans="1:6" x14ac:dyDescent="0.35">
      <c r="A60" s="121"/>
      <c r="B60" s="121"/>
      <c r="C60" s="121"/>
      <c r="D60" s="138"/>
      <c r="E60" s="137" t="str">
        <f>IF(E59&lt;'[2]Project Information'!$B$11,E59+1,"")</f>
        <v/>
      </c>
      <c r="F60" s="134">
        <f t="shared" si="1"/>
        <v>0</v>
      </c>
    </row>
    <row r="61" spans="1:6" x14ac:dyDescent="0.35">
      <c r="A61" s="121"/>
      <c r="B61" s="121"/>
      <c r="C61" s="121"/>
      <c r="D61" s="138"/>
      <c r="E61" s="137" t="str">
        <f>IF(E60&lt;'[2]Project Information'!$B$11,E60+1,"")</f>
        <v/>
      </c>
      <c r="F61" s="134">
        <f t="shared" si="1"/>
        <v>0</v>
      </c>
    </row>
    <row r="62" spans="1:6" x14ac:dyDescent="0.35">
      <c r="A62" s="121"/>
      <c r="B62" s="121"/>
      <c r="C62" s="121"/>
      <c r="D62" s="138"/>
      <c r="E62" s="163" t="str">
        <f>IF(E61&lt;'[2]Project Information'!$B$11,E61+1,"")</f>
        <v/>
      </c>
      <c r="F62" s="134">
        <f t="shared" si="1"/>
        <v>0</v>
      </c>
    </row>
    <row r="63" spans="1:6" x14ac:dyDescent="0.35">
      <c r="A63" s="121"/>
      <c r="B63" s="121"/>
      <c r="C63" s="121"/>
      <c r="D63" s="138"/>
      <c r="E63" s="164" t="s">
        <v>155</v>
      </c>
      <c r="F63" s="162">
        <f>SUM(F33:F62)</f>
        <v>89169443.609769255</v>
      </c>
    </row>
    <row r="64" spans="1:6" x14ac:dyDescent="0.35">
      <c r="A64" s="121"/>
      <c r="B64" s="121"/>
      <c r="C64" s="121"/>
      <c r="D64" s="138"/>
      <c r="E64" s="164" t="s">
        <v>156</v>
      </c>
      <c r="F64" s="160">
        <f>NPV(0.031, F33:F62)/(1.031 ^ (Opening_Year - Base_Year - 1))</f>
        <v>48300038.808793299</v>
      </c>
    </row>
    <row r="65" spans="1:5" x14ac:dyDescent="0.35">
      <c r="A65" s="121"/>
      <c r="B65" s="121"/>
      <c r="C65" s="121"/>
      <c r="D65" s="138"/>
      <c r="E65" s="165"/>
    </row>
    <row r="66" spans="1:5" x14ac:dyDescent="0.35">
      <c r="A66" s="121"/>
      <c r="B66" s="121"/>
      <c r="C66" s="121"/>
      <c r="D66" s="121"/>
      <c r="E66" s="165"/>
    </row>
    <row r="67" spans="1:5" x14ac:dyDescent="0.35">
      <c r="A67" s="121"/>
      <c r="B67" s="121"/>
      <c r="C67" s="121"/>
      <c r="D67" s="121"/>
      <c r="E67" s="165"/>
    </row>
    <row r="68" spans="1:5" x14ac:dyDescent="0.35">
      <c r="A68" s="121"/>
      <c r="B68" s="121"/>
      <c r="C68" s="121"/>
      <c r="D68" s="121"/>
      <c r="E68" s="165"/>
    </row>
    <row r="69" spans="1:5" x14ac:dyDescent="0.35">
      <c r="A69" s="121"/>
      <c r="B69" s="121"/>
      <c r="C69" s="121"/>
      <c r="D69" s="121"/>
      <c r="E69" s="165"/>
    </row>
    <row r="70" spans="1:5" x14ac:dyDescent="0.35">
      <c r="A70" s="121"/>
      <c r="B70" s="121"/>
      <c r="C70" s="121"/>
      <c r="D70" s="121"/>
      <c r="E70" s="165"/>
    </row>
    <row r="71" spans="1:5" x14ac:dyDescent="0.35">
      <c r="A71" s="121"/>
      <c r="B71" s="121"/>
      <c r="C71" s="121"/>
      <c r="D71" s="121"/>
      <c r="E71" s="165"/>
    </row>
    <row r="72" spans="1:5" x14ac:dyDescent="0.35">
      <c r="A72" s="121"/>
      <c r="B72" s="121"/>
      <c r="C72" s="121"/>
      <c r="D72" s="121"/>
      <c r="E72" s="165"/>
    </row>
    <row r="73" spans="1:5" x14ac:dyDescent="0.35">
      <c r="A73" s="121"/>
      <c r="B73" s="121"/>
      <c r="C73" s="121"/>
      <c r="D73" s="121"/>
      <c r="E73" s="165"/>
    </row>
    <row r="74" spans="1:5" x14ac:dyDescent="0.35">
      <c r="A74" s="121"/>
      <c r="B74" s="121"/>
      <c r="C74" s="121"/>
      <c r="D74" s="121"/>
      <c r="E74" s="165"/>
    </row>
    <row r="75" spans="1:5" x14ac:dyDescent="0.35">
      <c r="A75" s="121"/>
      <c r="B75" s="121"/>
      <c r="C75" s="121"/>
      <c r="D75" s="121"/>
      <c r="E75" s="165"/>
    </row>
  </sheetData>
  <conditionalFormatting sqref="B11:B40">
    <cfRule type="expression" dxfId="3" priority="4">
      <formula>A11=""</formula>
    </cfRule>
  </conditionalFormatting>
  <conditionalFormatting sqref="B42">
    <cfRule type="expression" dxfId="2" priority="1">
      <formula>$E42=""</formula>
    </cfRule>
  </conditionalFormatting>
  <conditionalFormatting sqref="F33:F62">
    <cfRule type="expression" dxfId="1" priority="3">
      <formula>E33=""</formula>
    </cfRule>
  </conditionalFormatting>
  <conditionalFormatting sqref="F64">
    <cfRule type="expression" dxfId="0" priority="2">
      <formula>$E64=""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FEE5D3F7229478907E693F4AC7DED" ma:contentTypeVersion="16" ma:contentTypeDescription="Create a new document." ma:contentTypeScope="" ma:versionID="ceb4bc234ec8147aaa3211624086e0d6">
  <xsd:schema xmlns:xsd="http://www.w3.org/2001/XMLSchema" xmlns:xs="http://www.w3.org/2001/XMLSchema" xmlns:p="http://schemas.microsoft.com/office/2006/metadata/properties" xmlns:ns2="99a9976c-2a24-4fb3-8da9-f53066981d84" xmlns:ns3="fd458293-9cc6-4f98-9260-4b466483680c" targetNamespace="http://schemas.microsoft.com/office/2006/metadata/properties" ma:root="true" ma:fieldsID="e2f7aab8cadf5b3c8cc3559fb3a1ceaf" ns2:_="" ns3:_="">
    <xsd:import namespace="99a9976c-2a24-4fb3-8da9-f53066981d84"/>
    <xsd:import namespace="fd458293-9cc6-4f98-9260-4b46648368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976c-2a24-4fb3-8da9-f53066981d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ad4032c-a330-4847-9ce1-ec5da46d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8293-9cc6-4f98-9260-4b4664836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6c342b-c6ee-489a-81d5-035aa533647c}" ma:internalName="TaxCatchAll" ma:showField="CatchAllData" ma:web="fd458293-9cc6-4f98-9260-4b46648368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a9976c-2a24-4fb3-8da9-f53066981d84">
      <Terms xmlns="http://schemas.microsoft.com/office/infopath/2007/PartnerControls"/>
    </lcf76f155ced4ddcb4097134ff3c332f>
    <TaxCatchAll xmlns="fd458293-9cc6-4f98-9260-4b466483680c" xsi:nil="true"/>
  </documentManagement>
</p:properties>
</file>

<file path=customXml/itemProps1.xml><?xml version="1.0" encoding="utf-8"?>
<ds:datastoreItem xmlns:ds="http://schemas.openxmlformats.org/officeDocument/2006/customXml" ds:itemID="{8E662D82-A068-4313-89C1-BA40070CDA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555BCB-4CA7-4288-A0B9-460DB8785685}"/>
</file>

<file path=customXml/itemProps3.xml><?xml version="1.0" encoding="utf-8"?>
<ds:datastoreItem xmlns:ds="http://schemas.openxmlformats.org/officeDocument/2006/customXml" ds:itemID="{D11681AA-0D8B-4385-9933-5369C1E89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Cost Summary and Discounting</vt:lpstr>
      <vt:lpstr>Useful Life Remaining Table </vt:lpstr>
      <vt:lpstr>Other Externalities </vt:lpstr>
      <vt:lpstr>Mortality Benefit - Walk </vt:lpstr>
      <vt:lpstr>Mortality Benefit - Bike</vt:lpstr>
      <vt:lpstr>Amenity Benefits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Pappas, Eleni - HPW</dc:creator>
  <cp:keywords/>
  <dc:description/>
  <cp:lastModifiedBy>Correa, Luci - HPW</cp:lastModifiedBy>
  <cp:revision/>
  <dcterms:created xsi:type="dcterms:W3CDTF">2015-06-05T18:17:20Z</dcterms:created>
  <dcterms:modified xsi:type="dcterms:W3CDTF">2024-08-30T20:17:34Z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0x010100507FEE5D3F7229478907E693F4AC7DED</vt:lpwstr>
  </property>
</Properties>
</file>