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C:\Users\qli\Box\HOU - Houston\2023 H-GAC Call For Projects\2023 Submittals\2023CFP-018\final benefits\"/>
    </mc:Choice>
  </mc:AlternateContent>
  <xr:revisionPtr revIDLastSave="0" documentId="13_ncr:1_{758276E5-A820-42F7-871D-6E51D20E09C6}" xr6:coauthVersionLast="47" xr6:coauthVersionMax="47" xr10:uidLastSave="{00000000-0000-0000-0000-000000000000}"/>
  <bookViews>
    <workbookView xWindow="50390" yWindow="2570" windowWidth="17850" windowHeight="15960" tabRatio="951" firstSheet="3" activeTab="3" xr2:uid="{00000000-000D-0000-FFFF-FFFF00000000}"/>
  </bookViews>
  <sheets>
    <sheet name="Instructions" sheetId="8" r:id="rId1"/>
    <sheet name="ITS Delay Worksheet" sheetId="7" state="hidden" r:id="rId2"/>
    <sheet name="Emissions Reduction Worksheet" sheetId="5" state="hidden" r:id="rId3"/>
    <sheet name="Inputs &amp; Outputs" sheetId="11" r:id="rId4"/>
    <sheet name="Preventable Crash data" sheetId="19" r:id="rId5"/>
    <sheet name="Calculations" sheetId="12" r:id="rId6"/>
    <sheet name="Assumed Values" sheetId="2" r:id="rId7"/>
    <sheet name="Value of Statistical Life" sheetId="9" r:id="rId8"/>
    <sheet name="CRF Lookup Table" sheetId="16" r:id="rId9"/>
    <sheet name="Raw Crash data" sheetId="20" r:id="rId10"/>
    <sheet name="Ped bike commuter analysis data" sheetId="21" r:id="rId11"/>
    <sheet name="Growth Rates" sheetId="22" r:id="rId12"/>
  </sheets>
  <externalReferences>
    <externalReference r:id="rId13"/>
  </externalReferences>
  <definedNames>
    <definedName name="_2021_2045_Demand_Growth">Calculations!$B$14</definedName>
    <definedName name="_2021_2045_V_C_Growth">Calculations!$B$20</definedName>
    <definedName name="_2021_Peak_Period_Capacity">'Inputs &amp; Outputs'!#REF!</definedName>
    <definedName name="_2021_V_C_Ratio">Calculations!$B$15</definedName>
    <definedName name="_2030_2030_Demand_Growth">Calculations!$B$12</definedName>
    <definedName name="_2030_2045_Demand_Growth">Calculations!$B$13</definedName>
    <definedName name="_2030_2045_V_C_Growth">Calculations!$B$19</definedName>
    <definedName name="_2030_Peak_Period_Capacity">'Inputs &amp; Outputs'!#REF!</definedName>
    <definedName name="_2030_Peak_Period_Volume">'Inputs &amp; Outputs'!#REF!</definedName>
    <definedName name="_2030_V_C_Ratio">Calculations!$B$16</definedName>
    <definedName name="_2045_Peak_Period_Capacity">'Inputs &amp; Outputs'!#REF!</definedName>
    <definedName name="_2045_Peak_Period_Volume">'Inputs &amp; Outputs'!#REF!</definedName>
    <definedName name="_2045_V_C_Ratio">Calculations!$B$17</definedName>
    <definedName name="_Avg_Crash_Rate_per_100m_VMT">Calculations!$E$11:$E$14</definedName>
    <definedName name="Application_ID_Number">'Inputs &amp; Outputs'!$C$12</definedName>
    <definedName name="Appropriate_Crash_Reduction_Factor1">'Inputs &amp; Outputs'!$C$20</definedName>
    <definedName name="Appropriate_Crash_Reduction_Factor2">'Inputs &amp; Outputs'!$C$25</definedName>
    <definedName name="Appropriate_Crash_Reduction_Factor3">'Inputs &amp; Outputs'!$C$30</definedName>
    <definedName name="Base_Year">Calculations!$B$4</definedName>
    <definedName name="CRIS_Titles">Calculations!$D$11:$D$14</definedName>
    <definedName name="Freeway">[1]VMT!$B$45:$D$52</definedName>
    <definedName name="Non_Injry_Rate">Calculations!#REF!</definedName>
    <definedName name="Nonincap_Injry_Rate">Calculations!#REF!</definedName>
    <definedName name="Other">[1]VMT!$B$56:$D$63</definedName>
    <definedName name="_xlnm.Print_Area" localSheetId="6">'Assumed Values'!$B$2:$C$30</definedName>
    <definedName name="_xlnm.Print_Area" localSheetId="5">Calculations!$A$3:$W$37</definedName>
    <definedName name="_xlnm.Print_Area" localSheetId="2">'Emissions Reduction Worksheet'!$A$3:$K$33</definedName>
    <definedName name="_xlnm.Print_Area" localSheetId="3">'Inputs &amp; Outputs'!$B$2:$F$49</definedName>
    <definedName name="_xlnm.Print_Area" localSheetId="0">Instructions!$A$1:$G$12</definedName>
    <definedName name="_xlnm.Print_Area" localSheetId="1">'ITS Delay Worksheet'!$A$3:$J$33</definedName>
    <definedName name="Project_Title">'Inputs &amp; Outputs'!$C$5</definedName>
    <definedName name="Real_Discount_Rate">'Assumed Values'!$C$6</definedName>
    <definedName name="Service_Life1">'Inputs &amp; Outputs'!$C$21</definedName>
    <definedName name="Service_Life2">'Inputs &amp; Outputs'!$C$26</definedName>
    <definedName name="Service_Life3">'Inputs &amp; Outputs'!$C$31</definedName>
    <definedName name="Sponsor_ID_Number__CSJ__etc.">'Inputs &amp; Outputs'!$C$13</definedName>
    <definedName name="Value_of_Crash_Savings__2018_____000s">Calculations!$W$4:$W$36</definedName>
    <definedName name="Value_of_Statistical_Life_2018">'Value of Statistical Life'!$F$5:$F$9</definedName>
    <definedName name="Year_Open_to_Traffic?">'Inputs &amp; Outputs'!$C$16</definedName>
    <definedName name="Years_to_include_in_BCA_Analysis1">Calculations!$B$5</definedName>
    <definedName name="Years_to_include_in_BCA_Analysis2">Calculations!$B$6</definedName>
    <definedName name="Years_to_include_in_BCA_Analysis3">Calculations!$B$7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6" i="11" l="1"/>
  <c r="C42" i="11"/>
  <c r="C15" i="22" l="1"/>
  <c r="C14" i="22"/>
  <c r="C34" i="11"/>
  <c r="C33" i="11"/>
  <c r="B13" i="12" l="1"/>
  <c r="B12" i="12" l="1"/>
  <c r="J4" i="12" l="1"/>
  <c r="E5" i="12"/>
  <c r="E4" i="12"/>
  <c r="B8" i="12"/>
  <c r="C35" i="11"/>
  <c r="U4" i="12"/>
  <c r="S4" i="12"/>
  <c r="Q4" i="12"/>
  <c r="O4" i="12"/>
  <c r="V13" i="12" l="1"/>
  <c r="V12" i="12"/>
  <c r="V23" i="12"/>
  <c r="V24" i="12"/>
  <c r="V16" i="12"/>
  <c r="V22" i="12"/>
  <c r="V14" i="12"/>
  <c r="V4" i="12"/>
  <c r="V15" i="12"/>
  <c r="V25" i="12"/>
  <c r="V17" i="12"/>
  <c r="V26" i="12"/>
  <c r="V18" i="12"/>
  <c r="V27" i="12"/>
  <c r="V19" i="12"/>
  <c r="V29" i="12"/>
  <c r="V21" i="12"/>
  <c r="V6" i="12"/>
  <c r="V32" i="12"/>
  <c r="V11" i="12"/>
  <c r="V20" i="12"/>
  <c r="V30" i="12"/>
  <c r="V5" i="12"/>
  <c r="V31" i="12"/>
  <c r="V7" i="12"/>
  <c r="V28" i="12"/>
  <c r="V33" i="12"/>
  <c r="V8" i="12"/>
  <c r="V10" i="12"/>
  <c r="V34" i="12"/>
  <c r="V9" i="12"/>
  <c r="V35" i="12"/>
  <c r="V36" i="12"/>
  <c r="K4" i="12" l="1"/>
  <c r="C26" i="19"/>
  <c r="C25" i="19"/>
  <c r="C24" i="19"/>
  <c r="C23" i="19"/>
  <c r="C22" i="19"/>
  <c r="C21" i="19"/>
  <c r="C20" i="19"/>
  <c r="C19" i="19"/>
  <c r="C8" i="19"/>
  <c r="C7" i="19"/>
  <c r="C6" i="19"/>
  <c r="C5" i="19"/>
  <c r="I26" i="19"/>
  <c r="I25" i="19"/>
  <c r="I24" i="19"/>
  <c r="I23" i="19"/>
  <c r="I22" i="19"/>
  <c r="I21" i="19"/>
  <c r="I8" i="19"/>
  <c r="K8" i="19" s="1"/>
  <c r="I20" i="19"/>
  <c r="I19" i="19"/>
  <c r="I7" i="19"/>
  <c r="K7" i="19" s="1"/>
  <c r="I6" i="19"/>
  <c r="K6" i="19" s="1"/>
  <c r="I5" i="19"/>
  <c r="K5" i="19" s="1"/>
  <c r="C31" i="11"/>
  <c r="B7" i="12" s="1"/>
  <c r="C30" i="11"/>
  <c r="C29" i="11"/>
  <c r="C24" i="11"/>
  <c r="C28" i="11"/>
  <c r="C26" i="11"/>
  <c r="B6" i="12" s="1"/>
  <c r="C25" i="11"/>
  <c r="C23" i="11"/>
  <c r="I27" i="19" l="1"/>
  <c r="K27" i="19" s="1"/>
  <c r="L27" i="19" s="1"/>
  <c r="I28" i="19"/>
  <c r="K28" i="19" s="1"/>
  <c r="I29" i="19"/>
  <c r="K29" i="19" s="1"/>
  <c r="L29" i="19" s="1"/>
  <c r="I30" i="19"/>
  <c r="K30" i="19" s="1"/>
  <c r="L30" i="19" s="1"/>
  <c r="E5" i="19"/>
  <c r="E6" i="19"/>
  <c r="E7" i="19"/>
  <c r="E8" i="19"/>
  <c r="O8" i="19"/>
  <c r="Q8" i="19" s="1"/>
  <c r="C30" i="19"/>
  <c r="C29" i="19"/>
  <c r="C28" i="19"/>
  <c r="C27" i="19"/>
  <c r="R4" i="12"/>
  <c r="T4" i="12"/>
  <c r="J5" i="19"/>
  <c r="J6" i="19"/>
  <c r="J7" i="19"/>
  <c r="J8" i="19"/>
  <c r="D5" i="19" l="1"/>
  <c r="O6" i="19" l="1"/>
  <c r="Q6" i="19" s="1"/>
  <c r="O7" i="19"/>
  <c r="Q7" i="19" s="1"/>
  <c r="O19" i="19"/>
  <c r="O20" i="19"/>
  <c r="O21" i="19"/>
  <c r="O22" i="19"/>
  <c r="O23" i="19"/>
  <c r="O24" i="19"/>
  <c r="O25" i="19"/>
  <c r="O26" i="19"/>
  <c r="O5" i="19"/>
  <c r="Q5" i="19" s="1"/>
  <c r="P8" i="19" l="1"/>
  <c r="P7" i="19"/>
  <c r="P6" i="19"/>
  <c r="P5" i="19"/>
  <c r="E6" i="12" l="1"/>
  <c r="B25" i="12" l="1"/>
  <c r="B24" i="12"/>
  <c r="B23" i="12"/>
  <c r="B22" i="12"/>
  <c r="B26" i="12"/>
  <c r="D7" i="19"/>
  <c r="D8" i="19"/>
  <c r="D30" i="19"/>
  <c r="E30" i="19" s="1"/>
  <c r="D29" i="19"/>
  <c r="E29" i="19" s="1"/>
  <c r="C21" i="11"/>
  <c r="B5" i="12" s="1"/>
  <c r="C20" i="11"/>
  <c r="C19" i="11"/>
  <c r="C18" i="11"/>
  <c r="D28" i="19"/>
  <c r="E28" i="19" s="1"/>
  <c r="D27" i="19"/>
  <c r="E27" i="19" s="1"/>
  <c r="D6" i="19"/>
  <c r="J28" i="19" l="1"/>
  <c r="O28" i="19"/>
  <c r="J29" i="19"/>
  <c r="O29" i="19"/>
  <c r="J27" i="19"/>
  <c r="O27" i="19"/>
  <c r="J30" i="19"/>
  <c r="O30" i="19"/>
  <c r="P30" i="19" l="1"/>
  <c r="Q30" i="19"/>
  <c r="P27" i="19"/>
  <c r="Q27" i="19"/>
  <c r="P29" i="19"/>
  <c r="Q29" i="19"/>
  <c r="P28" i="19"/>
  <c r="Q28" i="19"/>
  <c r="L15" i="12"/>
  <c r="L23" i="12"/>
  <c r="L31" i="12"/>
  <c r="L16" i="12"/>
  <c r="L24" i="12"/>
  <c r="L32" i="12"/>
  <c r="L17" i="12"/>
  <c r="L25" i="12"/>
  <c r="L18" i="12"/>
  <c r="L26" i="12"/>
  <c r="L13" i="12"/>
  <c r="L19" i="12"/>
  <c r="L27" i="12"/>
  <c r="L22" i="12"/>
  <c r="L33" i="12"/>
  <c r="L20" i="12"/>
  <c r="L28" i="12"/>
  <c r="L21" i="12"/>
  <c r="L29" i="12"/>
  <c r="L14" i="12"/>
  <c r="L30" i="12"/>
  <c r="L9" i="12"/>
  <c r="L11" i="12"/>
  <c r="L6" i="12"/>
  <c r="L12" i="12"/>
  <c r="L7" i="12"/>
  <c r="L8" i="12"/>
  <c r="L10" i="12"/>
  <c r="L34" i="12"/>
  <c r="L35" i="12"/>
  <c r="L36" i="12"/>
  <c r="L5" i="12"/>
  <c r="U5" i="12" l="1"/>
  <c r="U6" i="12" s="1"/>
  <c r="U7" i="12" s="1"/>
  <c r="J5" i="12"/>
  <c r="J6" i="12" s="1"/>
  <c r="J7" i="12" s="1"/>
  <c r="J8" i="12" s="1"/>
  <c r="J9" i="12" s="1"/>
  <c r="K5" i="12"/>
  <c r="K6" i="12" s="1"/>
  <c r="K7" i="12" s="1"/>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J10" i="12" l="1"/>
  <c r="J11" i="12" s="1"/>
  <c r="J12" i="12" s="1"/>
  <c r="J13" i="12" s="1"/>
  <c r="J14" i="12" s="1"/>
  <c r="J15" i="12" s="1"/>
  <c r="J16" i="12" s="1"/>
  <c r="J17" i="12" s="1"/>
  <c r="J18" i="12" s="1"/>
  <c r="J19" i="12" s="1"/>
  <c r="J20" i="12" s="1"/>
  <c r="J21" i="12" s="1"/>
  <c r="J22" i="12" s="1"/>
  <c r="J23" i="12" s="1"/>
  <c r="J24" i="12" s="1"/>
  <c r="J25" i="12" s="1"/>
  <c r="J26" i="12" s="1"/>
  <c r="J27" i="12" s="1"/>
  <c r="J28" i="12" s="1"/>
  <c r="J29" i="12" s="1"/>
  <c r="J30" i="12" s="1"/>
  <c r="J31" i="12" s="1"/>
  <c r="J32" i="12" s="1"/>
  <c r="J33" i="12" s="1"/>
  <c r="J34" i="12" s="1"/>
  <c r="J35" i="12" s="1"/>
  <c r="J36" i="12" s="1"/>
  <c r="P4" i="12"/>
  <c r="W4" i="12" s="1"/>
  <c r="F8" i="19" l="1"/>
  <c r="F7" i="19"/>
  <c r="F6" i="19"/>
  <c r="F5" i="19"/>
  <c r="L5" i="19"/>
  <c r="L7" i="19"/>
  <c r="L6" i="19"/>
  <c r="L8" i="19"/>
  <c r="M4" i="12"/>
  <c r="N4" i="12" s="1"/>
  <c r="I5" i="12"/>
  <c r="T5" i="12" l="1"/>
  <c r="S5" i="12" s="1"/>
  <c r="R5" i="12"/>
  <c r="Q5" i="12" s="1"/>
  <c r="P5" i="12"/>
  <c r="M5" i="12"/>
  <c r="N5" i="12" s="1"/>
  <c r="O5" i="12" s="1"/>
  <c r="I6" i="12"/>
  <c r="W5" i="12" l="1"/>
  <c r="T6" i="12"/>
  <c r="S6" i="12" s="1"/>
  <c r="R6" i="12"/>
  <c r="Q6" i="12" s="1"/>
  <c r="P6" i="12"/>
  <c r="M6" i="12"/>
  <c r="N6" i="12" s="1"/>
  <c r="O6" i="12" s="1"/>
  <c r="I7" i="12"/>
  <c r="C21" i="2"/>
  <c r="B18" i="5" s="1"/>
  <c r="E17" i="5" s="1"/>
  <c r="C22" i="2"/>
  <c r="B19" i="5"/>
  <c r="E18" i="5" s="1"/>
  <c r="G4" i="7"/>
  <c r="G5" i="7" s="1"/>
  <c r="G4" i="5"/>
  <c r="G5" i="5" s="1"/>
  <c r="G6" i="5" s="1"/>
  <c r="G7" i="5" s="1"/>
  <c r="G8" i="5" s="1"/>
  <c r="G9" i="5" s="1"/>
  <c r="G10" i="5" s="1"/>
  <c r="G11" i="5" s="1"/>
  <c r="G12" i="5" s="1"/>
  <c r="G13" i="5" s="1"/>
  <c r="G14" i="5" s="1"/>
  <c r="B18" i="7"/>
  <c r="B17" i="7"/>
  <c r="B16" i="7"/>
  <c r="E17" i="7"/>
  <c r="W6" i="12" l="1"/>
  <c r="R7" i="12"/>
  <c r="Q7" i="12" s="1"/>
  <c r="T7" i="12"/>
  <c r="S7" i="12" s="1"/>
  <c r="P7" i="12"/>
  <c r="H4" i="7"/>
  <c r="I4" i="7" s="1"/>
  <c r="H10" i="5"/>
  <c r="C20" i="2"/>
  <c r="B21" i="5" s="1"/>
  <c r="C19" i="2"/>
  <c r="B20" i="5" s="1"/>
  <c r="H5" i="7"/>
  <c r="I5" i="7" s="1"/>
  <c r="G6" i="7"/>
  <c r="J14" i="5"/>
  <c r="G15" i="5"/>
  <c r="H14" i="5"/>
  <c r="M7" i="12"/>
  <c r="N7" i="12" s="1"/>
  <c r="O7" i="12" s="1"/>
  <c r="I8" i="12"/>
  <c r="H6" i="5"/>
  <c r="H11" i="5"/>
  <c r="J5" i="5"/>
  <c r="J13" i="5"/>
  <c r="J11" i="5"/>
  <c r="J10" i="5"/>
  <c r="J9" i="5"/>
  <c r="J4" i="5"/>
  <c r="J12" i="5"/>
  <c r="J8" i="5"/>
  <c r="J7" i="5"/>
  <c r="J6" i="5"/>
  <c r="H12" i="5"/>
  <c r="H4" i="5"/>
  <c r="H13" i="5"/>
  <c r="H5" i="5"/>
  <c r="H7" i="5"/>
  <c r="H8" i="5"/>
  <c r="H9" i="5"/>
  <c r="W7" i="12" l="1"/>
  <c r="T8" i="12"/>
  <c r="R8" i="12"/>
  <c r="P8" i="12"/>
  <c r="C15" i="2"/>
  <c r="B19" i="7" s="1"/>
  <c r="K4" i="5"/>
  <c r="G7" i="7"/>
  <c r="H6" i="7"/>
  <c r="I6" i="7" s="1"/>
  <c r="H15" i="5"/>
  <c r="I15" i="5" s="1"/>
  <c r="J15" i="5"/>
  <c r="K15" i="5" s="1"/>
  <c r="G16" i="5"/>
  <c r="M8" i="12"/>
  <c r="N8" i="12" s="1"/>
  <c r="K10" i="5"/>
  <c r="K12" i="5"/>
  <c r="K8" i="5"/>
  <c r="K14" i="5"/>
  <c r="K7" i="5"/>
  <c r="K5" i="5"/>
  <c r="K6" i="5"/>
  <c r="K13" i="5"/>
  <c r="K11" i="5"/>
  <c r="K9" i="5"/>
  <c r="I13" i="5"/>
  <c r="I9" i="12"/>
  <c r="I7" i="5"/>
  <c r="I8" i="5"/>
  <c r="I10" i="5"/>
  <c r="I9" i="5"/>
  <c r="I14" i="5"/>
  <c r="I12" i="5"/>
  <c r="I5" i="5"/>
  <c r="I6" i="5"/>
  <c r="I11" i="5"/>
  <c r="I4" i="5"/>
  <c r="R9" i="12" l="1"/>
  <c r="T9" i="12"/>
  <c r="P9" i="12"/>
  <c r="M9" i="12"/>
  <c r="N9" i="12" s="1"/>
  <c r="H16" i="5"/>
  <c r="J16" i="5"/>
  <c r="K16" i="5" s="1"/>
  <c r="G17" i="5"/>
  <c r="G8" i="7"/>
  <c r="H7" i="7"/>
  <c r="I7" i="7"/>
  <c r="J7" i="7" s="1"/>
  <c r="I10" i="12"/>
  <c r="J6" i="7"/>
  <c r="J5" i="7"/>
  <c r="J4" i="7"/>
  <c r="R10" i="12" l="1"/>
  <c r="T10" i="12"/>
  <c r="P10" i="12"/>
  <c r="M10" i="12"/>
  <c r="M11" i="12" s="1"/>
  <c r="H8" i="7"/>
  <c r="I8" i="7"/>
  <c r="J8" i="7" s="1"/>
  <c r="G9" i="7"/>
  <c r="J17" i="5"/>
  <c r="K17" i="5" s="1"/>
  <c r="G18" i="5"/>
  <c r="H17" i="5"/>
  <c r="I17" i="5" s="1"/>
  <c r="I16" i="5"/>
  <c r="I11" i="12"/>
  <c r="T11" i="12" l="1"/>
  <c r="R11" i="12"/>
  <c r="P11" i="12"/>
  <c r="N10" i="12"/>
  <c r="H9" i="7"/>
  <c r="I9" i="7" s="1"/>
  <c r="J9" i="7" s="1"/>
  <c r="G10" i="7"/>
  <c r="J18" i="5"/>
  <c r="K18" i="5" s="1"/>
  <c r="G19" i="5"/>
  <c r="H18" i="5"/>
  <c r="N11" i="12"/>
  <c r="M12" i="12"/>
  <c r="I12" i="12"/>
  <c r="T12" i="12" l="1"/>
  <c r="R12" i="12"/>
  <c r="P12" i="12"/>
  <c r="G11" i="7"/>
  <c r="H10" i="7"/>
  <c r="I10" i="7" s="1"/>
  <c r="J10" i="7" s="1"/>
  <c r="I18" i="5"/>
  <c r="H19" i="5"/>
  <c r="I19" i="5" s="1"/>
  <c r="J19" i="5"/>
  <c r="K19" i="5" s="1"/>
  <c r="G20" i="5"/>
  <c r="M13" i="12"/>
  <c r="N12" i="12"/>
  <c r="I13" i="12"/>
  <c r="T13" i="12" l="1"/>
  <c r="R13" i="12"/>
  <c r="P13" i="12"/>
  <c r="G12" i="7"/>
  <c r="H11" i="7"/>
  <c r="I11" i="7" s="1"/>
  <c r="J11" i="7" s="1"/>
  <c r="H20" i="5"/>
  <c r="I20" i="5" s="1"/>
  <c r="J20" i="5"/>
  <c r="K20" i="5" s="1"/>
  <c r="G21" i="5"/>
  <c r="M14" i="12"/>
  <c r="N13" i="12"/>
  <c r="I14" i="12"/>
  <c r="T14" i="12" l="1"/>
  <c r="R14" i="12"/>
  <c r="P14" i="12"/>
  <c r="J21" i="5"/>
  <c r="K21" i="5" s="1"/>
  <c r="G22" i="5"/>
  <c r="H21" i="5"/>
  <c r="H12" i="7"/>
  <c r="I12" i="7" s="1"/>
  <c r="J12" i="7" s="1"/>
  <c r="G13" i="7"/>
  <c r="M15" i="12"/>
  <c r="N14" i="12"/>
  <c r="I15" i="12"/>
  <c r="R15" i="12" l="1"/>
  <c r="T15" i="12"/>
  <c r="P15" i="12"/>
  <c r="I21" i="5"/>
  <c r="H13" i="7"/>
  <c r="I13" i="7" s="1"/>
  <c r="J13" i="7" s="1"/>
  <c r="G14" i="7"/>
  <c r="J22" i="5"/>
  <c r="K22" i="5" s="1"/>
  <c r="G23" i="5"/>
  <c r="H22" i="5"/>
  <c r="I22" i="5" s="1"/>
  <c r="M16" i="12"/>
  <c r="N15" i="12"/>
  <c r="I16" i="12"/>
  <c r="T16" i="12" l="1"/>
  <c r="R16" i="12"/>
  <c r="P16" i="12"/>
  <c r="H23" i="5"/>
  <c r="I23" i="5" s="1"/>
  <c r="J23" i="5"/>
  <c r="K23" i="5" s="1"/>
  <c r="G24" i="5"/>
  <c r="G15" i="7"/>
  <c r="H14" i="7"/>
  <c r="I14" i="7" s="1"/>
  <c r="J14" i="7" s="1"/>
  <c r="M17" i="12"/>
  <c r="N16" i="12"/>
  <c r="I17" i="12"/>
  <c r="T17" i="12" l="1"/>
  <c r="R17" i="12"/>
  <c r="P17" i="12"/>
  <c r="H24" i="5"/>
  <c r="I24" i="5" s="1"/>
  <c r="J24" i="5"/>
  <c r="K24" i="5" s="1"/>
  <c r="B11" i="5" s="1"/>
  <c r="B12" i="5" s="1"/>
  <c r="G25" i="5"/>
  <c r="G16" i="7"/>
  <c r="H15" i="7"/>
  <c r="I15" i="7"/>
  <c r="J15" i="7" s="1"/>
  <c r="M18" i="12"/>
  <c r="N17" i="12"/>
  <c r="I18" i="12"/>
  <c r="R18" i="12" l="1"/>
  <c r="T18" i="12"/>
  <c r="P18" i="12"/>
  <c r="H16" i="7"/>
  <c r="I16" i="7"/>
  <c r="J16" i="7" s="1"/>
  <c r="G17" i="7"/>
  <c r="J25" i="5"/>
  <c r="K25" i="5" s="1"/>
  <c r="G26" i="5"/>
  <c r="H25" i="5"/>
  <c r="I25" i="5" s="1"/>
  <c r="M19" i="12"/>
  <c r="N18" i="12"/>
  <c r="I19" i="12"/>
  <c r="R19" i="12" l="1"/>
  <c r="T19" i="12"/>
  <c r="C43" i="11"/>
  <c r="E13" i="19" s="1"/>
  <c r="P19" i="12"/>
  <c r="R5" i="19"/>
  <c r="R7" i="19"/>
  <c r="F14" i="19"/>
  <c r="R6" i="19"/>
  <c r="D14" i="19"/>
  <c r="C14" i="19"/>
  <c r="F13" i="19"/>
  <c r="E14" i="12" s="1"/>
  <c r="E14" i="19"/>
  <c r="D13" i="19"/>
  <c r="R8" i="19"/>
  <c r="C13" i="19"/>
  <c r="H17" i="7"/>
  <c r="I17" i="7" s="1"/>
  <c r="J17" i="7" s="1"/>
  <c r="G18" i="7"/>
  <c r="J26" i="5"/>
  <c r="K26" i="5" s="1"/>
  <c r="G27" i="5"/>
  <c r="H26" i="5"/>
  <c r="I26" i="5" s="1"/>
  <c r="M20" i="12"/>
  <c r="N19" i="12"/>
  <c r="I20" i="12"/>
  <c r="E12" i="12" l="1"/>
  <c r="E13" i="12"/>
  <c r="F28" i="19"/>
  <c r="F30" i="19"/>
  <c r="F34" i="19" s="1"/>
  <c r="E44" i="12" s="1"/>
  <c r="F44" i="12" s="1"/>
  <c r="F29" i="19"/>
  <c r="E34" i="19" s="1"/>
  <c r="E43" i="12" s="1"/>
  <c r="F43" i="12" s="1"/>
  <c r="F27" i="19"/>
  <c r="C34" i="19" s="1"/>
  <c r="E41" i="12" s="1"/>
  <c r="F41" i="12" s="1"/>
  <c r="C16" i="19"/>
  <c r="E11" i="12"/>
  <c r="D16" i="19"/>
  <c r="F16" i="19"/>
  <c r="E16" i="19"/>
  <c r="L28" i="19"/>
  <c r="R28" i="19"/>
  <c r="R30" i="19"/>
  <c r="R27" i="19"/>
  <c r="R29" i="19"/>
  <c r="F4" i="12"/>
  <c r="T20" i="12"/>
  <c r="R20" i="12"/>
  <c r="P20" i="12"/>
  <c r="G19" i="7"/>
  <c r="H18" i="7"/>
  <c r="I18" i="7" s="1"/>
  <c r="J18" i="7" s="1"/>
  <c r="H27" i="5"/>
  <c r="I27" i="5" s="1"/>
  <c r="J27" i="5"/>
  <c r="K27" i="5" s="1"/>
  <c r="G28" i="5"/>
  <c r="M21" i="12"/>
  <c r="N20" i="12"/>
  <c r="I21" i="12"/>
  <c r="D34" i="19" l="1"/>
  <c r="E42" i="12" s="1"/>
  <c r="F42" i="12" s="1"/>
  <c r="T21" i="12"/>
  <c r="R21" i="12"/>
  <c r="P21" i="12"/>
  <c r="H28" i="5"/>
  <c r="I28" i="5" s="1"/>
  <c r="J28" i="5"/>
  <c r="K28" i="5" s="1"/>
  <c r="G29" i="5"/>
  <c r="G20" i="7"/>
  <c r="H19" i="7"/>
  <c r="I19" i="7" s="1"/>
  <c r="J19" i="7" s="1"/>
  <c r="M22" i="12"/>
  <c r="N21" i="12"/>
  <c r="I22" i="12"/>
  <c r="T22" i="12" l="1"/>
  <c r="R22" i="12"/>
  <c r="P22" i="12"/>
  <c r="H20" i="7"/>
  <c r="I20" i="7" s="1"/>
  <c r="J20" i="7" s="1"/>
  <c r="G21" i="7"/>
  <c r="J29" i="5"/>
  <c r="K29" i="5" s="1"/>
  <c r="H29" i="5"/>
  <c r="M23" i="12"/>
  <c r="N22" i="12"/>
  <c r="I23" i="12"/>
  <c r="R23" i="12" l="1"/>
  <c r="T23" i="12"/>
  <c r="P23" i="12"/>
  <c r="H21" i="7"/>
  <c r="I21" i="7" s="1"/>
  <c r="J21" i="7" s="1"/>
  <c r="G22" i="7"/>
  <c r="I29" i="5"/>
  <c r="B13" i="5"/>
  <c r="M24" i="12"/>
  <c r="N23" i="12"/>
  <c r="I24" i="12"/>
  <c r="R24" i="12" l="1"/>
  <c r="T24" i="12"/>
  <c r="P24" i="12"/>
  <c r="X4" i="12"/>
  <c r="G23" i="7"/>
  <c r="H22" i="7"/>
  <c r="I22" i="7" s="1"/>
  <c r="J22" i="7" s="1"/>
  <c r="M25" i="12"/>
  <c r="N24" i="12"/>
  <c r="I25" i="12"/>
  <c r="T25" i="12" l="1"/>
  <c r="R25" i="12"/>
  <c r="P25" i="12"/>
  <c r="X5" i="12"/>
  <c r="G24" i="7"/>
  <c r="H23" i="7"/>
  <c r="I23" i="7"/>
  <c r="J23" i="7" s="1"/>
  <c r="M26" i="12"/>
  <c r="N25" i="12"/>
  <c r="I26" i="12"/>
  <c r="T26" i="12" l="1"/>
  <c r="R26" i="12"/>
  <c r="P26" i="12"/>
  <c r="X6" i="12"/>
  <c r="H24" i="7"/>
  <c r="I24" i="7"/>
  <c r="J24" i="7" s="1"/>
  <c r="G25" i="7"/>
  <c r="M27" i="12"/>
  <c r="N26" i="12"/>
  <c r="I27" i="12"/>
  <c r="R27" i="12" l="1"/>
  <c r="T27" i="12"/>
  <c r="P27" i="12"/>
  <c r="H25" i="7"/>
  <c r="I25" i="7" s="1"/>
  <c r="J25" i="7" s="1"/>
  <c r="G26" i="7"/>
  <c r="M28" i="12"/>
  <c r="N27" i="12"/>
  <c r="I28" i="12"/>
  <c r="T28" i="12" l="1"/>
  <c r="R28" i="12"/>
  <c r="P28" i="12"/>
  <c r="G27" i="7"/>
  <c r="H26" i="7"/>
  <c r="I26" i="7" s="1"/>
  <c r="J26" i="7" s="1"/>
  <c r="M29" i="12"/>
  <c r="N28" i="12"/>
  <c r="I29" i="12"/>
  <c r="R29" i="12" l="1"/>
  <c r="T29" i="12"/>
  <c r="P29" i="12"/>
  <c r="G28" i="7"/>
  <c r="H27" i="7"/>
  <c r="I27" i="7"/>
  <c r="J27" i="7" s="1"/>
  <c r="N29" i="12"/>
  <c r="M30" i="12"/>
  <c r="N30" i="12" s="1"/>
  <c r="I30" i="12"/>
  <c r="R30" i="12" l="1"/>
  <c r="T30" i="12"/>
  <c r="P30" i="12"/>
  <c r="H28" i="7"/>
  <c r="I28" i="7"/>
  <c r="J28" i="7" s="1"/>
  <c r="G29" i="7"/>
  <c r="M31" i="12"/>
  <c r="N31" i="12" s="1"/>
  <c r="I31" i="12"/>
  <c r="I32" i="12" l="1"/>
  <c r="R31" i="12"/>
  <c r="T31" i="12"/>
  <c r="P31" i="12"/>
  <c r="H29" i="7"/>
  <c r="I29" i="7" s="1"/>
  <c r="J29" i="7" s="1"/>
  <c r="B11" i="7" s="1"/>
  <c r="B12" i="7" s="1"/>
  <c r="I33" i="12"/>
  <c r="M32" i="12"/>
  <c r="N32" i="12" s="1"/>
  <c r="R33" i="12" l="1"/>
  <c r="T33" i="12"/>
  <c r="P33" i="12"/>
  <c r="T32" i="12"/>
  <c r="R32" i="12"/>
  <c r="P32" i="12"/>
  <c r="I34" i="12"/>
  <c r="M33" i="12"/>
  <c r="N33" i="12" s="1"/>
  <c r="T34" i="12" l="1"/>
  <c r="R34" i="12"/>
  <c r="P34" i="12"/>
  <c r="I35" i="12"/>
  <c r="M34" i="12"/>
  <c r="N34" i="12" s="1"/>
  <c r="R35" i="12" l="1"/>
  <c r="T35" i="12"/>
  <c r="P35" i="12"/>
  <c r="I36" i="12"/>
  <c r="M35" i="12"/>
  <c r="N35" i="12" s="1"/>
  <c r="T36" i="12" l="1"/>
  <c r="R36" i="12"/>
  <c r="P36" i="12"/>
  <c r="F5" i="12"/>
  <c r="F6" i="12" s="1"/>
  <c r="M36" i="12"/>
  <c r="N36" i="12" s="1"/>
  <c r="E53" i="12" l="1"/>
  <c r="U8" i="12" s="1"/>
  <c r="U9" i="12" s="1"/>
  <c r="U10" i="12" s="1"/>
  <c r="U11" i="12" s="1"/>
  <c r="U12" i="12" s="1"/>
  <c r="U13" i="12" s="1"/>
  <c r="U14" i="12" s="1"/>
  <c r="U15" i="12" s="1"/>
  <c r="U16" i="12" s="1"/>
  <c r="U17" i="12" s="1"/>
  <c r="U18" i="12" s="1"/>
  <c r="U19" i="12" s="1"/>
  <c r="U20" i="12" s="1"/>
  <c r="U21" i="12" s="1"/>
  <c r="U22" i="12" s="1"/>
  <c r="U23" i="12" s="1"/>
  <c r="U24" i="12" s="1"/>
  <c r="U25" i="12" s="1"/>
  <c r="U26" i="12" s="1"/>
  <c r="U27" i="12" s="1"/>
  <c r="U28" i="12" s="1"/>
  <c r="U29" i="12" s="1"/>
  <c r="U30" i="12" s="1"/>
  <c r="U31" i="12" s="1"/>
  <c r="U32" i="12" s="1"/>
  <c r="U33" i="12" s="1"/>
  <c r="U34" i="12" s="1"/>
  <c r="U35" i="12" s="1"/>
  <c r="U36" i="12" s="1"/>
  <c r="F14" i="12"/>
  <c r="F12" i="12"/>
  <c r="F13" i="12"/>
  <c r="F11" i="12"/>
  <c r="E22" i="12" l="1"/>
  <c r="F22" i="12" s="1"/>
  <c r="E21" i="12"/>
  <c r="F21" i="12" s="1"/>
  <c r="E23" i="12"/>
  <c r="F23" i="12" s="1"/>
  <c r="E24" i="12"/>
  <c r="F24" i="12" s="1"/>
  <c r="E50" i="12"/>
  <c r="X7" i="12"/>
  <c r="E31" i="12" l="1"/>
  <c r="F31" i="12" s="1"/>
  <c r="E34" i="12"/>
  <c r="F34" i="12" s="1"/>
  <c r="E33" i="12"/>
  <c r="F33" i="12" s="1"/>
  <c r="E32" i="12"/>
  <c r="F32" i="12" s="1"/>
  <c r="O8" i="12"/>
  <c r="E51" i="12"/>
  <c r="O9" i="12" l="1"/>
  <c r="O10" i="12" s="1"/>
  <c r="E52" i="12"/>
  <c r="Q8" i="12"/>
  <c r="S8" i="12" l="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E54" i="12"/>
  <c r="Q9" i="12"/>
  <c r="O11" i="12"/>
  <c r="W9" i="12" l="1"/>
  <c r="X9" i="12" s="1"/>
  <c r="W8" i="12"/>
  <c r="X8" i="12" s="1"/>
  <c r="O12" i="12"/>
  <c r="Q10" i="12"/>
  <c r="W10" i="12" s="1"/>
  <c r="Q11" i="12" l="1"/>
  <c r="W11" i="12" s="1"/>
  <c r="X10" i="12"/>
  <c r="O13" i="12"/>
  <c r="O14" i="12" l="1"/>
  <c r="Q12" i="12"/>
  <c r="W12" i="12" s="1"/>
  <c r="X11" i="12"/>
  <c r="Q13" i="12" l="1"/>
  <c r="W13" i="12" s="1"/>
  <c r="X12" i="12"/>
  <c r="O15" i="12"/>
  <c r="O16" i="12" l="1"/>
  <c r="Q14" i="12"/>
  <c r="W14" i="12" s="1"/>
  <c r="X13" i="12"/>
  <c r="Q15" i="12" l="1"/>
  <c r="W15" i="12" s="1"/>
  <c r="X14" i="12"/>
  <c r="O17" i="12"/>
  <c r="O18" i="12" l="1"/>
  <c r="Q16" i="12"/>
  <c r="W16" i="12" s="1"/>
  <c r="X15" i="12"/>
  <c r="Q17" i="12" l="1"/>
  <c r="W17" i="12" s="1"/>
  <c r="X16" i="12"/>
  <c r="O19" i="12"/>
  <c r="O20" i="12" l="1"/>
  <c r="Q18" i="12"/>
  <c r="W18" i="12" s="1"/>
  <c r="X17" i="12"/>
  <c r="Q19" i="12" l="1"/>
  <c r="W19" i="12" s="1"/>
  <c r="X18" i="12"/>
  <c r="O21" i="12"/>
  <c r="O22" i="12" l="1"/>
  <c r="Q20" i="12"/>
  <c r="W20" i="12" s="1"/>
  <c r="X19" i="12"/>
  <c r="Q21" i="12" l="1"/>
  <c r="W21" i="12" s="1"/>
  <c r="X20" i="12"/>
  <c r="O23" i="12"/>
  <c r="O24" i="12" l="1"/>
  <c r="Q22" i="12"/>
  <c r="W22" i="12" s="1"/>
  <c r="X21" i="12"/>
  <c r="Q23" i="12" l="1"/>
  <c r="W23" i="12" s="1"/>
  <c r="X22" i="12"/>
  <c r="O25" i="12"/>
  <c r="O26" i="12" l="1"/>
  <c r="Q24" i="12"/>
  <c r="W24" i="12" s="1"/>
  <c r="X23" i="12"/>
  <c r="Q25" i="12" l="1"/>
  <c r="W25" i="12" s="1"/>
  <c r="X24" i="12"/>
  <c r="O27" i="12"/>
  <c r="O28" i="12" l="1"/>
  <c r="Q26" i="12"/>
  <c r="W26" i="12" s="1"/>
  <c r="X25" i="12"/>
  <c r="Q27" i="12" l="1"/>
  <c r="W27" i="12" s="1"/>
  <c r="X26" i="12"/>
  <c r="O29" i="12"/>
  <c r="O30" i="12" l="1"/>
  <c r="Q28" i="12"/>
  <c r="W28" i="12" s="1"/>
  <c r="X27" i="12"/>
  <c r="Q29" i="12" l="1"/>
  <c r="W29" i="12" s="1"/>
  <c r="X28" i="12"/>
  <c r="O31" i="12"/>
  <c r="O32" i="12" l="1"/>
  <c r="Q30" i="12"/>
  <c r="W30" i="12" s="1"/>
  <c r="X29" i="12"/>
  <c r="Q31" i="12" l="1"/>
  <c r="W31" i="12" s="1"/>
  <c r="X30" i="12"/>
  <c r="O33" i="12"/>
  <c r="O34" i="12" l="1"/>
  <c r="Q32" i="12"/>
  <c r="W32" i="12" s="1"/>
  <c r="X31" i="12"/>
  <c r="Q33" i="12" l="1"/>
  <c r="W33" i="12" s="1"/>
  <c r="X32" i="12"/>
  <c r="O35" i="12"/>
  <c r="O36" i="12" l="1"/>
  <c r="Q34" i="12"/>
  <c r="W34" i="12" s="1"/>
  <c r="X33" i="12"/>
  <c r="Q35" i="12" l="1"/>
  <c r="W35" i="12" s="1"/>
  <c r="X34" i="12"/>
  <c r="Q36" i="12" l="1"/>
  <c r="X35" i="12"/>
  <c r="W36" i="12" l="1"/>
  <c r="X36" i="12" s="1"/>
  <c r="X37" i="12" s="1"/>
  <c r="C49" i="11" s="1"/>
</calcChain>
</file>

<file path=xl/sharedStrings.xml><?xml version="1.0" encoding="utf-8"?>
<sst xmlns="http://schemas.openxmlformats.org/spreadsheetml/2006/main" count="882" uniqueCount="443">
  <si>
    <t>Project Information</t>
  </si>
  <si>
    <t>Assumptions</t>
  </si>
  <si>
    <t>Base Year</t>
  </si>
  <si>
    <t>Discount Rate</t>
  </si>
  <si>
    <t>Vehicle Occupancy</t>
  </si>
  <si>
    <t>Name:</t>
  </si>
  <si>
    <t>ID Number:</t>
  </si>
  <si>
    <t>New HOV?</t>
  </si>
  <si>
    <t>Value of Travel Time (VoTT)</t>
  </si>
  <si>
    <t>With Project</t>
  </si>
  <si>
    <t>Control Values</t>
  </si>
  <si>
    <t>YES</t>
  </si>
  <si>
    <t>NO</t>
  </si>
  <si>
    <t>Year</t>
  </si>
  <si>
    <t>Facility V/C Ratio</t>
  </si>
  <si>
    <t>Interim Calculations</t>
  </si>
  <si>
    <t>Annual Days of Travel</t>
  </si>
  <si>
    <t>Delay B/C Ratio</t>
  </si>
  <si>
    <t>BCA Results</t>
  </si>
  <si>
    <t>Daily System/Facility Data</t>
  </si>
  <si>
    <t>Annual VHT Savings</t>
  </si>
  <si>
    <t>Common Values:</t>
  </si>
  <si>
    <t>Delay Analysis Values:</t>
  </si>
  <si>
    <t>Emissions Reduction Values:</t>
  </si>
  <si>
    <t>Base Year for Analysis</t>
  </si>
  <si>
    <t>Real Discount Rate</t>
  </si>
  <si>
    <t>Applicable Project Life</t>
  </si>
  <si>
    <t>See Texas Guide to Accepted Mobile Source Emission Reduction Strategies (MOSER), page A.8.9</t>
  </si>
  <si>
    <r>
      <t xml:space="preserve">VOC emissions factor, </t>
    </r>
    <r>
      <rPr>
        <b/>
        <u/>
        <sz val="11"/>
        <color theme="1"/>
        <rFont val="Calibri"/>
        <family val="2"/>
        <scheme val="minor"/>
      </rPr>
      <t>Ped/Bike Projects Only</t>
    </r>
    <r>
      <rPr>
        <sz val="11"/>
        <color theme="1"/>
        <rFont val="Calibri"/>
        <family val="2"/>
        <scheme val="minor"/>
      </rPr>
      <t xml:space="preserve"> (g/VMT)</t>
    </r>
  </si>
  <si>
    <r>
      <t xml:space="preserve">NOx emissions factor, </t>
    </r>
    <r>
      <rPr>
        <b/>
        <u/>
        <sz val="11"/>
        <color theme="1"/>
        <rFont val="Calibri"/>
        <family val="2"/>
        <scheme val="minor"/>
      </rPr>
      <t>Ped/Bike Projects Only</t>
    </r>
    <r>
      <rPr>
        <sz val="11"/>
        <color theme="1"/>
        <rFont val="Calibri"/>
        <family val="2"/>
        <scheme val="minor"/>
      </rPr>
      <t xml:space="preserve"> (g/VMT)</t>
    </r>
  </si>
  <si>
    <t>VOC Emissions Factor (g/mi)</t>
  </si>
  <si>
    <t>Nox Emissions Factor (g/mi)</t>
  </si>
  <si>
    <t>Emissions Reduction Estimates</t>
  </si>
  <si>
    <t>VMT Reduced (Daily)</t>
  </si>
  <si>
    <t>AND</t>
  </si>
  <si>
    <t>OR</t>
  </si>
  <si>
    <t>Project Life (see MOSER page A.8.9)</t>
  </si>
  <si>
    <t>Bike/Ped or LCI?</t>
  </si>
  <si>
    <t>VOC Emissions Reduced (metric tons/yr)</t>
  </si>
  <si>
    <t>NOx Emissions Reduced (metric tons/yr)</t>
  </si>
  <si>
    <t>NOx Reduced (tonnes/yr)</t>
  </si>
  <si>
    <t>VOC Reduced (tonnes/year)</t>
  </si>
  <si>
    <t>IDAS Vehicle Occupancy</t>
  </si>
  <si>
    <t>Annual VHT Reduction (Vehicles)</t>
  </si>
  <si>
    <t>Annual PHT Reduction (IDAS)</t>
  </si>
  <si>
    <t>Discounted Delay Benefits (2015 $, '000s)</t>
  </si>
  <si>
    <t>Year Open to Traffic?</t>
  </si>
  <si>
    <t>Total Cost (2015 $, '000s)</t>
  </si>
  <si>
    <t>Federal Funding Req. (2015 $, '000s)</t>
  </si>
  <si>
    <t>Value of Delay Savings (2013 $, '000s)</t>
  </si>
  <si>
    <t>Value of VOC Savings (2013 $, '000s)</t>
  </si>
  <si>
    <t>Value of NOx Savings (2013 $, '000s)</t>
  </si>
  <si>
    <t>Discounted Emissions Benefits (2015 $, '000s)</t>
  </si>
  <si>
    <t>Annualized Cost Effectiveness (2015 $, '000s/tonne)</t>
  </si>
  <si>
    <t>Volatile Organic Compounds (VOCs), $ / metric ton (2015 $)</t>
  </si>
  <si>
    <t>Nitrogen oxides (NOx), $ / metric ton (2015 $)</t>
  </si>
  <si>
    <t>Safety Analysis Values:</t>
  </si>
  <si>
    <t>Values for non-fatal injuries provided in "Value of Statistical Life" tab.</t>
  </si>
  <si>
    <t>Daily Travel Demand</t>
  </si>
  <si>
    <t>Demand Growth</t>
  </si>
  <si>
    <t>Benefit Cap</t>
  </si>
  <si>
    <t>Real wage growth rate</t>
  </si>
  <si>
    <t>n/a</t>
  </si>
  <si>
    <t>Benefit Results</t>
  </si>
  <si>
    <t>INPUTS</t>
  </si>
  <si>
    <t>OUTPUTS</t>
  </si>
  <si>
    <t>Service Life (years):</t>
  </si>
  <si>
    <t>Appropriate Crash Reduction Factor (%):</t>
  </si>
  <si>
    <t>Volatile Organic Compounds (VOCs), $ / metric ton (2018 $)</t>
  </si>
  <si>
    <t>Nitrogen oxides (NOx), $ / metric ton (2018 $)</t>
  </si>
  <si>
    <t>Value of Travel Time (VoTT), 2018 $</t>
  </si>
  <si>
    <t>Limits (From)</t>
  </si>
  <si>
    <t>Limits (To)</t>
  </si>
  <si>
    <t>Length (in Miles)</t>
  </si>
  <si>
    <t>County</t>
  </si>
  <si>
    <t>Facility Type</t>
  </si>
  <si>
    <t>K</t>
  </si>
  <si>
    <t>A</t>
  </si>
  <si>
    <t>B</t>
  </si>
  <si>
    <t>C</t>
  </si>
  <si>
    <t>Volume</t>
  </si>
  <si>
    <t>Savings Discounted @ 7% ($ 000')</t>
  </si>
  <si>
    <t>Project Title:</t>
  </si>
  <si>
    <t>Street Name:</t>
  </si>
  <si>
    <t>Work Code</t>
  </si>
  <si>
    <t>Work Type (TxDOT HSIP)</t>
  </si>
  <si>
    <t>Crash Reduction Factor</t>
  </si>
  <si>
    <t>Add Left Turn Lane</t>
  </si>
  <si>
    <t>Add Right Turn Lane</t>
  </si>
  <si>
    <t>Add Through Lane</t>
  </si>
  <si>
    <t>Close Crossover</t>
  </si>
  <si>
    <t>Construct Interchange</t>
  </si>
  <si>
    <r>
      <t>Construct Paved Shoulders (</t>
    </r>
    <r>
      <rPr>
        <u/>
        <sz val="11"/>
        <color theme="1"/>
        <rFont val="Calibri"/>
        <family val="2"/>
        <scheme val="minor"/>
      </rPr>
      <t>&gt;</t>
    </r>
    <r>
      <rPr>
        <sz val="11"/>
        <color theme="1"/>
        <rFont val="Calibri"/>
        <family val="2"/>
        <scheme val="minor"/>
      </rPr>
      <t xml:space="preserve"> 5ft)</t>
    </r>
  </si>
  <si>
    <t>Construct Paved Shoulders (1 – 4 ft.)</t>
  </si>
  <si>
    <t>Construct Pedestrian Over/Under Pass</t>
  </si>
  <si>
    <t>Construct Turn Arounds</t>
  </si>
  <si>
    <t>Convert 2-Lane Facility to 4-Lane Divided</t>
  </si>
  <si>
    <t>Convert to One-Way Frontage Roads</t>
  </si>
  <si>
    <t>Flatten Side Slope</t>
  </si>
  <si>
    <t>Grade Separation</t>
  </si>
  <si>
    <t>Improve Horizontal Alignment</t>
  </si>
  <si>
    <t>Improve Pedestrian Signals</t>
  </si>
  <si>
    <t>Improve School Zone</t>
  </si>
  <si>
    <t>Improve Traffic Signals</t>
  </si>
  <si>
    <t>Improve Vertical Alignment</t>
  </si>
  <si>
    <t>Increase Superelevation</t>
  </si>
  <si>
    <t>Install Advance Warning Signals (Curve)</t>
  </si>
  <si>
    <t>Install Advance Warning Signals (Intersection — Existing Signal, Flashing Beacon or STOP Signs)</t>
  </si>
  <si>
    <t>Install Advance Warning Signals and Signs</t>
  </si>
  <si>
    <t>Install Advance Warning Signals and Signs (Curve)</t>
  </si>
  <si>
    <t>Install Advance Warning Signals and Signs (Intersection — Existing Signal, Flashing Beacon or STOP Signs)</t>
  </si>
  <si>
    <t>Install Advance Warning Signs (Curve — Existing Warning Signals)</t>
  </si>
  <si>
    <t>Install Advance Warning Signs (Intersection — Existing Warning Signals</t>
  </si>
  <si>
    <t>Install Centerline Striping</t>
  </si>
  <si>
    <t>Install Continuous Turn Lane</t>
  </si>
  <si>
    <t>Install Delineators</t>
  </si>
  <si>
    <t>Install Edge Marking</t>
  </si>
  <si>
    <t>Install Impact Attenuation System</t>
  </si>
  <si>
    <t>Install Intersection Flashing Beacon</t>
  </si>
  <si>
    <t>Install Median Barrier</t>
  </si>
  <si>
    <t>Install Passing Lanes on 2-Lane Road</t>
  </si>
  <si>
    <t>Install Pavement Markings</t>
  </si>
  <si>
    <t>Install Pedestrian Crosswalk</t>
  </si>
  <si>
    <t>Install Pedestrian Signal</t>
  </si>
  <si>
    <t>Install Raised Median</t>
  </si>
  <si>
    <t>Install School Zones</t>
  </si>
  <si>
    <t>Install Sidewalks</t>
  </si>
  <si>
    <t>Install Traffic Signal</t>
  </si>
  <si>
    <t>Install Warning/Guide Signs</t>
  </si>
  <si>
    <t>Interconnect Signals</t>
  </si>
  <si>
    <t>Lengthen Left Turn Lane</t>
  </si>
  <si>
    <t>Lengthen Right Turn Lane</t>
  </si>
  <si>
    <t>Replace Flashing Beacon with a Traffic Signal</t>
  </si>
  <si>
    <t>Resurfacing</t>
  </si>
  <si>
    <t>Safety Lighting</t>
  </si>
  <si>
    <t>Safety Lighting at Intersection</t>
  </si>
  <si>
    <t>Safety Treat Fixed Objects</t>
  </si>
  <si>
    <t>Widen Bridge</t>
  </si>
  <si>
    <t>Widen Lane(s)</t>
  </si>
  <si>
    <t>Widen Paved Shoulder (to 5 ft. or less)</t>
  </si>
  <si>
    <t>Widen Paved Shoulders (to &gt; 5 ft.)</t>
  </si>
  <si>
    <t>Work Type Code</t>
  </si>
  <si>
    <t>Proposed Improvements Information</t>
  </si>
  <si>
    <t>Data entered by the sponsors</t>
  </si>
  <si>
    <t>Benefits calculated by the template</t>
  </si>
  <si>
    <t>Crash Savings in Year Open to Traffic</t>
  </si>
  <si>
    <t>Service life</t>
  </si>
  <si>
    <t>2016 -2020 Crash Data</t>
  </si>
  <si>
    <t>Total Fatalities</t>
  </si>
  <si>
    <t>Total Injury</t>
  </si>
  <si>
    <t>Motorist Fatalities</t>
  </si>
  <si>
    <t>Pedestrian Fatalities</t>
  </si>
  <si>
    <t>Cyclist Fatalities</t>
  </si>
  <si>
    <t>Preventable Crash Type</t>
  </si>
  <si>
    <t>Preventable Crash types</t>
  </si>
  <si>
    <t>Vehicle Movements/Manner of Collision, Roadway
Related</t>
  </si>
  <si>
    <t xml:space="preserve">Intersection Related </t>
  </si>
  <si>
    <t>Intersection Related</t>
  </si>
  <si>
    <t>Intersection Related, Vehicle Movements/Manner of
Collision</t>
  </si>
  <si>
    <t>Pedestrian, Cyclist</t>
  </si>
  <si>
    <t>All</t>
  </si>
  <si>
    <t>Roadway Related</t>
  </si>
  <si>
    <t>Roadway Related, Dark light condition</t>
  </si>
  <si>
    <t>Intersection Related, Vehicle Movements/Manner of
Collision, Pedestrian, Cyclist</t>
  </si>
  <si>
    <t>Vehicle Movements/Manner of Collision</t>
  </si>
  <si>
    <t>Roadway Related, Vehicle Movements/Manner of Collision</t>
  </si>
  <si>
    <t>Part of Roadway No. 1 Involved, (Vehicle Movements/Manner
of Collision</t>
  </si>
  <si>
    <t>Object Struck</t>
  </si>
  <si>
    <t>Roadway Related,  Vehicle Movements/Manner of Collision</t>
  </si>
  <si>
    <t>Surface Condition</t>
  </si>
  <si>
    <t>Light Condition - Dark</t>
  </si>
  <si>
    <t>Roadway Related/Off road</t>
  </si>
  <si>
    <t>Intersection Related, Vehicle Movements/Manner of Collision</t>
  </si>
  <si>
    <t>Part of Roadway Involved, Vehicle Movements/Manner of Collision</t>
  </si>
  <si>
    <t>Vehicle Movements/Manner of Collision, Intersection Related</t>
  </si>
  <si>
    <t>Part of Roadway Involved</t>
  </si>
  <si>
    <t>Roadway Related, Vehicle Movements/Manner of Collision, Surface condition - wet, slush, ice, snow</t>
  </si>
  <si>
    <t>Value of Injuries, US DOT BCA Guidance for Discretionary Grant Programs (2021)</t>
  </si>
  <si>
    <t>2030-2045 Demand Growth</t>
  </si>
  <si>
    <r>
      <t xml:space="preserve">Year Open to Traffic? </t>
    </r>
    <r>
      <rPr>
        <b/>
        <sz val="11"/>
        <color theme="1"/>
        <rFont val="Calibri"/>
        <family val="2"/>
        <scheme val="minor"/>
      </rPr>
      <t>(Must be &gt;=2025)</t>
    </r>
  </si>
  <si>
    <t>Vehicle Movements/Manner of Collision (Roadway related)</t>
  </si>
  <si>
    <t>Install Overhead Signs</t>
  </si>
  <si>
    <t xml:space="preserve">Install LED Flashing Chevrons (Curve) </t>
  </si>
  <si>
    <t>Install Chevrons</t>
  </si>
  <si>
    <t>Install Flashing Yellow Arrow</t>
  </si>
  <si>
    <t xml:space="preserve">Install Surface Mounted Delineators on Centerline </t>
  </si>
  <si>
    <t xml:space="preserve">Intersection Related, Vehicle Movements/Manner of
Collision, </t>
  </si>
  <si>
    <t xml:space="preserve">Roadway Related or Surface Condition </t>
  </si>
  <si>
    <t>High Friction Surface Treatment (Curve)</t>
  </si>
  <si>
    <t>High Friction Surface Treatment (Intersection)</t>
  </si>
  <si>
    <t>Provide Additional Paved Surface Width</t>
  </si>
  <si>
    <t>Milled Centerline Rumble Strips</t>
  </si>
  <si>
    <t>Profile Centerline Markings</t>
  </si>
  <si>
    <t>Construct a Roundabout</t>
  </si>
  <si>
    <t>Transverse Rumble Strips</t>
  </si>
  <si>
    <t>Raised Centerline Rumble Strips</t>
  </si>
  <si>
    <t>Value of Crash Savings ($000')</t>
  </si>
  <si>
    <t>Source: https://ftp.txdot.gov/pub/txdot-info/trf/hsip/hsip-guidance-june-2020.pdf</t>
  </si>
  <si>
    <t>Preventable Crash types (HSIP guidelines)</t>
  </si>
  <si>
    <t>INTERSECTION RELATED CRASHES</t>
  </si>
  <si>
    <t>Motorist Serious Injuries</t>
  </si>
  <si>
    <t>Motorist Non-Serious Injuries</t>
  </si>
  <si>
    <t>Motorist Possible Injuries</t>
  </si>
  <si>
    <t>Pedestrian Non-Serious Injuries</t>
  </si>
  <si>
    <t>Pedestrian Serious Injuries</t>
  </si>
  <si>
    <t>Pedestrian Possible Injuries</t>
  </si>
  <si>
    <t>Cyclist Serious Injuries</t>
  </si>
  <si>
    <t>Cyclist Non-Serious Injuries</t>
  </si>
  <si>
    <t>Cyclist possible Injuries</t>
  </si>
  <si>
    <t>Average Annual  Crashes</t>
  </si>
  <si>
    <t>Total Serious Injuries</t>
  </si>
  <si>
    <t>Total Non-Serious Injuries</t>
  </si>
  <si>
    <t>Total Possible Injuries</t>
  </si>
  <si>
    <t>KABCO Level</t>
  </si>
  <si>
    <t>No Injury</t>
  </si>
  <si>
    <t>Possible Injury</t>
  </si>
  <si>
    <t xml:space="preserve">Non-incapacitating (Non-Serious) </t>
  </si>
  <si>
    <t>Incapacitating (Serious)</t>
  </si>
  <si>
    <t>Killed (Fatality)</t>
  </si>
  <si>
    <t>Monetized value ($2019)</t>
  </si>
  <si>
    <t>0 - No Injury</t>
  </si>
  <si>
    <t>C -  Possible Injury</t>
  </si>
  <si>
    <t xml:space="preserve">A - Incapacitating (Serious) </t>
  </si>
  <si>
    <t>K - Killed (Fatal)</t>
  </si>
  <si>
    <t>Monetized value ($2021)*</t>
  </si>
  <si>
    <t>Discounted Safety Benefits @ 7% (2021 $, '000s)</t>
  </si>
  <si>
    <t>Intersection Crashes (5 Years)</t>
  </si>
  <si>
    <t>Non-Intersection Related Crashes (5 Years)</t>
  </si>
  <si>
    <t>NON-INTERSECTION RELATED CRASHES</t>
  </si>
  <si>
    <t>Value of Statistical Life (VSL), 2021 $</t>
  </si>
  <si>
    <t>Calculated based on data entered by sponsor</t>
  </si>
  <si>
    <t>*Preventable Crashes are those with defined characteristics that may be affected by the proposed improvement.</t>
  </si>
  <si>
    <t>HGAC regional crash data provided by HGAC upon request</t>
  </si>
  <si>
    <r>
      <t>B - Non</t>
    </r>
    <r>
      <rPr>
        <sz val="11"/>
        <color rgb="FFFF0000"/>
        <rFont val="Calibri"/>
        <family val="2"/>
        <scheme val="minor"/>
      </rPr>
      <t>-</t>
    </r>
    <r>
      <rPr>
        <sz val="11"/>
        <color theme="1"/>
        <rFont val="Calibri"/>
        <family val="2"/>
        <scheme val="minor"/>
      </rPr>
      <t>Incapacitating (Non-Serious)</t>
    </r>
  </si>
  <si>
    <t xml:space="preserve">Average  Annual  Crash Forecast without Improvement in Year Open to Traffic </t>
  </si>
  <si>
    <t xml:space="preserve">Average  Annual  Crash Forecast without improvement in Year Open to Traffic </t>
  </si>
  <si>
    <t>Estimated Crashes Without Improvement in Year Open to Traffic</t>
  </si>
  <si>
    <t>Non-Intersection related (Roadway Related)</t>
  </si>
  <si>
    <t>MPOID Number (RTP ID)/CSJ Number (TxDOT ID#):</t>
  </si>
  <si>
    <t>Application ID Number (Auto generated in CFP online form):</t>
  </si>
  <si>
    <t>Travel Demand</t>
  </si>
  <si>
    <t>Year Open to Traffic</t>
  </si>
  <si>
    <t xml:space="preserve">Estimated Daily VMT </t>
  </si>
  <si>
    <t xml:space="preserve">Annual VMT </t>
  </si>
  <si>
    <t>Estimated Traffic Volume</t>
  </si>
  <si>
    <t>Number of Days Considered in a Year</t>
  </si>
  <si>
    <t>All CRASHES</t>
  </si>
  <si>
    <t>All Crashes (5 Years)</t>
  </si>
  <si>
    <t>Harris</t>
  </si>
  <si>
    <t>Non-Freeway</t>
  </si>
  <si>
    <t>Highway Type</t>
  </si>
  <si>
    <t>County Name</t>
  </si>
  <si>
    <t>Brazoria</t>
  </si>
  <si>
    <t>Chambers</t>
  </si>
  <si>
    <t>Fort Bend</t>
  </si>
  <si>
    <t>Galveston</t>
  </si>
  <si>
    <t>Liberty</t>
  </si>
  <si>
    <t>Waller</t>
  </si>
  <si>
    <t>Freeway</t>
  </si>
  <si>
    <t>2021 Call For Projects - Benefit-Cost Analysis Assumptions*</t>
  </si>
  <si>
    <t>Montgomery</t>
  </si>
  <si>
    <t>Light Condition - Dark, Intersection Related</t>
  </si>
  <si>
    <t>Milled Edge line Rumble Strips</t>
  </si>
  <si>
    <t>Profile Edge line Markings</t>
  </si>
  <si>
    <t xml:space="preserve">Raised Edge line Rumble Strips </t>
  </si>
  <si>
    <t xml:space="preserve">2021 Traffic Volume </t>
  </si>
  <si>
    <t>Estimated traffic volume in year Open to Traffic</t>
  </si>
  <si>
    <t>2021-2030 Demand Growth</t>
  </si>
  <si>
    <t>Monetized value ($2021)</t>
  </si>
  <si>
    <t>Discounted Savings for service life</t>
  </si>
  <si>
    <t>OBJECTID</t>
  </si>
  <si>
    <t>Crash_ID</t>
  </si>
  <si>
    <t>HBM ID</t>
  </si>
  <si>
    <t>CRASH DATE</t>
  </si>
  <si>
    <t>HOUR</t>
  </si>
  <si>
    <t>DAY OF WEEK</t>
  </si>
  <si>
    <t>ROAD SYSTEM</t>
  </si>
  <si>
    <t>STREET NAME</t>
  </si>
  <si>
    <t>Direction</t>
  </si>
  <si>
    <t>LATITUDE</t>
  </si>
  <si>
    <t>LONGITUDE</t>
  </si>
  <si>
    <t>WEATHER</t>
  </si>
  <si>
    <t>LIGHTING</t>
  </si>
  <si>
    <t>TRAFFIC CONTROL</t>
  </si>
  <si>
    <t>FIRST HARMFUL EVENT</t>
  </si>
  <si>
    <t>CRASH SEVERITY</t>
  </si>
  <si>
    <t>INTERSECTION RELATED</t>
  </si>
  <si>
    <t>CRASH CONTRIBUTING FACTOR</t>
  </si>
  <si>
    <t>FATALITY</t>
  </si>
  <si>
    <t>SERIOUS INJURY</t>
  </si>
  <si>
    <t>NON-SERIOUS INJURY</t>
  </si>
  <si>
    <t>POSSIBLE INJURY</t>
  </si>
  <si>
    <t>TOTAL INJURY</t>
  </si>
  <si>
    <t>NO INJURY</t>
  </si>
  <si>
    <t>DIRECTION</t>
  </si>
  <si>
    <t>MOTORIST FATALITY</t>
  </si>
  <si>
    <t>MOTORIST SERIOUS INJURY</t>
  </si>
  <si>
    <t>MOTORIST NON-SERIOUS INJURY</t>
  </si>
  <si>
    <t>MOTORIST POSSIBLE INJURY</t>
  </si>
  <si>
    <t xml:space="preserve">MOTORIST NOT INJURED </t>
  </si>
  <si>
    <t>MOTORIST TOTAL INJURY</t>
  </si>
  <si>
    <t>MOTORIST UNKNOWN</t>
  </si>
  <si>
    <t>PEDESTRIAN FATALITY</t>
  </si>
  <si>
    <t>PEDESTRIAN SERIOUS INJURY</t>
  </si>
  <si>
    <t>PEDESTRIAN NON-SERIOUS INJURY</t>
  </si>
  <si>
    <t>PEDESTRAIN POSSIBLE INJURY</t>
  </si>
  <si>
    <t>PEDESTRIAN NOT INJURED</t>
  </si>
  <si>
    <t>PEDESTRIAN TOTAL INJURY</t>
  </si>
  <si>
    <t>PEDESTRIAN UNKNOWN</t>
  </si>
  <si>
    <t>CYCLIST FATALITY</t>
  </si>
  <si>
    <t>CYCLIST SERIOUS INJURY</t>
  </si>
  <si>
    <t>CYCLIST NON-SERIOUS INJURY</t>
  </si>
  <si>
    <t>CYCLIST POSSIBLE INJURY</t>
  </si>
  <si>
    <t>CYCLIST NOT INJURED</t>
  </si>
  <si>
    <t>CYCLIST TOTAL INJURY</t>
  </si>
  <si>
    <t>CYCLIST UNKNOWN</t>
  </si>
  <si>
    <t>COUNTY</t>
  </si>
  <si>
    <t>CO. COMMISSIONER PRECINCT</t>
  </si>
  <si>
    <t>PLACE</t>
  </si>
  <si>
    <t>CITY COUNCIL DISTRICT</t>
  </si>
  <si>
    <t>ZIP CODE</t>
  </si>
  <si>
    <t>TRACT</t>
  </si>
  <si>
    <t>In &amp; Unincorporated Area</t>
  </si>
  <si>
    <t>geo</t>
  </si>
  <si>
    <t>ID</t>
  </si>
  <si>
    <t>H3M_ID</t>
  </si>
  <si>
    <t>WEST</t>
  </si>
  <si>
    <t>CLEAR</t>
  </si>
  <si>
    <t>DAYLIGHT</t>
  </si>
  <si>
    <t>MARKED LANES</t>
  </si>
  <si>
    <t>MOTOR VEHICLE IN TRANSPORT</t>
  </si>
  <si>
    <t>DRIVEWAY ACCESS</t>
  </si>
  <si>
    <t>Incorporated</t>
  </si>
  <si>
    <t>y</t>
  </si>
  <si>
    <t>INTERSECTION</t>
  </si>
  <si>
    <t>NON INTERSECTION</t>
  </si>
  <si>
    <t xml:space="preserve">Intersection crashes </t>
  </si>
  <si>
    <t>Non-Intersection crashes</t>
  </si>
  <si>
    <t>Safety Improvement Type 1</t>
  </si>
  <si>
    <t>Safety Improvement Type 2</t>
  </si>
  <si>
    <t>Safety Improvement Type 3</t>
  </si>
  <si>
    <t>Estimated Preventable Crashes reduced  in Year Open to Traffic with Improvement Type 1</t>
  </si>
  <si>
    <t>Estimated Preventable Crashes Without Improvements Type 3  in Year Open to Traffic</t>
  </si>
  <si>
    <t>Estimated Preventable Crashes Without Improvements Types 2, and 3  in Year Open to Traffic</t>
  </si>
  <si>
    <t>Estimated Preventable Crashes Without Improvements Types 1, 2, and 3  in Year Open to Traffic</t>
  </si>
  <si>
    <t>Estimated Preventable Crashes reduced  in Year Open to Traffic with Improvement Type 2</t>
  </si>
  <si>
    <t>Estimated Preventable Crashes reduced  in Year Open to Traffic with Improvement Type 3</t>
  </si>
  <si>
    <t>Potential Crash Savings in Year Open to Traffic  with Improvement Type1</t>
  </si>
  <si>
    <t>Potential Crash Savings in Year Open to Traffic  with Improvement Type2</t>
  </si>
  <si>
    <t>Potential Crash Savings in Year Open to Traffic  with Improvement Type3</t>
  </si>
  <si>
    <t>Potential Total Crash Savings in Year Open to Traffic  with Improvements</t>
  </si>
  <si>
    <t>Potential Value of Crash Savings1</t>
  </si>
  <si>
    <t>Use in Analysis1</t>
  </si>
  <si>
    <t>Potential Value of Crash Savings2</t>
  </si>
  <si>
    <t>Use in Analysis2</t>
  </si>
  <si>
    <t>Years to include in BCA Analysis 1</t>
  </si>
  <si>
    <t>Total</t>
  </si>
  <si>
    <t>Total_auto</t>
  </si>
  <si>
    <t>Total_Bicycle</t>
  </si>
  <si>
    <t>Total_Walk</t>
  </si>
  <si>
    <t>P_auto</t>
  </si>
  <si>
    <t>P_Bicycle</t>
  </si>
  <si>
    <t>P_Walk</t>
  </si>
  <si>
    <t>Total_4mile</t>
  </si>
  <si>
    <t>Total_3mile</t>
  </si>
  <si>
    <t>Total_2mile</t>
  </si>
  <si>
    <t>Total_1mile</t>
  </si>
  <si>
    <t>Total_05mile</t>
  </si>
  <si>
    <t>Walk_Potential_Person</t>
  </si>
  <si>
    <t>bike_Potential_Person</t>
  </si>
  <si>
    <t>Walk_Mode_Shift_Person</t>
  </si>
  <si>
    <t>Bike_Mode_Shift_Person</t>
  </si>
  <si>
    <t>Walk_Potential_Trip</t>
  </si>
  <si>
    <t>bike_Potential_Trip</t>
  </si>
  <si>
    <t>Walk_Mode_Shift_Trip</t>
  </si>
  <si>
    <t>Bike_Mode_Shift_Trip</t>
  </si>
  <si>
    <t>Walk_VMT_Reduction</t>
  </si>
  <si>
    <t>Bike_VMT_Reduction</t>
  </si>
  <si>
    <t>Total_VMT_Reduction</t>
  </si>
  <si>
    <t>Shape_Length</t>
  </si>
  <si>
    <t>Shape_Area</t>
  </si>
  <si>
    <t>2021 Potential Daily Walk/Bile Commuters</t>
  </si>
  <si>
    <t>Potential Daily Walk/Bike Commuters in Year Open to Traffic</t>
  </si>
  <si>
    <t>Potential Daily Walk/Bike Commuters</t>
  </si>
  <si>
    <t>Years to include in BCA Analysis 2</t>
  </si>
  <si>
    <t>Years to include in BCA Analysis 3</t>
  </si>
  <si>
    <t>Growth Rate</t>
  </si>
  <si>
    <t>2023-2030</t>
  </si>
  <si>
    <t>2030-2045</t>
  </si>
  <si>
    <t>Potential Value of Crash Savings3</t>
  </si>
  <si>
    <t>Use in Analysis3</t>
  </si>
  <si>
    <t>Bike/Ped Improvement Type</t>
  </si>
  <si>
    <t>Ped/Bike rate based on potential 1 million ped/bike commuters*</t>
  </si>
  <si>
    <t>Total Bike/Ped Fatalities</t>
  </si>
  <si>
    <t>Total Bike/Ped Non-Serious Injuries</t>
  </si>
  <si>
    <t>Total Bike/Ped Serious Injuries</t>
  </si>
  <si>
    <t>Total Bike/Ped Possible Injuries</t>
  </si>
  <si>
    <t>Na</t>
  </si>
  <si>
    <t>Estimated Preventable Bike/Ped Crashes reduced  in Year Open to Traffic with Improvement Type 3</t>
  </si>
  <si>
    <t>Estimated Preventable Bike/Ped Crashes Without Bike/Ped Improvements in Year Open to Traffic</t>
  </si>
  <si>
    <t>Potential Crash Savings in Year Open to Traffic  with Bike/Ped Improvements</t>
  </si>
  <si>
    <t>Use in B/P Analysis</t>
  </si>
  <si>
    <t>Potential Value of B/P Crash Savings</t>
  </si>
  <si>
    <t xml:space="preserve">Years to include in B/P Analysis </t>
  </si>
  <si>
    <t>Growth Rates</t>
  </si>
  <si>
    <t>https://www.transportation.gov/sites/dot.gov/files/2023-01/Benefit%20Cost%20Analysis%20Guidance%202023%20Update.pdf</t>
  </si>
  <si>
    <t>CMV</t>
  </si>
  <si>
    <t>TRANSIT</t>
  </si>
  <si>
    <t>SCHOOLBUS</t>
  </si>
  <si>
    <t>WED</t>
  </si>
  <si>
    <t>FAILED TO CONTROL SPEED</t>
  </si>
  <si>
    <t>No</t>
  </si>
  <si>
    <t>SUN</t>
  </si>
  <si>
    <t>SOUTHWEST</t>
  </si>
  <si>
    <t>SOUTH</t>
  </si>
  <si>
    <t>NOT INJURED</t>
  </si>
  <si>
    <t>CHANGED LANE WHEN UNSAFE</t>
  </si>
  <si>
    <t>FRI</t>
  </si>
  <si>
    <t>CENTER STRIPE/DIVIDER</t>
  </si>
  <si>
    <t>NONE</t>
  </si>
  <si>
    <t>DARK, NOT LIGHTED</t>
  </si>
  <si>
    <t>THU</t>
  </si>
  <si>
    <t>FAILED TO DRIVE IN SINGLE LANE</t>
  </si>
  <si>
    <t>SAT</t>
  </si>
  <si>
    <t>FIXED OBJECT</t>
  </si>
  <si>
    <t>Blank</t>
  </si>
  <si>
    <t>2021 AADT</t>
  </si>
  <si>
    <t>AADT in Year Open to Traffic</t>
  </si>
  <si>
    <t xml:space="preserve">Crash Rate per 100 million VMT </t>
  </si>
  <si>
    <t>Crash Rate per 1 million VMT (Ped/Bike rate based on potential ped/bike commuters*)</t>
  </si>
  <si>
    <t xml:space="preserve">Roadway Related, Vehicle Movements/Manner of Collision </t>
  </si>
  <si>
    <t>FM 521</t>
  </si>
  <si>
    <t>CR 56</t>
  </si>
  <si>
    <t>SH 6</t>
  </si>
  <si>
    <t>0111-03-064</t>
  </si>
  <si>
    <t>blank</t>
  </si>
  <si>
    <t>FARM TO MARKET</t>
  </si>
  <si>
    <t>FM0521</t>
  </si>
  <si>
    <t>Fort Bend - 1</t>
  </si>
  <si>
    <t>Arcola</t>
  </si>
  <si>
    <t>FAILED TO YIELD RIGHT OF WAY - EMERGENCY VEHICLE</t>
  </si>
  <si>
    <t>RR GATE/SIGNAL</t>
  </si>
  <si>
    <t>This benefit calculator ONLY pertains to the railroad crossing of FM 521 over the BSNF railway in Arcola.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</si>
</sst>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8" formatCode="&quot;$&quot;#,##0.00_);[Red]\(&quot;$&quot;#,##0.00\)"/>
    <numFmt numFmtId="44" formatCode="_(&quot;$&quot;* #,##0.00_);_(&quot;$&quot;* \(#,##0.00\);_(&quot;$&quot;* &quot;-&quot;??_);_(@_)"/>
    <numFmt numFmtId="164" formatCode="&quot;$&quot;#,##0.00"/>
    <numFmt numFmtId="165" formatCode="&quot;$&quot;#,##0"/>
    <numFmt numFmtId="166" formatCode="0.000"/>
    <numFmt numFmtId="167" formatCode="0.000000"/>
    <numFmt numFmtId="168" formatCode="#,##0.000000"/>
    <numFmt numFmtId="169" formatCode="0.0%"/>
    <numFmt numFmtId="170" formatCode="0.000%"/>
    <numFmt numFmtId="171" formatCode="0.00000"/>
    <numFmt numFmtId="172" formatCode="0.0"/>
    <numFmt numFmtId="173" formatCode="0.0000"/>
    <numFmt numFmtId="174" formatCode="#,##0.0000"/>
    <numFmt numFmtId="175" formatCode="#,##0.000"/>
    <numFmt numFmtId="176" formatCode="#,##0.00000"/>
  </numFmts>
  <fonts count="2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i/>
      <sz val="11"/>
      <color theme="1"/>
      <name val="Calibri"/>
      <family val="2"/>
      <scheme val="minor"/>
    </font>
    <font>
      <i/>
      <sz val="11"/>
      <color theme="0"/>
      <name val="Calibri"/>
      <family val="2"/>
      <scheme val="minor"/>
    </font>
    <font>
      <u/>
      <sz val="11"/>
      <color theme="10"/>
      <name val="Calibri"/>
      <family val="2"/>
    </font>
    <font>
      <b/>
      <u/>
      <sz val="11"/>
      <color theme="0"/>
      <name val="Calibri"/>
      <family val="2"/>
      <scheme val="minor"/>
    </font>
    <font>
      <b/>
      <sz val="14"/>
      <color theme="1"/>
      <name val="Calibri"/>
      <family val="2"/>
      <scheme val="minor"/>
    </font>
    <font>
      <sz val="11"/>
      <name val="Calibri"/>
      <family val="2"/>
      <scheme val="minor"/>
    </font>
    <font>
      <sz val="11"/>
      <color theme="0"/>
      <name val="Calibri"/>
      <family val="2"/>
      <scheme val="minor"/>
    </font>
    <font>
      <sz val="12"/>
      <color theme="1"/>
      <name val="Times New Roman"/>
      <family val="1"/>
    </font>
    <font>
      <sz val="10"/>
      <color rgb="FF000000"/>
      <name val="Arial"/>
      <family val="2"/>
    </font>
    <font>
      <b/>
      <sz val="11"/>
      <name val="Calibri"/>
      <family val="2"/>
      <scheme val="minor"/>
    </font>
    <font>
      <sz val="11"/>
      <color rgb="FF0070C0"/>
      <name val="Calibri"/>
      <family val="2"/>
      <scheme val="minor"/>
    </font>
    <font>
      <sz val="11"/>
      <color rgb="FFFF0000"/>
      <name val="Calibri"/>
      <family val="2"/>
      <scheme val="minor"/>
    </font>
    <font>
      <sz val="12"/>
      <name val="Times New Roman"/>
      <family val="1"/>
    </font>
    <font>
      <b/>
      <sz val="20"/>
      <color rgb="FFFF0000"/>
      <name val="Calibri"/>
      <family val="2"/>
      <scheme val="minor"/>
    </font>
    <font>
      <b/>
      <sz val="11"/>
      <color rgb="FFFF0000"/>
      <name val="Calibri"/>
      <family val="2"/>
      <scheme val="minor"/>
    </font>
  </fonts>
  <fills count="17">
    <fill>
      <patternFill patternType="none"/>
    </fill>
    <fill>
      <patternFill patternType="gray125"/>
    </fill>
    <fill>
      <patternFill patternType="solid">
        <fgColor theme="4" tint="0.79998168889431442"/>
        <bgColor indexed="64"/>
      </patternFill>
    </fill>
    <fill>
      <patternFill patternType="solid">
        <fgColor theme="4"/>
        <bgColor indexed="64"/>
      </patternFill>
    </fill>
    <fill>
      <patternFill patternType="solid">
        <fgColor theme="5" tint="0.79998168889431442"/>
        <bgColor indexed="64"/>
      </patternFill>
    </fill>
    <fill>
      <patternFill patternType="solid">
        <fgColor theme="5"/>
        <bgColor indexed="64"/>
      </patternFill>
    </fill>
    <fill>
      <patternFill patternType="solid">
        <fgColor theme="0" tint="-4.9989318521683403E-2"/>
        <bgColor theme="8" tint="0.79998168889431442"/>
      </patternFill>
    </fill>
    <fill>
      <patternFill patternType="solid">
        <fgColor theme="0" tint="-0.14999847407452621"/>
        <bgColor theme="8" tint="0.79998168889431442"/>
      </patternFill>
    </fill>
    <fill>
      <patternFill patternType="solid">
        <fgColor theme="0" tint="-0.14999847407452621"/>
        <bgColor theme="8" tint="0.59999389629810485"/>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59999389629810485"/>
        <bgColor theme="8" tint="0.79998168889431442"/>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0" tint="-0.49998474074526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alignment vertical="top"/>
      <protection locked="0"/>
    </xf>
    <xf numFmtId="0" fontId="15" fillId="0" borderId="0"/>
  </cellStyleXfs>
  <cellXfs count="229">
    <xf numFmtId="0" fontId="0" fillId="0" borderId="0" xfId="0"/>
    <xf numFmtId="0" fontId="3" fillId="0" borderId="0" xfId="0" applyFont="1"/>
    <xf numFmtId="0" fontId="4" fillId="0" borderId="0" xfId="0" applyFont="1"/>
    <xf numFmtId="0" fontId="0" fillId="2" borderId="1" xfId="0" applyFill="1" applyBorder="1"/>
    <xf numFmtId="0" fontId="0" fillId="2" borderId="1" xfId="0" applyFill="1" applyBorder="1" applyProtection="1">
      <protection locked="0"/>
    </xf>
    <xf numFmtId="0" fontId="2" fillId="3" borderId="1" xfId="0" applyFont="1" applyFill="1" applyBorder="1"/>
    <xf numFmtId="0" fontId="8" fillId="3" borderId="1" xfId="0" applyFont="1" applyFill="1" applyBorder="1" applyAlignment="1">
      <alignment horizontal="center"/>
    </xf>
    <xf numFmtId="3" fontId="0" fillId="2" borderId="1" xfId="0" applyNumberFormat="1" applyFill="1" applyBorder="1" applyProtection="1">
      <protection locked="0"/>
    </xf>
    <xf numFmtId="0" fontId="0" fillId="4" borderId="1" xfId="0" applyFill="1" applyBorder="1"/>
    <xf numFmtId="0" fontId="2" fillId="5" borderId="1" xfId="0" applyFont="1" applyFill="1" applyBorder="1"/>
    <xf numFmtId="0" fontId="0" fillId="6" borderId="1" xfId="0" applyFill="1" applyBorder="1" applyAlignment="1">
      <alignment horizontal="center"/>
    </xf>
    <xf numFmtId="0" fontId="0" fillId="8" borderId="1" xfId="0" applyFill="1" applyBorder="1" applyAlignment="1">
      <alignment horizontal="center"/>
    </xf>
    <xf numFmtId="0" fontId="2" fillId="9" borderId="1" xfId="0" applyFont="1" applyFill="1" applyBorder="1" applyAlignment="1">
      <alignment horizontal="center"/>
    </xf>
    <xf numFmtId="0" fontId="2" fillId="9" borderId="1" xfId="0" applyFont="1" applyFill="1" applyBorder="1" applyAlignment="1">
      <alignment horizontal="left"/>
    </xf>
    <xf numFmtId="0" fontId="0" fillId="11" borderId="1" xfId="0" applyFill="1" applyBorder="1"/>
    <xf numFmtId="9" fontId="0" fillId="11" borderId="1" xfId="0" applyNumberFormat="1" applyFill="1" applyBorder="1"/>
    <xf numFmtId="164" fontId="0" fillId="11" borderId="1" xfId="0" applyNumberFormat="1" applyFill="1" applyBorder="1"/>
    <xf numFmtId="0" fontId="0" fillId="11" borderId="2" xfId="0" applyFill="1" applyBorder="1"/>
    <xf numFmtId="3" fontId="0" fillId="11" borderId="3" xfId="0" applyNumberFormat="1" applyFill="1" applyBorder="1"/>
    <xf numFmtId="3" fontId="0" fillId="12" borderId="1" xfId="0" applyNumberFormat="1" applyFill="1" applyBorder="1" applyAlignment="1" applyProtection="1">
      <alignment horizontal="center"/>
      <protection locked="0"/>
    </xf>
    <xf numFmtId="165" fontId="0" fillId="2" borderId="1" xfId="0" applyNumberFormat="1" applyFill="1" applyBorder="1" applyProtection="1">
      <protection locked="0"/>
    </xf>
    <xf numFmtId="0" fontId="8" fillId="9" borderId="1" xfId="0" applyFont="1" applyFill="1" applyBorder="1" applyAlignment="1">
      <alignment horizontal="center"/>
    </xf>
    <xf numFmtId="0" fontId="0" fillId="0" borderId="0" xfId="0" applyAlignment="1">
      <alignment vertical="top"/>
    </xf>
    <xf numFmtId="9" fontId="0" fillId="0" borderId="0" xfId="0" applyNumberFormat="1"/>
    <xf numFmtId="0" fontId="0" fillId="0" borderId="1" xfId="0" applyBorder="1" applyAlignment="1">
      <alignment vertical="top"/>
    </xf>
    <xf numFmtId="167" fontId="0" fillId="0" borderId="1" xfId="0" applyNumberFormat="1" applyBorder="1" applyAlignment="1">
      <alignment vertical="top"/>
    </xf>
    <xf numFmtId="164" fontId="0" fillId="0" borderId="1" xfId="0" applyNumberFormat="1" applyBorder="1" applyAlignment="1">
      <alignment vertical="top"/>
    </xf>
    <xf numFmtId="168" fontId="0" fillId="11" borderId="3" xfId="0" applyNumberFormat="1" applyFill="1" applyBorder="1"/>
    <xf numFmtId="164" fontId="0" fillId="6" borderId="1" xfId="1" applyNumberFormat="1" applyFont="1" applyFill="1" applyBorder="1" applyAlignment="1">
      <alignment horizontal="center"/>
    </xf>
    <xf numFmtId="165" fontId="0" fillId="11" borderId="1" xfId="0" applyNumberFormat="1" applyFill="1" applyBorder="1"/>
    <xf numFmtId="164" fontId="0" fillId="6" borderId="1" xfId="1" applyNumberFormat="1" applyFont="1" applyFill="1" applyBorder="1" applyAlignment="1" applyProtection="1">
      <alignment horizontal="center"/>
    </xf>
    <xf numFmtId="167" fontId="0" fillId="12" borderId="1" xfId="0" applyNumberFormat="1" applyFill="1" applyBorder="1" applyAlignment="1" applyProtection="1">
      <alignment horizontal="center"/>
      <protection locked="0"/>
    </xf>
    <xf numFmtId="164" fontId="0" fillId="7" borderId="1" xfId="1" applyNumberFormat="1" applyFont="1" applyFill="1" applyBorder="1" applyAlignment="1" applyProtection="1">
      <alignment horizontal="center"/>
    </xf>
    <xf numFmtId="164" fontId="0" fillId="4" borderId="1" xfId="0" applyNumberFormat="1" applyFill="1" applyBorder="1"/>
    <xf numFmtId="2" fontId="0" fillId="4" borderId="1" xfId="0" applyNumberFormat="1" applyFill="1" applyBorder="1"/>
    <xf numFmtId="164" fontId="0" fillId="8" borderId="1" xfId="1" applyNumberFormat="1" applyFont="1" applyFill="1" applyBorder="1" applyAlignment="1">
      <alignment horizontal="center"/>
    </xf>
    <xf numFmtId="165" fontId="0" fillId="4" borderId="1" xfId="0" applyNumberFormat="1" applyFill="1" applyBorder="1"/>
    <xf numFmtId="167" fontId="0" fillId="11" borderId="1" xfId="0" applyNumberFormat="1" applyFill="1" applyBorder="1" applyProtection="1">
      <protection locked="0"/>
    </xf>
    <xf numFmtId="4" fontId="0" fillId="2" borderId="1" xfId="0" applyNumberFormat="1" applyFill="1" applyBorder="1" applyProtection="1">
      <protection locked="0"/>
    </xf>
    <xf numFmtId="9" fontId="0" fillId="0" borderId="1" xfId="0" applyNumberFormat="1" applyBorder="1" applyAlignment="1">
      <alignment horizontal="right" vertical="top"/>
    </xf>
    <xf numFmtId="0" fontId="0" fillId="0" borderId="1" xfId="0" applyBorder="1"/>
    <xf numFmtId="169" fontId="0" fillId="0" borderId="1" xfId="2" applyNumberFormat="1" applyFont="1" applyFill="1" applyBorder="1"/>
    <xf numFmtId="0" fontId="9" fillId="0" borderId="1" xfId="3" applyBorder="1" applyAlignment="1" applyProtection="1">
      <alignment horizontal="right" vertical="top" wrapText="1"/>
    </xf>
    <xf numFmtId="6" fontId="0" fillId="0" borderId="1" xfId="0" applyNumberFormat="1" applyBorder="1" applyAlignment="1">
      <alignment vertical="top"/>
    </xf>
    <xf numFmtId="8" fontId="0" fillId="0" borderId="0" xfId="0" applyNumberFormat="1"/>
    <xf numFmtId="6" fontId="0" fillId="0" borderId="0" xfId="0" applyNumberFormat="1"/>
    <xf numFmtId="0" fontId="0" fillId="0" borderId="1" xfId="0" applyBorder="1" applyAlignment="1">
      <alignment vertical="center"/>
    </xf>
    <xf numFmtId="0" fontId="0" fillId="0" borderId="1" xfId="0" applyBorder="1" applyAlignment="1">
      <alignment vertical="center" wrapText="1"/>
    </xf>
    <xf numFmtId="9" fontId="7" fillId="0" borderId="0" xfId="0" applyNumberFormat="1" applyFont="1" applyAlignment="1">
      <alignment horizontal="right" vertical="top"/>
    </xf>
    <xf numFmtId="10" fontId="7" fillId="0" borderId="0" xfId="0" applyNumberFormat="1" applyFont="1" applyAlignment="1">
      <alignment horizontal="right" vertical="top"/>
    </xf>
    <xf numFmtId="10" fontId="0" fillId="0" borderId="0" xfId="0" applyNumberFormat="1"/>
    <xf numFmtId="172" fontId="0" fillId="0" borderId="0" xfId="0" applyNumberFormat="1"/>
    <xf numFmtId="0" fontId="0" fillId="0" borderId="1" xfId="0" applyBorder="1" applyAlignment="1">
      <alignment horizontal="center" vertical="center"/>
    </xf>
    <xf numFmtId="0" fontId="0" fillId="0" borderId="1" xfId="0" applyBorder="1" applyAlignment="1">
      <alignment wrapText="1"/>
    </xf>
    <xf numFmtId="170" fontId="0" fillId="0" borderId="0" xfId="2" applyNumberFormat="1" applyFont="1" applyBorder="1"/>
    <xf numFmtId="170" fontId="0" fillId="0" borderId="0" xfId="0" applyNumberFormat="1"/>
    <xf numFmtId="170" fontId="4" fillId="0" borderId="0" xfId="0" applyNumberFormat="1" applyFont="1"/>
    <xf numFmtId="0" fontId="3" fillId="0" borderId="1" xfId="0" applyFont="1" applyBorder="1" applyAlignment="1">
      <alignment vertical="center"/>
    </xf>
    <xf numFmtId="6" fontId="0" fillId="0" borderId="1" xfId="0" applyNumberFormat="1" applyBorder="1" applyAlignment="1">
      <alignment vertical="center"/>
    </xf>
    <xf numFmtId="0" fontId="4" fillId="0" borderId="0" xfId="0" applyFont="1" applyAlignment="1">
      <alignment horizontal="center"/>
    </xf>
    <xf numFmtId="3" fontId="0" fillId="0" borderId="0" xfId="0" applyNumberFormat="1"/>
    <xf numFmtId="0" fontId="3" fillId="10" borderId="1" xfId="0" applyFont="1" applyFill="1" applyBorder="1"/>
    <xf numFmtId="14" fontId="0" fillId="0" borderId="0" xfId="0" applyNumberFormat="1"/>
    <xf numFmtId="10" fontId="0" fillId="0" borderId="1" xfId="0" applyNumberFormat="1" applyBorder="1" applyAlignment="1">
      <alignment horizontal="center"/>
    </xf>
    <xf numFmtId="10" fontId="0" fillId="0" borderId="1" xfId="0" applyNumberFormat="1" applyBorder="1"/>
    <xf numFmtId="0" fontId="0" fillId="0" borderId="0" xfId="0" applyAlignment="1" applyProtection="1">
      <alignment horizontal="center" vertical="center"/>
      <protection locked="0"/>
    </xf>
    <xf numFmtId="2" fontId="0" fillId="0" borderId="0" xfId="0" applyNumberFormat="1" applyAlignment="1" applyProtection="1">
      <alignment horizontal="center" vertical="center"/>
      <protection locked="0"/>
    </xf>
    <xf numFmtId="166" fontId="0" fillId="0" borderId="0" xfId="0" applyNumberFormat="1" applyAlignment="1" applyProtection="1">
      <alignment horizontal="center" vertical="center"/>
      <protection locked="0"/>
    </xf>
    <xf numFmtId="0" fontId="0" fillId="14" borderId="1" xfId="0" applyFill="1" applyBorder="1" applyAlignment="1">
      <alignment horizontal="center" vertical="center"/>
    </xf>
    <xf numFmtId="165" fontId="0" fillId="4" borderId="1" xfId="0" applyNumberFormat="1" applyFill="1" applyBorder="1" applyAlignment="1">
      <alignment vertical="center"/>
    </xf>
    <xf numFmtId="2" fontId="0" fillId="13" borderId="1" xfId="0" applyNumberFormat="1" applyFill="1" applyBorder="1" applyAlignment="1">
      <alignment horizontal="center" vertical="center"/>
    </xf>
    <xf numFmtId="166" fontId="0" fillId="13" borderId="1" xfId="0" applyNumberFormat="1" applyFill="1" applyBorder="1" applyAlignment="1">
      <alignment horizontal="center" vertical="center"/>
    </xf>
    <xf numFmtId="166" fontId="0" fillId="13" borderId="1" xfId="0" applyNumberFormat="1" applyFill="1" applyBorder="1" applyAlignment="1">
      <alignment vertical="center"/>
    </xf>
    <xf numFmtId="166" fontId="0" fillId="0" borderId="1" xfId="0" applyNumberFormat="1" applyBorder="1" applyAlignment="1">
      <alignment vertical="center"/>
    </xf>
    <xf numFmtId="0" fontId="0" fillId="0" borderId="0" xfId="0" applyAlignment="1">
      <alignment vertical="center"/>
    </xf>
    <xf numFmtId="0" fontId="12" fillId="0" borderId="1" xfId="0" applyFont="1" applyBorder="1" applyAlignment="1">
      <alignment vertical="center" wrapText="1"/>
    </xf>
    <xf numFmtId="0" fontId="12" fillId="0" borderId="0" xfId="0" applyFont="1"/>
    <xf numFmtId="0" fontId="0" fillId="0" borderId="0" xfId="0" applyProtection="1">
      <protection locked="0"/>
    </xf>
    <xf numFmtId="0" fontId="16" fillId="0" borderId="1" xfId="0" applyFont="1" applyBorder="1" applyAlignment="1" applyProtection="1">
      <alignment vertical="center" wrapText="1"/>
      <protection locked="0"/>
    </xf>
    <xf numFmtId="166" fontId="0" fillId="0" borderId="1" xfId="0" applyNumberFormat="1" applyBorder="1" applyAlignment="1" applyProtection="1">
      <alignment vertical="center" wrapText="1"/>
      <protection locked="0"/>
    </xf>
    <xf numFmtId="0" fontId="12" fillId="0" borderId="0" xfId="0" applyFont="1" applyProtection="1">
      <protection locked="0"/>
    </xf>
    <xf numFmtId="166" fontId="0" fillId="0" borderId="1" xfId="0" applyNumberFormat="1" applyBorder="1" applyProtection="1">
      <protection locked="0"/>
    </xf>
    <xf numFmtId="10" fontId="0" fillId="0" borderId="0" xfId="2" applyNumberFormat="1" applyFont="1" applyProtection="1">
      <protection locked="0"/>
    </xf>
    <xf numFmtId="2" fontId="0" fillId="0" borderId="0" xfId="0" applyNumberFormat="1" applyProtection="1">
      <protection locked="0"/>
    </xf>
    <xf numFmtId="165" fontId="12" fillId="0" borderId="1" xfId="0" applyNumberFormat="1" applyFont="1" applyBorder="1" applyAlignment="1" applyProtection="1">
      <alignment vertical="center" wrapText="1"/>
      <protection locked="0"/>
    </xf>
    <xf numFmtId="165" fontId="0" fillId="0" borderId="0" xfId="0" applyNumberFormat="1" applyProtection="1">
      <protection locked="0"/>
    </xf>
    <xf numFmtId="165" fontId="0" fillId="0" borderId="1" xfId="0" applyNumberFormat="1" applyBorder="1" applyProtection="1">
      <protection locked="0"/>
    </xf>
    <xf numFmtId="0" fontId="0" fillId="13" borderId="1" xfId="0" applyFill="1" applyBorder="1" applyAlignment="1">
      <alignment vertical="center"/>
    </xf>
    <xf numFmtId="2" fontId="0" fillId="0" borderId="0" xfId="0" applyNumberFormat="1" applyAlignment="1" applyProtection="1">
      <alignment vertical="center"/>
      <protection locked="0"/>
    </xf>
    <xf numFmtId="2" fontId="17" fillId="0" borderId="0" xfId="0" applyNumberFormat="1" applyFont="1" applyAlignment="1" applyProtection="1">
      <alignment vertical="center"/>
      <protection locked="0"/>
    </xf>
    <xf numFmtId="0" fontId="13" fillId="0" borderId="0" xfId="0" applyFont="1" applyProtection="1">
      <protection locked="0"/>
    </xf>
    <xf numFmtId="166" fontId="0" fillId="0" borderId="0" xfId="0" applyNumberFormat="1" applyProtection="1">
      <protection locked="0"/>
    </xf>
    <xf numFmtId="0" fontId="0" fillId="14" borderId="1" xfId="0" applyFill="1" applyBorder="1" applyAlignment="1">
      <alignment horizontal="left" vertical="center"/>
    </xf>
    <xf numFmtId="0" fontId="13" fillId="0" borderId="0" xfId="0" applyFont="1"/>
    <xf numFmtId="0" fontId="2" fillId="3" borderId="1" xfId="0" applyFont="1" applyFill="1" applyBorder="1" applyAlignment="1">
      <alignment vertical="center" wrapText="1"/>
    </xf>
    <xf numFmtId="0" fontId="2" fillId="3" borderId="1" xfId="0" applyFont="1" applyFill="1" applyBorder="1" applyAlignment="1">
      <alignment horizontal="left" vertical="center" wrapText="1"/>
    </xf>
    <xf numFmtId="176" fontId="12" fillId="0" borderId="0" xfId="0" applyNumberFormat="1" applyFont="1"/>
    <xf numFmtId="0" fontId="12" fillId="0" borderId="0" xfId="0" applyFont="1" applyAlignment="1">
      <alignment vertical="center"/>
    </xf>
    <xf numFmtId="1" fontId="12" fillId="0" borderId="0" xfId="0" applyNumberFormat="1" applyFont="1"/>
    <xf numFmtId="174" fontId="12" fillId="0" borderId="0" xfId="0" applyNumberFormat="1" applyFont="1"/>
    <xf numFmtId="3" fontId="12" fillId="0" borderId="0" xfId="0" applyNumberFormat="1" applyFont="1"/>
    <xf numFmtId="2" fontId="12" fillId="0" borderId="0" xfId="0" applyNumberFormat="1" applyFont="1" applyAlignment="1">
      <alignment vertical="center"/>
    </xf>
    <xf numFmtId="166" fontId="12" fillId="0" borderId="0" xfId="0" applyNumberFormat="1" applyFont="1"/>
    <xf numFmtId="0" fontId="2" fillId="0" borderId="1" xfId="0" applyFont="1" applyBorder="1" applyAlignment="1">
      <alignment vertical="center" wrapText="1"/>
    </xf>
    <xf numFmtId="175" fontId="0" fillId="0" borderId="0" xfId="0" applyNumberFormat="1"/>
    <xf numFmtId="166" fontId="0" fillId="0" borderId="0" xfId="0" applyNumberFormat="1"/>
    <xf numFmtId="0" fontId="3" fillId="10" borderId="1" xfId="0" applyFont="1" applyFill="1" applyBorder="1" applyAlignment="1">
      <alignment vertical="center"/>
    </xf>
    <xf numFmtId="0" fontId="16" fillId="10" borderId="1" xfId="0" applyFont="1" applyFill="1" applyBorder="1" applyAlignment="1">
      <alignment vertical="center"/>
    </xf>
    <xf numFmtId="0" fontId="3" fillId="10" borderId="1" xfId="0" applyFont="1" applyFill="1" applyBorder="1" applyAlignment="1">
      <alignment vertical="center" wrapText="1"/>
    </xf>
    <xf numFmtId="9" fontId="0" fillId="0" borderId="1" xfId="0" applyNumberFormat="1" applyBorder="1" applyAlignment="1">
      <alignment horizontal="center" vertical="center"/>
    </xf>
    <xf numFmtId="9" fontId="0" fillId="0" borderId="1" xfId="0" applyNumberFormat="1" applyBorder="1" applyAlignment="1">
      <alignment horizontal="center" vertical="center" wrapText="1"/>
    </xf>
    <xf numFmtId="0" fontId="12" fillId="0" borderId="1" xfId="0" applyFont="1" applyBorder="1" applyAlignment="1">
      <alignment vertical="center"/>
    </xf>
    <xf numFmtId="0" fontId="3" fillId="10" borderId="1" xfId="0" applyFont="1" applyFill="1" applyBorder="1" applyAlignment="1">
      <alignment horizontal="center" vertical="center"/>
    </xf>
    <xf numFmtId="3" fontId="0" fillId="0" borderId="1" xfId="0" applyNumberFormat="1" applyBorder="1" applyAlignment="1">
      <alignment horizontal="center" vertical="center"/>
    </xf>
    <xf numFmtId="10" fontId="0" fillId="0" borderId="1" xfId="0" applyNumberFormat="1" applyBorder="1" applyAlignment="1">
      <alignment horizontal="center" vertical="center"/>
    </xf>
    <xf numFmtId="10" fontId="0" fillId="0" borderId="0" xfId="0" applyNumberFormat="1" applyAlignment="1">
      <alignment horizontal="center"/>
    </xf>
    <xf numFmtId="2" fontId="11" fillId="0" borderId="4" xfId="0" applyNumberFormat="1" applyFont="1" applyBorder="1" applyAlignment="1" applyProtection="1">
      <alignment vertical="center"/>
      <protection locked="0"/>
    </xf>
    <xf numFmtId="2" fontId="0" fillId="0" borderId="4" xfId="0" applyNumberFormat="1" applyBorder="1" applyAlignment="1" applyProtection="1">
      <alignment vertical="center"/>
      <protection locked="0"/>
    </xf>
    <xf numFmtId="2" fontId="0" fillId="2"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wrapText="1"/>
      <protection locked="0"/>
    </xf>
    <xf numFmtId="2" fontId="0" fillId="0" borderId="0" xfId="0" applyNumberFormat="1" applyAlignment="1" applyProtection="1">
      <alignment vertical="center" wrapText="1"/>
      <protection locked="0"/>
    </xf>
    <xf numFmtId="2" fontId="0" fillId="13"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protection locked="0"/>
    </xf>
    <xf numFmtId="2" fontId="0" fillId="4" borderId="1" xfId="0" applyNumberFormat="1" applyFill="1" applyBorder="1" applyAlignment="1" applyProtection="1">
      <alignment vertical="center"/>
      <protection locked="0"/>
    </xf>
    <xf numFmtId="2" fontId="7" fillId="0" borderId="0" xfId="0" applyNumberFormat="1" applyFont="1" applyAlignment="1" applyProtection="1">
      <alignment vertical="center"/>
      <protection locked="0"/>
    </xf>
    <xf numFmtId="2" fontId="0" fillId="0" borderId="0" xfId="0" applyNumberFormat="1" applyAlignment="1" applyProtection="1">
      <alignment horizontal="left" vertical="center"/>
      <protection locked="0"/>
    </xf>
    <xf numFmtId="2" fontId="0" fillId="2" borderId="1" xfId="0" applyNumberFormat="1" applyFill="1" applyBorder="1" applyAlignment="1" applyProtection="1">
      <alignment vertical="center" wrapText="1"/>
      <protection locked="0"/>
    </xf>
    <xf numFmtId="2" fontId="2" fillId="0" borderId="0" xfId="0" applyNumberFormat="1" applyFont="1" applyAlignment="1" applyProtection="1">
      <alignment vertical="center"/>
      <protection locked="0"/>
    </xf>
    <xf numFmtId="2" fontId="3" fillId="2" borderId="1" xfId="0" applyNumberFormat="1" applyFont="1" applyFill="1" applyBorder="1" applyAlignment="1" applyProtection="1">
      <alignment vertical="center"/>
      <protection locked="0"/>
    </xf>
    <xf numFmtId="2" fontId="0" fillId="2" borderId="1" xfId="0" applyNumberFormat="1" applyFill="1" applyBorder="1" applyAlignment="1" applyProtection="1">
      <alignment horizontal="right" vertical="center" wrapText="1"/>
      <protection locked="0"/>
    </xf>
    <xf numFmtId="2" fontId="12" fillId="13" borderId="1" xfId="0" applyNumberFormat="1" applyFont="1" applyFill="1" applyBorder="1" applyAlignment="1" applyProtection="1">
      <alignment vertical="center"/>
      <protection locked="0"/>
    </xf>
    <xf numFmtId="2" fontId="18" fillId="0" borderId="0" xfId="0" applyNumberFormat="1" applyFont="1" applyAlignment="1" applyProtection="1">
      <alignment vertical="center"/>
      <protection locked="0"/>
    </xf>
    <xf numFmtId="2" fontId="20" fillId="0" borderId="0" xfId="0" applyNumberFormat="1" applyFont="1" applyAlignment="1" applyProtection="1">
      <alignment vertical="center"/>
      <protection locked="0"/>
    </xf>
    <xf numFmtId="2" fontId="8" fillId="0" borderId="0" xfId="0" applyNumberFormat="1" applyFont="1" applyAlignment="1" applyProtection="1">
      <alignment horizontal="center" vertical="center"/>
      <protection locked="0"/>
    </xf>
    <xf numFmtId="2" fontId="0" fillId="13" borderId="1" xfId="0" applyNumberFormat="1" applyFill="1" applyBorder="1" applyAlignment="1" applyProtection="1">
      <alignment vertical="center" wrapText="1"/>
      <protection locked="0"/>
    </xf>
    <xf numFmtId="2" fontId="0" fillId="0" borderId="5" xfId="0" applyNumberFormat="1" applyBorder="1" applyAlignment="1" applyProtection="1">
      <alignment vertical="center"/>
      <protection locked="0"/>
    </xf>
    <xf numFmtId="1" fontId="0" fillId="2" borderId="1" xfId="0" applyNumberFormat="1" applyFill="1" applyBorder="1" applyAlignment="1" applyProtection="1">
      <alignment vertical="center"/>
      <protection locked="0"/>
    </xf>
    <xf numFmtId="1" fontId="0" fillId="13" borderId="1" xfId="0" applyNumberFormat="1" applyFill="1" applyBorder="1" applyAlignment="1">
      <alignment horizontal="right" vertical="center"/>
    </xf>
    <xf numFmtId="2" fontId="12" fillId="13" borderId="1" xfId="0" applyNumberFormat="1" applyFont="1" applyFill="1" applyBorder="1" applyAlignment="1">
      <alignment horizontal="right" vertical="center" wrapText="1"/>
    </xf>
    <xf numFmtId="1" fontId="0" fillId="13" borderId="1" xfId="0" applyNumberFormat="1" applyFill="1" applyBorder="1" applyAlignment="1">
      <alignment vertical="center"/>
    </xf>
    <xf numFmtId="1" fontId="0" fillId="2" borderId="1" xfId="0" applyNumberFormat="1" applyFill="1" applyBorder="1" applyAlignment="1" applyProtection="1">
      <alignment horizontal="right" vertical="center"/>
      <protection locked="0"/>
    </xf>
    <xf numFmtId="0" fontId="0" fillId="0" borderId="1" xfId="0" applyBorder="1" applyAlignment="1">
      <alignment horizontal="left" vertical="center" wrapText="1"/>
    </xf>
    <xf numFmtId="0" fontId="0" fillId="0" borderId="1" xfId="0" applyBorder="1" applyAlignment="1">
      <alignment horizontal="left" vertical="center"/>
    </xf>
    <xf numFmtId="9" fontId="0" fillId="13" borderId="1" xfId="0" applyNumberFormat="1" applyFill="1" applyBorder="1" applyAlignment="1">
      <alignment horizontal="right" vertical="center"/>
    </xf>
    <xf numFmtId="10" fontId="2" fillId="9" borderId="1" xfId="2" applyNumberFormat="1" applyFont="1" applyFill="1" applyBorder="1" applyAlignment="1" applyProtection="1">
      <alignment vertical="center"/>
    </xf>
    <xf numFmtId="0" fontId="2" fillId="9" borderId="7" xfId="0" applyFont="1" applyFill="1" applyBorder="1" applyAlignment="1">
      <alignment vertical="center" wrapText="1"/>
    </xf>
    <xf numFmtId="0" fontId="2" fillId="9" borderId="4" xfId="0" applyFont="1" applyFill="1" applyBorder="1" applyAlignment="1">
      <alignment vertical="center" wrapText="1"/>
    </xf>
    <xf numFmtId="0" fontId="0" fillId="0" borderId="0" xfId="0" applyAlignment="1">
      <alignment vertical="center" wrapText="1"/>
    </xf>
    <xf numFmtId="0" fontId="2" fillId="9" borderId="1" xfId="0" applyFont="1" applyFill="1" applyBorder="1" applyAlignment="1">
      <alignment vertical="center" wrapText="1"/>
    </xf>
    <xf numFmtId="0" fontId="2" fillId="9" borderId="1" xfId="0" applyFont="1" applyFill="1" applyBorder="1" applyAlignment="1">
      <alignment horizontal="center" vertical="center" wrapText="1"/>
    </xf>
    <xf numFmtId="2" fontId="2" fillId="9" borderId="1" xfId="0" applyNumberFormat="1" applyFont="1" applyFill="1" applyBorder="1" applyAlignment="1">
      <alignment horizontal="center" vertical="center"/>
    </xf>
    <xf numFmtId="0" fontId="0" fillId="11" borderId="1" xfId="0" applyFill="1" applyBorder="1" applyAlignment="1">
      <alignment vertical="center" wrapText="1"/>
    </xf>
    <xf numFmtId="3" fontId="7" fillId="0" borderId="1" xfId="0" applyNumberFormat="1" applyFont="1" applyBorder="1" applyAlignment="1">
      <alignment vertical="center" wrapText="1"/>
    </xf>
    <xf numFmtId="0" fontId="14" fillId="0" borderId="0" xfId="0" applyFont="1" applyAlignment="1">
      <alignment vertical="center"/>
    </xf>
    <xf numFmtId="0" fontId="0" fillId="7" borderId="1" xfId="0" applyFill="1" applyBorder="1" applyAlignment="1">
      <alignment horizontal="center" vertical="center"/>
    </xf>
    <xf numFmtId="3" fontId="0" fillId="7" borderId="1" xfId="0" applyNumberFormat="1" applyFill="1" applyBorder="1" applyAlignment="1">
      <alignment horizontal="center" vertical="center"/>
    </xf>
    <xf numFmtId="10" fontId="0" fillId="7" borderId="1" xfId="2" applyNumberFormat="1" applyFont="1" applyFill="1" applyBorder="1" applyAlignment="1" applyProtection="1">
      <alignment horizontal="center" vertical="center"/>
    </xf>
    <xf numFmtId="2" fontId="0" fillId="7" borderId="1" xfId="0" applyNumberFormat="1" applyFill="1" applyBorder="1" applyAlignment="1">
      <alignment horizontal="center" vertical="center"/>
    </xf>
    <xf numFmtId="165" fontId="0" fillId="7" borderId="1" xfId="1" applyNumberFormat="1" applyFont="1" applyFill="1" applyBorder="1" applyAlignment="1" applyProtection="1">
      <alignment horizontal="center" vertical="center"/>
    </xf>
    <xf numFmtId="165" fontId="0" fillId="13" borderId="1" xfId="0" applyNumberFormat="1" applyFill="1" applyBorder="1" applyAlignment="1">
      <alignment horizontal="center" vertical="center"/>
    </xf>
    <xf numFmtId="0" fontId="0" fillId="8" borderId="1" xfId="0" applyFill="1" applyBorder="1" applyAlignment="1">
      <alignment horizontal="center" vertical="center"/>
    </xf>
    <xf numFmtId="3" fontId="0" fillId="8" borderId="1" xfId="0" applyNumberFormat="1" applyFill="1" applyBorder="1" applyAlignment="1">
      <alignment horizontal="center" vertical="center"/>
    </xf>
    <xf numFmtId="10" fontId="0" fillId="8" borderId="1" xfId="2" applyNumberFormat="1" applyFont="1" applyFill="1" applyBorder="1" applyAlignment="1" applyProtection="1">
      <alignment horizontal="center" vertical="center"/>
    </xf>
    <xf numFmtId="2" fontId="0" fillId="8" borderId="1" xfId="2" applyNumberFormat="1" applyFont="1" applyFill="1" applyBorder="1" applyAlignment="1" applyProtection="1">
      <alignment horizontal="center" vertical="center"/>
    </xf>
    <xf numFmtId="0" fontId="0" fillId="8" borderId="1" xfId="2" applyNumberFormat="1" applyFont="1" applyFill="1" applyBorder="1" applyAlignment="1" applyProtection="1">
      <alignment horizontal="center" vertical="center"/>
    </xf>
    <xf numFmtId="0" fontId="12" fillId="11" borderId="1" xfId="0" applyFont="1" applyFill="1" applyBorder="1" applyAlignment="1">
      <alignment vertical="center" wrapText="1"/>
    </xf>
    <xf numFmtId="0" fontId="16" fillId="0" borderId="1" xfId="0" applyFont="1" applyBorder="1" applyAlignment="1">
      <alignment vertical="center" wrapText="1"/>
    </xf>
    <xf numFmtId="166" fontId="0" fillId="0" borderId="1" xfId="0" applyNumberFormat="1" applyBorder="1" applyAlignment="1">
      <alignment vertical="center" wrapText="1"/>
    </xf>
    <xf numFmtId="10" fontId="0" fillId="0" borderId="1" xfId="0" applyNumberFormat="1" applyBorder="1" applyAlignment="1">
      <alignment vertical="center" wrapText="1"/>
    </xf>
    <xf numFmtId="10" fontId="0" fillId="0" borderId="0" xfId="2" applyNumberFormat="1" applyFont="1" applyFill="1" applyBorder="1" applyAlignment="1" applyProtection="1">
      <alignment vertical="center" wrapText="1"/>
    </xf>
    <xf numFmtId="2" fontId="0" fillId="0" borderId="0" xfId="0" applyNumberFormat="1" applyAlignment="1">
      <alignment vertical="center" wrapText="1"/>
    </xf>
    <xf numFmtId="10" fontId="0" fillId="0" borderId="0" xfId="0" applyNumberFormat="1" applyAlignment="1">
      <alignment vertical="center" wrapText="1"/>
    </xf>
    <xf numFmtId="0" fontId="2" fillId="0" borderId="0" xfId="0" applyFont="1" applyAlignment="1">
      <alignment vertical="center" wrapText="1"/>
    </xf>
    <xf numFmtId="166" fontId="21" fillId="0" borderId="0" xfId="0" applyNumberFormat="1" applyFont="1" applyAlignment="1">
      <alignment vertical="center" wrapText="1"/>
    </xf>
    <xf numFmtId="4" fontId="7" fillId="0" borderId="0" xfId="0" applyNumberFormat="1" applyFont="1" applyAlignment="1">
      <alignment vertical="center" wrapText="1"/>
    </xf>
    <xf numFmtId="171" fontId="0" fillId="0" borderId="0" xfId="0" applyNumberFormat="1" applyAlignment="1">
      <alignment vertical="center" wrapText="1"/>
    </xf>
    <xf numFmtId="6" fontId="0" fillId="0" borderId="0" xfId="0" applyNumberFormat="1" applyAlignment="1">
      <alignment vertical="center"/>
    </xf>
    <xf numFmtId="6" fontId="12" fillId="0" borderId="0" xfId="0" applyNumberFormat="1" applyFont="1" applyAlignment="1">
      <alignment vertical="center"/>
    </xf>
    <xf numFmtId="0" fontId="19" fillId="0" borderId="0" xfId="0" applyFont="1" applyAlignment="1">
      <alignment vertical="center"/>
    </xf>
    <xf numFmtId="0" fontId="12" fillId="8" borderId="1" xfId="0" applyFont="1" applyFill="1" applyBorder="1" applyAlignment="1">
      <alignment horizontal="center" vertical="center"/>
    </xf>
    <xf numFmtId="2" fontId="12" fillId="8" borderId="1" xfId="2" applyNumberFormat="1" applyFont="1" applyFill="1" applyBorder="1" applyAlignment="1" applyProtection="1">
      <alignment horizontal="center" vertical="center"/>
    </xf>
    <xf numFmtId="0" fontId="12" fillId="8" borderId="1" xfId="2" applyNumberFormat="1" applyFont="1" applyFill="1" applyBorder="1" applyAlignment="1" applyProtection="1">
      <alignment horizontal="center" vertical="center"/>
    </xf>
    <xf numFmtId="165" fontId="12" fillId="13" borderId="1" xfId="0" applyNumberFormat="1" applyFont="1" applyFill="1" applyBorder="1" applyAlignment="1">
      <alignment horizontal="center" vertical="center"/>
    </xf>
    <xf numFmtId="166" fontId="0" fillId="0" borderId="1" xfId="0" applyNumberFormat="1" applyBorder="1"/>
    <xf numFmtId="173" fontId="0" fillId="0" borderId="0" xfId="0" applyNumberFormat="1" applyAlignment="1">
      <alignment vertical="center"/>
    </xf>
    <xf numFmtId="10" fontId="0" fillId="0" borderId="1" xfId="2" applyNumberFormat="1" applyFont="1" applyBorder="1" applyAlignment="1" applyProtection="1">
      <alignment vertical="center"/>
    </xf>
    <xf numFmtId="2" fontId="0" fillId="0" borderId="1" xfId="0" applyNumberFormat="1" applyBorder="1" applyAlignment="1">
      <alignment vertical="center"/>
    </xf>
    <xf numFmtId="165" fontId="0" fillId="0" borderId="1" xfId="0" applyNumberFormat="1" applyBorder="1" applyAlignment="1">
      <alignment vertical="center"/>
    </xf>
    <xf numFmtId="10" fontId="0" fillId="0" borderId="0" xfId="2" applyNumberFormat="1" applyFont="1" applyProtection="1"/>
    <xf numFmtId="2" fontId="0" fillId="0" borderId="0" xfId="0" applyNumberFormat="1"/>
    <xf numFmtId="0" fontId="0" fillId="0" borderId="0" xfId="0" applyAlignment="1" applyProtection="1">
      <alignment vertical="center"/>
      <protection locked="0"/>
    </xf>
    <xf numFmtId="0" fontId="12" fillId="0" borderId="0" xfId="0" applyFont="1" applyAlignment="1" applyProtection="1">
      <alignment vertical="center"/>
      <protection locked="0"/>
    </xf>
    <xf numFmtId="0" fontId="0" fillId="0" borderId="0" xfId="0" applyAlignment="1" applyProtection="1">
      <alignment vertical="center" wrapText="1"/>
      <protection locked="0"/>
    </xf>
    <xf numFmtId="0" fontId="10" fillId="3" borderId="2" xfId="0" applyFont="1" applyFill="1" applyBorder="1" applyAlignment="1">
      <alignment horizontal="center"/>
    </xf>
    <xf numFmtId="0" fontId="10" fillId="3" borderId="3" xfId="0" applyFont="1" applyFill="1" applyBorder="1" applyAlignment="1">
      <alignment horizontal="center"/>
    </xf>
    <xf numFmtId="2" fontId="2" fillId="5" borderId="7" xfId="0" applyNumberFormat="1" applyFont="1" applyFill="1" applyBorder="1" applyAlignment="1" applyProtection="1">
      <alignment horizontal="center" vertical="center"/>
      <protection locked="0"/>
    </xf>
    <xf numFmtId="2" fontId="2" fillId="5" borderId="4" xfId="0" applyNumberFormat="1" applyFont="1" applyFill="1" applyBorder="1" applyAlignment="1" applyProtection="1">
      <alignment horizontal="center" vertical="center"/>
      <protection locked="0"/>
    </xf>
    <xf numFmtId="2" fontId="0" fillId="0" borderId="0" xfId="0" applyNumberFormat="1" applyAlignment="1" applyProtection="1">
      <alignment horizontal="center" vertical="center"/>
      <protection locked="0"/>
    </xf>
    <xf numFmtId="2" fontId="2" fillId="3" borderId="7" xfId="0" applyNumberFormat="1" applyFont="1" applyFill="1" applyBorder="1" applyAlignment="1" applyProtection="1">
      <alignment horizontal="center" vertical="center"/>
      <protection locked="0"/>
    </xf>
    <xf numFmtId="2" fontId="2" fillId="3" borderId="4" xfId="0" applyNumberFormat="1" applyFont="1" applyFill="1" applyBorder="1" applyAlignment="1" applyProtection="1">
      <alignment horizontal="center" vertical="center"/>
      <protection locked="0"/>
    </xf>
    <xf numFmtId="0" fontId="2" fillId="3" borderId="2"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12" fillId="0" borderId="1" xfId="0" applyFont="1" applyBorder="1" applyAlignment="1" applyProtection="1">
      <alignment horizontal="left" vertical="center" wrapText="1"/>
      <protection locked="0"/>
    </xf>
    <xf numFmtId="0" fontId="2" fillId="9" borderId="1" xfId="0" applyFont="1" applyFill="1" applyBorder="1" applyAlignment="1">
      <alignment horizontal="center" vertical="center" wrapText="1"/>
    </xf>
    <xf numFmtId="0" fontId="2" fillId="15" borderId="1"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2" fillId="15" borderId="9" xfId="0" applyFont="1" applyFill="1" applyBorder="1" applyAlignment="1">
      <alignment horizontal="center" vertical="center" wrapText="1"/>
    </xf>
    <xf numFmtId="0" fontId="2" fillId="15" borderId="10" xfId="0" applyFont="1" applyFill="1" applyBorder="1" applyAlignment="1">
      <alignment horizontal="center" vertical="center" wrapText="1"/>
    </xf>
    <xf numFmtId="0" fontId="0" fillId="15" borderId="1" xfId="0" applyFill="1" applyBorder="1" applyAlignment="1">
      <alignment horizontal="center"/>
    </xf>
    <xf numFmtId="0" fontId="2" fillId="9" borderId="1" xfId="0" applyFont="1" applyFill="1" applyBorder="1" applyAlignment="1">
      <alignment horizontal="left" vertical="center" wrapText="1"/>
    </xf>
    <xf numFmtId="0" fontId="13" fillId="15" borderId="1" xfId="0" applyFont="1" applyFill="1" applyBorder="1" applyAlignment="1" applyProtection="1">
      <alignment horizontal="center" vertical="center" wrapText="1"/>
      <protection locked="0"/>
    </xf>
    <xf numFmtId="10" fontId="2" fillId="9" borderId="2" xfId="2" applyNumberFormat="1" applyFont="1" applyFill="1" applyBorder="1" applyAlignment="1" applyProtection="1">
      <alignment horizontal="center" vertical="center"/>
    </xf>
    <xf numFmtId="10" fontId="2" fillId="9" borderId="8" xfId="2" applyNumberFormat="1" applyFont="1" applyFill="1" applyBorder="1" applyAlignment="1" applyProtection="1">
      <alignment horizontal="center" vertical="center"/>
    </xf>
    <xf numFmtId="10" fontId="2" fillId="9" borderId="3" xfId="2" applyNumberFormat="1" applyFont="1" applyFill="1" applyBorder="1" applyAlignment="1" applyProtection="1">
      <alignment horizontal="center" vertical="center"/>
    </xf>
    <xf numFmtId="0" fontId="2" fillId="9" borderId="6" xfId="0" applyFont="1" applyFill="1" applyBorder="1" applyAlignment="1">
      <alignment horizontal="center" vertical="center"/>
    </xf>
    <xf numFmtId="0" fontId="2" fillId="9" borderId="10" xfId="0" applyFont="1" applyFill="1" applyBorder="1" applyAlignment="1">
      <alignment horizontal="center" vertical="center"/>
    </xf>
    <xf numFmtId="10" fontId="2" fillId="9" borderId="1" xfId="2" applyNumberFormat="1" applyFont="1" applyFill="1" applyBorder="1" applyAlignment="1" applyProtection="1">
      <alignment horizontal="center" vertical="center" wrapText="1"/>
    </xf>
    <xf numFmtId="0" fontId="7" fillId="0" borderId="2" xfId="0" applyFont="1" applyBorder="1" applyAlignment="1">
      <alignment vertical="top"/>
    </xf>
    <xf numFmtId="0" fontId="7" fillId="0" borderId="3" xfId="0" applyFont="1" applyBorder="1" applyAlignment="1">
      <alignment vertical="top"/>
    </xf>
    <xf numFmtId="0" fontId="4" fillId="0" borderId="0" xfId="0" applyFont="1" applyAlignment="1">
      <alignment horizont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9" fillId="0" borderId="0" xfId="3" applyAlignment="1" applyProtection="1">
      <alignment horizontal="left" vertical="center"/>
    </xf>
    <xf numFmtId="0" fontId="0" fillId="0" borderId="0" xfId="0" applyAlignment="1">
      <alignment horizontal="left" vertical="center"/>
    </xf>
    <xf numFmtId="0" fontId="2" fillId="16" borderId="4" xfId="0" applyFont="1" applyFill="1" applyBorder="1" applyAlignment="1">
      <alignment horizontal="center"/>
    </xf>
  </cellXfs>
  <cellStyles count="5">
    <cellStyle name="Currency" xfId="1" builtinId="4"/>
    <cellStyle name="Hyperlink" xfId="3" builtinId="8"/>
    <cellStyle name="Normal" xfId="0" builtinId="0"/>
    <cellStyle name="Normal 2" xfId="4" xr:uid="{64EBEAA3-ADC4-4E1D-A009-E742316EFDDC}"/>
    <cellStyle name="Percent" xfId="2" builtinId="5"/>
  </cellStyles>
  <dxfs count="1">
    <dxf>
      <fill>
        <patternFill>
          <bgColor rgb="FFFF61FF"/>
        </patternFill>
      </fill>
    </dxf>
  </dxfs>
  <tableStyles count="0" defaultTableStyle="TableStyleMedium9" defaultPivotStyle="PivotStyleLight16"/>
  <colors>
    <mruColors>
      <color rgb="FFFF61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Lines="2" dropStyle="combo" dx="16" fmlaLink="$B$6" fmlaRange="$A$52:$A$53" noThreeD="1" sel="1" val="0"/>
</file>

<file path=xl/ctrlProps/ctrlProp2.xml><?xml version="1.0" encoding="utf-8"?>
<formControlPr xmlns="http://schemas.microsoft.com/office/spreadsheetml/2009/9/main" objectType="Drop" dropLines="2" dropStyle="combo" dx="16" fmlaLink="$B$6" fmlaRange="$A$54:$A$55" noThreeD="1" sel="2"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hyperlink" Target="https://www.transportation.gov/sites/dot.gov/files/2021-02/Benefit%20Cost%20Analysis%20Guidance%202021.pdf" TargetMode="External"/><Relationship Id="rId1" Type="http://schemas.openxmlformats.org/officeDocument/2006/relationships/hyperlink" Target="http://www.dot.gov/sites/dot.gov/files/docs/TIGER%20BCA%20Resource%20Guide%202014.pdf" TargetMode="External"/></Relationships>
</file>

<file path=xl/drawings/drawing1.xml><?xml version="1.0" encoding="utf-8"?>
<xdr:wsDr xmlns:xdr="http://schemas.openxmlformats.org/drawingml/2006/spreadsheetDrawing" xmlns:a="http://schemas.openxmlformats.org/drawingml/2006/main">
  <xdr:twoCellAnchor>
    <xdr:from>
      <xdr:col>0</xdr:col>
      <xdr:colOff>335445</xdr:colOff>
      <xdr:row>1</xdr:row>
      <xdr:rowOff>74540</xdr:rowOff>
    </xdr:from>
    <xdr:to>
      <xdr:col>11</xdr:col>
      <xdr:colOff>503582</xdr:colOff>
      <xdr:row>100</xdr:row>
      <xdr:rowOff>99392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35445" y="260070"/>
          <a:ext cx="10822885" cy="18392365"/>
        </a:xfrm>
        <a:prstGeom prst="rect">
          <a:avLst/>
        </a:prstGeom>
        <a:solidFill>
          <a:schemeClr val="bg1">
            <a:lumMod val="95000"/>
          </a:schemeClr>
        </a:solidFill>
        <a:ln>
          <a:solidFill>
            <a:schemeClr val="accent1">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Instructions: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On the "Inputs &amp; Outputs" tab, fill in all "blue " shaded sections (Project Information, Proposed Improvement Information and Daily Travel Demand). Download 2018-2022 	crash data and Ped bike commuter analysis from interactive web applications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paste them into ‘Raw Crash data’ and ‘Ped Bike commuter analysis data’ tabs 	(instructions are provided below). </a:t>
          </a:r>
        </a:p>
        <a:p>
          <a:r>
            <a:rPr lang="en-US" sz="1100" b="1">
              <a:solidFill>
                <a:schemeClr val="dk1"/>
              </a:solidFill>
              <a:effectLst/>
              <a:latin typeface="+mn-lt"/>
              <a:ea typeface="+mn-ea"/>
              <a:cs typeface="+mn-cs"/>
            </a:rPr>
            <a:t>Project Information:</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Project Title: Enter the proposed project name/title.</a:t>
          </a:r>
        </a:p>
        <a:p>
          <a:r>
            <a:rPr lang="en-US" sz="1100">
              <a:solidFill>
                <a:schemeClr val="dk1"/>
              </a:solidFill>
              <a:effectLst/>
              <a:latin typeface="+mn-lt"/>
              <a:ea typeface="+mn-ea"/>
              <a:cs typeface="+mn-cs"/>
            </a:rPr>
            <a:t>	County: Select County name from the drop-down list.  If the proposed roadway project crosses county boundary, then select the county that contains majority of the 	project area.</a:t>
          </a:r>
        </a:p>
        <a:p>
          <a:r>
            <a:rPr lang="en-US" sz="1100">
              <a:solidFill>
                <a:schemeClr val="dk1"/>
              </a:solidFill>
              <a:effectLst/>
              <a:latin typeface="+mn-lt"/>
              <a:ea typeface="+mn-ea"/>
              <a:cs typeface="+mn-cs"/>
            </a:rPr>
            <a:t>	Facility Type: Select the facility type of the proposed project from the drop-down list.</a:t>
          </a:r>
        </a:p>
        <a:p>
          <a:r>
            <a:rPr lang="en-US" sz="1100">
              <a:solidFill>
                <a:schemeClr val="dk1"/>
              </a:solidFill>
              <a:effectLst/>
              <a:latin typeface="+mn-lt"/>
              <a:ea typeface="+mn-ea"/>
              <a:cs typeface="+mn-cs"/>
            </a:rPr>
            <a:t>	Street Name: Enter name of the facility on which proposed project/improvement is located. </a:t>
          </a:r>
        </a:p>
        <a:p>
          <a:r>
            <a:rPr lang="en-US" sz="1100">
              <a:solidFill>
                <a:schemeClr val="dk1"/>
              </a:solidFill>
              <a:effectLst/>
              <a:latin typeface="+mn-lt"/>
              <a:ea typeface="+mn-ea"/>
              <a:cs typeface="+mn-cs"/>
            </a:rPr>
            <a:t>	Limits: Enter name limits from and to.</a:t>
          </a:r>
        </a:p>
        <a:p>
          <a:r>
            <a:rPr lang="en-US" sz="1100">
              <a:solidFill>
                <a:schemeClr val="dk1"/>
              </a:solidFill>
              <a:effectLst/>
              <a:latin typeface="+mn-lt"/>
              <a:ea typeface="+mn-ea"/>
              <a:cs typeface="+mn-cs"/>
            </a:rPr>
            <a:t>	Project Length: Provide project length in miles.  For intersection improvements, interchange construction, highway or railroad grade separation projects please use the 	distance up to next intersection (on either side of the proposed project intersection) or 0.25 miles 	whichever is smaller in length.</a:t>
          </a:r>
        </a:p>
        <a:p>
          <a:r>
            <a:rPr lang="en-US" sz="1100">
              <a:solidFill>
                <a:schemeClr val="dk1"/>
              </a:solidFill>
              <a:effectLst/>
              <a:latin typeface="+mn-lt"/>
              <a:ea typeface="+mn-ea"/>
              <a:cs typeface="+mn-cs"/>
            </a:rPr>
            <a:t>	Application Id Number: Please provide online project application Id Number.</a:t>
          </a:r>
        </a:p>
        <a:p>
          <a:r>
            <a:rPr lang="en-US" sz="1100">
              <a:solidFill>
                <a:schemeClr val="dk1"/>
              </a:solidFill>
              <a:effectLst/>
              <a:latin typeface="+mn-lt"/>
              <a:ea typeface="+mn-ea"/>
              <a:cs typeface="+mn-cs"/>
            </a:rPr>
            <a:t>	CSJ Number/MPOID Number (C13): If the proposed project is listed in 2045 RTP or any previous RTPs please provide the MPOID number and CSJ number (if it exists).</a:t>
          </a:r>
        </a:p>
        <a:p>
          <a:r>
            <a:rPr lang="en-US" sz="1100">
              <a:solidFill>
                <a:schemeClr val="dk1"/>
              </a:solidFill>
              <a:effectLst/>
              <a:latin typeface="+mn-lt"/>
              <a:ea typeface="+mn-ea"/>
              <a:cs typeface="+mn-cs"/>
            </a:rPr>
            <a:t> </a:t>
          </a:r>
          <a:r>
            <a:rPr lang="en-US" sz="1100" b="1" i="1">
              <a:solidFill>
                <a:schemeClr val="dk1"/>
              </a:solidFill>
              <a:effectLst/>
              <a:latin typeface="+mn-lt"/>
              <a:ea typeface="+mn-ea"/>
              <a:cs typeface="+mn-cs"/>
            </a:rPr>
            <a:t>Proposed Improvement Information</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Year Open to Traffic Must be &gt;=2025:</a:t>
          </a:r>
          <a:r>
            <a:rPr lang="en-US" sz="1100">
              <a:solidFill>
                <a:schemeClr val="dk1"/>
              </a:solidFill>
              <a:effectLst/>
              <a:latin typeface="+mn-lt"/>
              <a:ea typeface="+mn-ea"/>
              <a:cs typeface="+mn-cs"/>
            </a:rPr>
            <a:t> Select the year Open to Traffic from the drop-down list in cell C16.</a:t>
          </a:r>
        </a:p>
        <a:p>
          <a:r>
            <a:rPr lang="en-US" sz="1100" i="1">
              <a:solidFill>
                <a:schemeClr val="dk1"/>
              </a:solidFill>
              <a:effectLst/>
              <a:latin typeface="+mn-lt"/>
              <a:ea typeface="+mn-ea"/>
              <a:cs typeface="+mn-cs"/>
            </a:rPr>
            <a:t>	Safety Improvement Type 1, 2, and 3:</a:t>
          </a:r>
          <a:r>
            <a:rPr lang="en-US" sz="1100">
              <a:solidFill>
                <a:schemeClr val="dk1"/>
              </a:solidFill>
              <a:effectLst/>
              <a:latin typeface="+mn-lt"/>
              <a:ea typeface="+mn-ea"/>
              <a:cs typeface="+mn-cs"/>
            </a:rPr>
            <a:t> Select up to 3 safety improvement types from the dropdown lists.</a:t>
          </a:r>
        </a:p>
        <a:p>
          <a:r>
            <a:rPr lang="en-US" sz="1100" i="1">
              <a:solidFill>
                <a:schemeClr val="dk1"/>
              </a:solidFill>
              <a:effectLst/>
              <a:latin typeface="+mn-lt"/>
              <a:ea typeface="+mn-ea"/>
              <a:cs typeface="+mn-cs"/>
            </a:rPr>
            <a:t>	Bike/Ped Improvement Type: Select bike/ped improvement type from the dropdown list. If no bike/ped improvements are proposed leave blank.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Daily Travel Demand</a:t>
          </a:r>
          <a:r>
            <a:rPr lang="en-US" sz="1100" i="1">
              <a:solidFill>
                <a:schemeClr val="dk1"/>
              </a:solidFill>
              <a:effectLst/>
              <a:latin typeface="+mn-lt"/>
              <a:ea typeface="+mn-ea"/>
              <a:cs typeface="+mn-cs"/>
            </a:rPr>
            <a:t>:</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2021 Traffic Volume: </a:t>
          </a:r>
          <a:r>
            <a:rPr lang="en-US" sz="1100">
              <a:solidFill>
                <a:schemeClr val="dk1"/>
              </a:solidFill>
              <a:effectLst/>
              <a:latin typeface="+mn-lt"/>
              <a:ea typeface="+mn-ea"/>
              <a:cs typeface="+mn-cs"/>
            </a:rPr>
            <a:t>Enter estimated 2021 AADT. H-GAC traffic count data is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(For new road construction projects please reach out to H-GAC staff)</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Raw Crash data:</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	</a:t>
          </a:r>
          <a:r>
            <a:rPr lang="en-US" sz="1100" kern="300" spc="0" baseline="0">
              <a:solidFill>
                <a:schemeClr val="dk1"/>
              </a:solidFill>
              <a:effectLst/>
              <a:latin typeface="+mn-lt"/>
              <a:ea typeface="+mn-ea"/>
              <a:cs typeface="+mn-cs"/>
            </a:rPr>
            <a:t>Open Regional Crash data available </a:t>
          </a:r>
          <a:r>
            <a:rPr lang="en-US" sz="1100" u="sng" kern="300" spc="0" baseline="0">
              <a:solidFill>
                <a:schemeClr val="dk1"/>
              </a:solidFill>
              <a:effectLst/>
              <a:latin typeface="+mn-lt"/>
              <a:ea typeface="+mn-ea"/>
              <a:cs typeface="+mn-cs"/>
              <a:hlinkClick xmlns:r="http://schemas.openxmlformats.org/officeDocument/2006/relationships" r:id=""/>
            </a:rPr>
            <a:t>here</a:t>
          </a:r>
          <a:r>
            <a:rPr lang="en-US" sz="1100" kern="300" spc="0" baseline="0">
              <a:solidFill>
                <a:schemeClr val="dk1"/>
              </a:solidFill>
              <a:effectLst/>
              <a:latin typeface="+mn-lt"/>
              <a:ea typeface="+mn-ea"/>
              <a:cs typeface="+mn-cs"/>
            </a:rPr>
            <a:t>.</a:t>
          </a:r>
        </a:p>
        <a:p>
          <a:endParaRPr lang="en-US" sz="1100" kern="300" spc="0" baseline="0">
            <a:solidFill>
              <a:schemeClr val="dk1"/>
            </a:solidFill>
            <a:effectLst/>
            <a:latin typeface="+mn-lt"/>
            <a:ea typeface="+mn-ea"/>
            <a:cs typeface="+mn-cs"/>
          </a:endParaRPr>
        </a:p>
        <a:p>
          <a:r>
            <a:rPr lang="en-US" sz="1100" kern="300" spc="0" baseline="0">
              <a:solidFill>
                <a:schemeClr val="dk1"/>
              </a:solidFill>
              <a:effectLst/>
              <a:latin typeface="+mn-lt"/>
              <a:ea typeface="+mn-ea"/>
              <a:cs typeface="+mn-cs"/>
            </a:rPr>
            <a:t>	Open Crash Data Viewer tab</a:t>
          </a:r>
        </a:p>
        <a:p>
          <a:r>
            <a:rPr lang="en-US" sz="1100" kern="300" spc="0" baseline="0">
              <a:solidFill>
                <a:schemeClr val="dk1"/>
              </a:solidFill>
              <a:effectLst/>
              <a:latin typeface="+mn-lt"/>
              <a:ea typeface="+mn-ea"/>
              <a:cs typeface="+mn-cs"/>
            </a:rPr>
            <a:t>	Click on Location Analysis Widget </a:t>
          </a:r>
        </a:p>
        <a:p>
          <a:r>
            <a:rPr lang="en-US" sz="1100" kern="300" spc="0" baseline="0">
              <a:solidFill>
                <a:schemeClr val="dk1"/>
              </a:solidFill>
              <a:effectLst/>
              <a:latin typeface="+mn-lt"/>
              <a:ea typeface="+mn-ea"/>
              <a:cs typeface="+mn-cs"/>
            </a:rPr>
            <a:t>	Analysis </a:t>
          </a:r>
          <a:r>
            <a:rPr lang="en-US" sz="1100">
              <a:solidFill>
                <a:schemeClr val="dk1"/>
              </a:solidFill>
              <a:effectLst/>
              <a:latin typeface="+mn-lt"/>
              <a:ea typeface="+mn-ea"/>
              <a:cs typeface="+mn-cs"/>
            </a:rPr>
            <a:t>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0.02 miles (~100 feet) for divided highway set buffer distance that can capture both directions. If project dose not include improvements to frontage roads 	make sure to exclude frontage roads from selection.</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data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a:solidFill>
                <a:schemeClr val="dk1"/>
              </a:solidFill>
              <a:effectLst/>
              <a:latin typeface="+mn-lt"/>
              <a:ea typeface="+mn-ea"/>
              <a:cs typeface="+mn-cs"/>
            </a:rPr>
            <a:t>	For Intersection improvements, interchanges, grade separation click on Draw point </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b="1" i="1">
              <a:solidFill>
                <a:schemeClr val="dk1"/>
              </a:solidFill>
              <a:effectLst/>
              <a:latin typeface="+mn-lt"/>
              <a:ea typeface="+mn-ea"/>
              <a:cs typeface="+mn-cs"/>
            </a:rPr>
            <a:t>Ped bike commuter analysis data</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Open Activity-Connectivity Explorer – Advanced Viewer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	Click on Location Analysis Widget </a:t>
          </a:r>
        </a:p>
        <a:p>
          <a:r>
            <a:rPr lang="en-US" sz="1100">
              <a:solidFill>
                <a:schemeClr val="dk1"/>
              </a:solidFill>
              <a:effectLst/>
              <a:latin typeface="+mn-lt"/>
              <a:ea typeface="+mn-ea"/>
              <a:cs typeface="+mn-cs"/>
            </a:rPr>
            <a:t>	Analysis 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Ped-Bike Commuter Analysis tab to view results.</a:t>
          </a:r>
        </a:p>
        <a:p>
          <a:r>
            <a:rPr lang="en-US" sz="1100">
              <a:solidFill>
                <a:schemeClr val="dk1"/>
              </a:solidFill>
              <a:effectLst/>
              <a:latin typeface="+mn-lt"/>
              <a:ea typeface="+mn-ea"/>
              <a:cs typeface="+mn-cs"/>
            </a:rPr>
            <a:t>	Click Download        data in.csv format.  Save the file. </a:t>
          </a:r>
        </a:p>
        <a:p>
          <a:r>
            <a:rPr lang="en-US" sz="1100">
              <a:solidFill>
                <a:schemeClr val="dk1"/>
              </a:solidFill>
              <a:effectLst/>
              <a:latin typeface="+mn-lt"/>
              <a:ea typeface="+mn-ea"/>
              <a:cs typeface="+mn-cs"/>
            </a:rPr>
            <a:t>	Copy downloaded data and save it to Ped bike commuter analysis tab. Make sure to copy and save all data from cell A1</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b="1" baseline="0">
            <a:solidFill>
              <a:schemeClr val="bg1"/>
            </a:solidFill>
            <a:latin typeface="+mn-lt"/>
          </a:endParaRPr>
        </a:p>
      </xdr:txBody>
    </xdr:sp>
    <xdr:clientData/>
  </xdr:twoCellAnchor>
  <xdr:twoCellAnchor editAs="oneCell">
    <xdr:from>
      <xdr:col>0</xdr:col>
      <xdr:colOff>3001617</xdr:colOff>
      <xdr:row>25</xdr:row>
      <xdr:rowOff>78995</xdr:rowOff>
    </xdr:from>
    <xdr:to>
      <xdr:col>1</xdr:col>
      <xdr:colOff>735496</xdr:colOff>
      <xdr:row>26</xdr:row>
      <xdr:rowOff>72743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01617" y="4717256"/>
          <a:ext cx="828262" cy="179278"/>
        </a:xfrm>
        <a:prstGeom prst="rect">
          <a:avLst/>
        </a:prstGeom>
      </xdr:spPr>
    </xdr:pic>
    <xdr:clientData/>
  </xdr:twoCellAnchor>
  <xdr:twoCellAnchor editAs="oneCell">
    <xdr:from>
      <xdr:col>1</xdr:col>
      <xdr:colOff>185530</xdr:colOff>
      <xdr:row>26</xdr:row>
      <xdr:rowOff>99392</xdr:rowOff>
    </xdr:from>
    <xdr:to>
      <xdr:col>1</xdr:col>
      <xdr:colOff>364648</xdr:colOff>
      <xdr:row>27</xdr:row>
      <xdr:rowOff>89567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79913" y="4923183"/>
          <a:ext cx="179118" cy="175706"/>
        </a:xfrm>
        <a:prstGeom prst="rect">
          <a:avLst/>
        </a:prstGeom>
      </xdr:spPr>
    </xdr:pic>
    <xdr:clientData/>
  </xdr:twoCellAnchor>
  <xdr:twoCellAnchor editAs="oneCell">
    <xdr:from>
      <xdr:col>0</xdr:col>
      <xdr:colOff>1230893</xdr:colOff>
      <xdr:row>29</xdr:row>
      <xdr:rowOff>103772</xdr:rowOff>
    </xdr:from>
    <xdr:to>
      <xdr:col>1</xdr:col>
      <xdr:colOff>390347</xdr:colOff>
      <xdr:row>33</xdr:row>
      <xdr:rowOff>80371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230893" y="5303301"/>
          <a:ext cx="2252278" cy="693776"/>
        </a:xfrm>
        <a:prstGeom prst="rect">
          <a:avLst/>
        </a:prstGeom>
      </xdr:spPr>
    </xdr:pic>
    <xdr:clientData/>
  </xdr:twoCellAnchor>
  <xdr:twoCellAnchor editAs="oneCell">
    <xdr:from>
      <xdr:col>1</xdr:col>
      <xdr:colOff>527602</xdr:colOff>
      <xdr:row>33</xdr:row>
      <xdr:rowOff>133785</xdr:rowOff>
    </xdr:from>
    <xdr:to>
      <xdr:col>1</xdr:col>
      <xdr:colOff>691432</xdr:colOff>
      <xdr:row>34</xdr:row>
      <xdr:rowOff>116530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3620426" y="6050491"/>
          <a:ext cx="163830" cy="162039"/>
        </a:xfrm>
        <a:prstGeom prst="rect">
          <a:avLst/>
        </a:prstGeom>
      </xdr:spPr>
    </xdr:pic>
    <xdr:clientData/>
  </xdr:twoCellAnchor>
  <xdr:twoCellAnchor editAs="oneCell">
    <xdr:from>
      <xdr:col>0</xdr:col>
      <xdr:colOff>1338470</xdr:colOff>
      <xdr:row>36</xdr:row>
      <xdr:rowOff>107467</xdr:rowOff>
    </xdr:from>
    <xdr:to>
      <xdr:col>3</xdr:col>
      <xdr:colOff>1492583</xdr:colOff>
      <xdr:row>48</xdr:row>
      <xdr:rowOff>165652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1338470" y="6786563"/>
          <a:ext cx="4474322" cy="2284550"/>
        </a:xfrm>
        <a:prstGeom prst="rect">
          <a:avLst/>
        </a:prstGeom>
      </xdr:spPr>
    </xdr:pic>
    <xdr:clientData/>
  </xdr:twoCellAnchor>
  <xdr:twoCellAnchor editAs="oneCell">
    <xdr:from>
      <xdr:col>0</xdr:col>
      <xdr:colOff>2303394</xdr:colOff>
      <xdr:row>50</xdr:row>
      <xdr:rowOff>41410</xdr:rowOff>
    </xdr:from>
    <xdr:to>
      <xdr:col>0</xdr:col>
      <xdr:colOff>2544694</xdr:colOff>
      <xdr:row>51</xdr:row>
      <xdr:rowOff>40665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stretch>
          <a:fillRect/>
        </a:stretch>
      </xdr:blipFill>
      <xdr:spPr>
        <a:xfrm>
          <a:off x="2303394" y="9317932"/>
          <a:ext cx="241300" cy="184785"/>
        </a:xfrm>
        <a:prstGeom prst="rect">
          <a:avLst/>
        </a:prstGeom>
      </xdr:spPr>
    </xdr:pic>
    <xdr:clientData/>
  </xdr:twoCellAnchor>
  <xdr:twoCellAnchor editAs="oneCell">
    <xdr:from>
      <xdr:col>4</xdr:col>
      <xdr:colOff>189670</xdr:colOff>
      <xdr:row>52</xdr:row>
      <xdr:rowOff>41409</xdr:rowOff>
    </xdr:from>
    <xdr:to>
      <xdr:col>4</xdr:col>
      <xdr:colOff>373820</xdr:colOff>
      <xdr:row>53</xdr:row>
      <xdr:rowOff>46379</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a:stretch>
          <a:fillRect/>
        </a:stretch>
      </xdr:blipFill>
      <xdr:spPr>
        <a:xfrm>
          <a:off x="6126644" y="9688992"/>
          <a:ext cx="184150" cy="190500"/>
        </a:xfrm>
        <a:prstGeom prst="rect">
          <a:avLst/>
        </a:prstGeom>
      </xdr:spPr>
    </xdr:pic>
    <xdr:clientData/>
  </xdr:twoCellAnchor>
  <xdr:twoCellAnchor editAs="oneCell">
    <xdr:from>
      <xdr:col>0</xdr:col>
      <xdr:colOff>1322731</xdr:colOff>
      <xdr:row>54</xdr:row>
      <xdr:rowOff>48038</xdr:rowOff>
    </xdr:from>
    <xdr:to>
      <xdr:col>3</xdr:col>
      <xdr:colOff>848139</xdr:colOff>
      <xdr:row>64</xdr:row>
      <xdr:rowOff>127947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8"/>
        <a:stretch>
          <a:fillRect/>
        </a:stretch>
      </xdr:blipFill>
      <xdr:spPr>
        <a:xfrm>
          <a:off x="1322731" y="10066681"/>
          <a:ext cx="3845617" cy="1935214"/>
        </a:xfrm>
        <a:prstGeom prst="rect">
          <a:avLst/>
        </a:prstGeom>
      </xdr:spPr>
    </xdr:pic>
    <xdr:clientData/>
  </xdr:twoCellAnchor>
  <xdr:twoCellAnchor editAs="oneCell">
    <xdr:from>
      <xdr:col>0</xdr:col>
      <xdr:colOff>2217254</xdr:colOff>
      <xdr:row>66</xdr:row>
      <xdr:rowOff>160678</xdr:rowOff>
    </xdr:from>
    <xdr:to>
      <xdr:col>0</xdr:col>
      <xdr:colOff>2458554</xdr:colOff>
      <xdr:row>67</xdr:row>
      <xdr:rowOff>159933</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a:stretch>
          <a:fillRect/>
        </a:stretch>
      </xdr:blipFill>
      <xdr:spPr>
        <a:xfrm>
          <a:off x="2217254" y="12405687"/>
          <a:ext cx="241300" cy="184785"/>
        </a:xfrm>
        <a:prstGeom prst="rect">
          <a:avLst/>
        </a:prstGeom>
      </xdr:spPr>
    </xdr:pic>
    <xdr:clientData/>
  </xdr:twoCellAnchor>
  <xdr:twoCellAnchor editAs="oneCell">
    <xdr:from>
      <xdr:col>1</xdr:col>
      <xdr:colOff>169791</xdr:colOff>
      <xdr:row>70</xdr:row>
      <xdr:rowOff>120924</xdr:rowOff>
    </xdr:from>
    <xdr:to>
      <xdr:col>1</xdr:col>
      <xdr:colOff>334891</xdr:colOff>
      <xdr:row>71</xdr:row>
      <xdr:rowOff>90968</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a:stretch>
          <a:fillRect/>
        </a:stretch>
      </xdr:blipFill>
      <xdr:spPr>
        <a:xfrm>
          <a:off x="3264174" y="13108054"/>
          <a:ext cx="165100" cy="155575"/>
        </a:xfrm>
        <a:prstGeom prst="rect">
          <a:avLst/>
        </a:prstGeom>
      </xdr:spPr>
    </xdr:pic>
    <xdr:clientData/>
  </xdr:twoCellAnchor>
  <xdr:twoCellAnchor editAs="oneCell">
    <xdr:from>
      <xdr:col>0</xdr:col>
      <xdr:colOff>1335985</xdr:colOff>
      <xdr:row>72</xdr:row>
      <xdr:rowOff>147427</xdr:rowOff>
    </xdr:from>
    <xdr:to>
      <xdr:col>2</xdr:col>
      <xdr:colOff>120236</xdr:colOff>
      <xdr:row>77</xdr:row>
      <xdr:rowOff>93535</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a:stretch>
          <a:fillRect/>
        </a:stretch>
      </xdr:blipFill>
      <xdr:spPr>
        <a:xfrm>
          <a:off x="1335985" y="13505618"/>
          <a:ext cx="2740025" cy="873760"/>
        </a:xfrm>
        <a:prstGeom prst="rect">
          <a:avLst/>
        </a:prstGeom>
      </xdr:spPr>
    </xdr:pic>
    <xdr:clientData/>
  </xdr:twoCellAnchor>
  <xdr:twoCellAnchor editAs="oneCell">
    <xdr:from>
      <xdr:col>1</xdr:col>
      <xdr:colOff>534227</xdr:colOff>
      <xdr:row>78</xdr:row>
      <xdr:rowOff>120922</xdr:rowOff>
    </xdr:from>
    <xdr:to>
      <xdr:col>1</xdr:col>
      <xdr:colOff>698057</xdr:colOff>
      <xdr:row>79</xdr:row>
      <xdr:rowOff>103667</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stretch>
          <a:fillRect/>
        </a:stretch>
      </xdr:blipFill>
      <xdr:spPr>
        <a:xfrm>
          <a:off x="3628610" y="14592296"/>
          <a:ext cx="163830" cy="168275"/>
        </a:xfrm>
        <a:prstGeom prst="rect">
          <a:avLst/>
        </a:prstGeom>
      </xdr:spPr>
    </xdr:pic>
    <xdr:clientData/>
  </xdr:twoCellAnchor>
  <xdr:twoCellAnchor editAs="oneCell">
    <xdr:from>
      <xdr:col>0</xdr:col>
      <xdr:colOff>1316107</xdr:colOff>
      <xdr:row>82</xdr:row>
      <xdr:rowOff>1654</xdr:rowOff>
    </xdr:from>
    <xdr:to>
      <xdr:col>3</xdr:col>
      <xdr:colOff>1086678</xdr:colOff>
      <xdr:row>93</xdr:row>
      <xdr:rowOff>24404</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a:stretch>
          <a:fillRect/>
        </a:stretch>
      </xdr:blipFill>
      <xdr:spPr>
        <a:xfrm>
          <a:off x="1316107" y="15215150"/>
          <a:ext cx="4090780" cy="2063584"/>
        </a:xfrm>
        <a:prstGeom prst="rect">
          <a:avLst/>
        </a:prstGeom>
      </xdr:spPr>
    </xdr:pic>
    <xdr:clientData/>
  </xdr:twoCellAnchor>
  <xdr:twoCellAnchor editAs="oneCell">
    <xdr:from>
      <xdr:col>0</xdr:col>
      <xdr:colOff>2223880</xdr:colOff>
      <xdr:row>95</xdr:row>
      <xdr:rowOff>74538</xdr:rowOff>
    </xdr:from>
    <xdr:to>
      <xdr:col>0</xdr:col>
      <xdr:colOff>2465180</xdr:colOff>
      <xdr:row>96</xdr:row>
      <xdr:rowOff>73792</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stretch>
          <a:fillRect/>
        </a:stretch>
      </xdr:blipFill>
      <xdr:spPr>
        <a:xfrm>
          <a:off x="2223880" y="17699929"/>
          <a:ext cx="241300" cy="1847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"Daily System/Facility</a:t>
          </a:r>
          <a:r>
            <a:rPr lang="en-US" sz="1100" b="0" baseline="0">
              <a:solidFill>
                <a:schemeClr val="bg1"/>
              </a:solidFill>
            </a:rPr>
            <a:t> Data").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Annual VHT Savings can be entered directly into the "purple" shaded cells to the right. In this case, please provide sufficient documentation of how the delay savings have been estimated, including baseline data and interim calculation documents (spreadsheets, etc.).</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6350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"Emissions Reduction Estimates</a:t>
          </a:r>
          <a:r>
            <a:rPr lang="en-US" sz="1100" b="0" baseline="0">
              <a:solidFill>
                <a:schemeClr val="bg1"/>
              </a:solidFill>
            </a:rPr>
            <a:t>").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This sheet will take either an estimate of daily VMT reduced or annual metric tons of pollutant reduced. For projects where emissions reduction vary by year, formulas in the "purple" cells to the right may be overwritten. Emissions factors for bike/ped and LCI projects are provided, please contact H-GAC for assistance in identifing the appropriate emissions factors for other project types.</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6350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19050</xdr:colOff>
      <xdr:row>23</xdr:row>
      <xdr:rowOff>152400</xdr:rowOff>
    </xdr:from>
    <xdr:to>
      <xdr:col>2</xdr:col>
      <xdr:colOff>1485900</xdr:colOff>
      <xdr:row>29</xdr:row>
      <xdr:rowOff>28575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247650" y="4200525"/>
          <a:ext cx="562927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t>* To the greatest extent possible, these values are taken from or consistent with the "TIGER Benefit-Cost Analysis (BCA) Resource Guide" published by US DOT for the FY 2014 Transportation Investment Generating Economic Recovery (TIGER) application. The full resource guide is available online at: </a:t>
          </a:r>
          <a:r>
            <a:rPr lang="en-US" sz="1050" u="sng">
              <a:solidFill>
                <a:srgbClr val="0000FF"/>
              </a:solidFill>
            </a:rPr>
            <a:t>https://cms.dot.gov/sites/dot.gov/files/docs/BCA%20Resource%20Guide%20-%20November%202016.pdf</a:t>
          </a:r>
          <a:r>
            <a:rPr lang="en-US" sz="1050"/>
            <a:t>.</a:t>
          </a:r>
        </a:p>
      </xdr:txBody>
    </xdr:sp>
    <xdr:clientData/>
  </xdr:twoCellAnchor>
  <xdr:twoCellAnchor>
    <xdr:from>
      <xdr:col>0</xdr:col>
      <xdr:colOff>209551</xdr:colOff>
      <xdr:row>31</xdr:row>
      <xdr:rowOff>9526</xdr:rowOff>
    </xdr:from>
    <xdr:to>
      <xdr:col>3</xdr:col>
      <xdr:colOff>0</xdr:colOff>
      <xdr:row>38</xdr:row>
      <xdr:rowOff>76200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xdr:nvSpPr>
      <xdr:spPr>
        <a:xfrm>
          <a:off x="209551" y="2486026"/>
          <a:ext cx="5695949" cy="1400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effectLst/>
              <a:latin typeface="+mn-lt"/>
              <a:ea typeface="+mn-ea"/>
              <a:cs typeface="+mn-cs"/>
            </a:rPr>
            <a:t>To the greatest extent possible, these values are taken from or consistent with the "Benefit-Cost Analysis Guidance for Discretionary</a:t>
          </a:r>
          <a:r>
            <a:rPr lang="en-US" sz="1100" baseline="0">
              <a:solidFill>
                <a:schemeClr val="dk1"/>
              </a:solidFill>
              <a:effectLst/>
              <a:latin typeface="+mn-lt"/>
              <a:ea typeface="+mn-ea"/>
              <a:cs typeface="+mn-cs"/>
            </a:rPr>
            <a:t> Grant Programs</a:t>
          </a:r>
          <a:r>
            <a:rPr lang="en-US" sz="1100">
              <a:solidFill>
                <a:schemeClr val="dk1"/>
              </a:solidFill>
              <a:effectLst/>
              <a:latin typeface="+mn-lt"/>
              <a:ea typeface="+mn-ea"/>
              <a:cs typeface="+mn-cs"/>
            </a:rPr>
            <a:t>" published by US DOT in February 2021. The full resource guide is available online at:  </a:t>
          </a:r>
          <a:r>
            <a:rPr lang="en-US" sz="1100" u="sng">
              <a:solidFill>
                <a:schemeClr val="dk1"/>
              </a:solidFill>
              <a:effectLst/>
              <a:latin typeface="+mn-lt"/>
              <a:ea typeface="+mn-ea"/>
              <a:cs typeface="+mn-cs"/>
            </a:rPr>
            <a:t>https://www.transportation.gov/sites/dot.gov/files/2021-02/Benefit%20Cost%20Analysis%20Guidance%202021.pd</a:t>
          </a:r>
        </a:p>
        <a:p>
          <a:r>
            <a:rPr lang="en-US" sz="1100" u="sng">
              <a:solidFill>
                <a:schemeClr val="dk1"/>
              </a:solidFill>
              <a:effectLst/>
              <a:latin typeface="+mn-lt"/>
              <a:ea typeface="+mn-ea"/>
              <a:cs typeface="+mn-cs"/>
            </a:rPr>
            <a:t> </a:t>
          </a:r>
          <a:endParaRPr lang="en-US" sz="1100" u="sng" baseline="0">
            <a:effectLst/>
            <a:latin typeface="Calibri" panose="020F05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ngala/AppData/Local/Microsoft/Windows/Temporary%20Internet%20Files/Content.Outlook/YYKLTGMD/Crash%20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Crashes"/>
      <sheetName val="VMT"/>
    </sheetNames>
    <sheetDataSet>
      <sheetData sheetId="0"/>
      <sheetData sheetId="1"/>
      <sheetData sheetId="2">
        <row r="45">
          <cell r="B45" t="str">
            <v>Harris</v>
          </cell>
          <cell r="C45" t="str">
            <v>Freeway/Toll</v>
          </cell>
          <cell r="D45">
            <v>61905697.659999996</v>
          </cell>
        </row>
        <row r="46">
          <cell r="B46" t="str">
            <v>Brazoria</v>
          </cell>
          <cell r="C46" t="str">
            <v>Freeway/Toll</v>
          </cell>
          <cell r="D46">
            <v>2618324.17</v>
          </cell>
        </row>
        <row r="47">
          <cell r="B47" t="str">
            <v>Fort Bend</v>
          </cell>
          <cell r="C47" t="str">
            <v>Freeway/Toll</v>
          </cell>
          <cell r="D47">
            <v>3738995.92</v>
          </cell>
        </row>
        <row r="48">
          <cell r="B48" t="str">
            <v>Waller</v>
          </cell>
          <cell r="C48" t="str">
            <v>Freeway/Toll</v>
          </cell>
          <cell r="D48">
            <v>1086148.24</v>
          </cell>
        </row>
        <row r="49">
          <cell r="B49" t="str">
            <v>Montgomery</v>
          </cell>
          <cell r="C49" t="str">
            <v>Freeway/Toll</v>
          </cell>
          <cell r="D49">
            <v>6586746.6100000003</v>
          </cell>
        </row>
        <row r="50">
          <cell r="B50" t="str">
            <v>Liberty</v>
          </cell>
          <cell r="C50" t="str">
            <v>Freeway/Toll</v>
          </cell>
          <cell r="D50">
            <v>453352.42</v>
          </cell>
        </row>
        <row r="51">
          <cell r="B51" t="str">
            <v>Chambers</v>
          </cell>
          <cell r="C51" t="str">
            <v>Freeway/Toll</v>
          </cell>
          <cell r="D51">
            <v>2686327.44</v>
          </cell>
        </row>
        <row r="52">
          <cell r="B52" t="str">
            <v xml:space="preserve">Galveston </v>
          </cell>
          <cell r="C52" t="str">
            <v>Freeway/Toll</v>
          </cell>
          <cell r="D52">
            <v>2141923.42</v>
          </cell>
        </row>
        <row r="56">
          <cell r="B56" t="str">
            <v>Harris</v>
          </cell>
          <cell r="C56" t="str">
            <v>Other</v>
          </cell>
          <cell r="D56">
            <v>68304614.209999993</v>
          </cell>
        </row>
        <row r="57">
          <cell r="B57" t="str">
            <v>Brazoria</v>
          </cell>
          <cell r="C57" t="str">
            <v>Other</v>
          </cell>
          <cell r="D57">
            <v>6349097.3499999996</v>
          </cell>
        </row>
        <row r="58">
          <cell r="B58" t="str">
            <v>Fort Bend</v>
          </cell>
          <cell r="C58" t="str">
            <v>Other</v>
          </cell>
          <cell r="D58">
            <v>11227441.77</v>
          </cell>
        </row>
        <row r="59">
          <cell r="B59" t="str">
            <v>Waller</v>
          </cell>
          <cell r="C59" t="str">
            <v>Other</v>
          </cell>
          <cell r="D59">
            <v>1071767.3799999999</v>
          </cell>
        </row>
        <row r="60">
          <cell r="B60" t="str">
            <v>Montgomery</v>
          </cell>
          <cell r="C60" t="str">
            <v>Other</v>
          </cell>
          <cell r="D60">
            <v>10802724.890000001</v>
          </cell>
        </row>
        <row r="61">
          <cell r="B61" t="str">
            <v>Liberty</v>
          </cell>
          <cell r="C61" t="str">
            <v>Other</v>
          </cell>
          <cell r="D61">
            <v>2461276.84</v>
          </cell>
        </row>
        <row r="62">
          <cell r="B62" t="str">
            <v>Chambers</v>
          </cell>
          <cell r="C62" t="str">
            <v>Other</v>
          </cell>
          <cell r="D62">
            <v>933781.03</v>
          </cell>
        </row>
        <row r="63">
          <cell r="B63" t="str">
            <v xml:space="preserve">Galveston </v>
          </cell>
          <cell r="C63" t="str">
            <v>Other</v>
          </cell>
          <cell r="D63">
            <v>4518307.46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moser.tamu.edu/docs/Texas.Guide.to.Accepted.Mobile.Source.Emission.Reduction.Strategies_August.2007.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transportation.gov/sites/dot.gov/files/2023-01/Benefit%20Cost%20Analysis%20Guidance%202023%20Updat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499984740745262"/>
    <pageSetUpPr fitToPage="1"/>
  </sheetPr>
  <dimension ref="A7"/>
  <sheetViews>
    <sheetView topLeftCell="A64" zoomScale="85" zoomScaleNormal="85" workbookViewId="0">
      <selection activeCell="N28" sqref="N28"/>
    </sheetView>
  </sheetViews>
  <sheetFormatPr defaultRowHeight="14.5" x14ac:dyDescent="0.35"/>
  <cols>
    <col min="1" max="1" width="45.08984375" bestFit="1" customWidth="1"/>
    <col min="2" max="2" width="12.54296875" customWidth="1"/>
    <col min="3" max="3" width="5.36328125" customWidth="1"/>
    <col min="4" max="4" width="23.54296875" customWidth="1"/>
    <col min="5" max="5" width="15.36328125" bestFit="1" customWidth="1"/>
    <col min="6" max="6" width="13.36328125" customWidth="1"/>
    <col min="7" max="7" width="4.54296875" customWidth="1"/>
  </cols>
  <sheetData>
    <row r="7" spans="1:1" x14ac:dyDescent="0.35">
      <c r="A7" s="22"/>
    </row>
  </sheetData>
  <pageMargins left="0.25" right="0.25" top="0.75" bottom="0.75" header="0.3" footer="0.3"/>
  <pageSetup paperSize="17"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FDEAC-D486-4AEC-BE83-F904CCE5D9AC}">
  <sheetPr>
    <tabColor theme="8"/>
  </sheetPr>
  <dimension ref="A1:BG1328"/>
  <sheetViews>
    <sheetView workbookViewId="0">
      <pane ySplit="1" topLeftCell="A2" activePane="bottomLeft" state="frozen"/>
      <selection activeCell="G1" sqref="G1"/>
      <selection pane="bottomLeft"/>
    </sheetView>
  </sheetViews>
  <sheetFormatPr defaultRowHeight="14.5" x14ac:dyDescent="0.35"/>
  <sheetData>
    <row r="1" spans="1:59" x14ac:dyDescent="0.35">
      <c r="A1" t="s">
        <v>270</v>
      </c>
      <c r="B1" t="s">
        <v>271</v>
      </c>
      <c r="C1" t="s">
        <v>272</v>
      </c>
      <c r="D1" t="s">
        <v>273</v>
      </c>
      <c r="E1" t="s">
        <v>274</v>
      </c>
      <c r="F1" t="s">
        <v>275</v>
      </c>
      <c r="G1" t="s">
        <v>276</v>
      </c>
      <c r="H1" t="s">
        <v>277</v>
      </c>
      <c r="I1" t="s">
        <v>278</v>
      </c>
      <c r="J1" t="s">
        <v>279</v>
      </c>
      <c r="K1" t="s">
        <v>280</v>
      </c>
      <c r="L1" t="s">
        <v>281</v>
      </c>
      <c r="M1" t="s">
        <v>282</v>
      </c>
      <c r="N1" t="s">
        <v>283</v>
      </c>
      <c r="O1" t="s">
        <v>284</v>
      </c>
      <c r="P1" t="s">
        <v>285</v>
      </c>
      <c r="Q1" t="s">
        <v>286</v>
      </c>
      <c r="R1" t="s">
        <v>287</v>
      </c>
      <c r="S1" t="s">
        <v>288</v>
      </c>
      <c r="T1" t="s">
        <v>289</v>
      </c>
      <c r="U1" t="s">
        <v>290</v>
      </c>
      <c r="V1" t="s">
        <v>291</v>
      </c>
      <c r="W1" t="s">
        <v>292</v>
      </c>
      <c r="X1" t="s">
        <v>293</v>
      </c>
      <c r="Y1" t="s">
        <v>294</v>
      </c>
      <c r="Z1" t="s">
        <v>295</v>
      </c>
      <c r="AA1" t="s">
        <v>296</v>
      </c>
      <c r="AB1" t="s">
        <v>297</v>
      </c>
      <c r="AC1" t="s">
        <v>298</v>
      </c>
      <c r="AD1" t="s">
        <v>299</v>
      </c>
      <c r="AE1" t="s">
        <v>300</v>
      </c>
      <c r="AF1" t="s">
        <v>301</v>
      </c>
      <c r="AG1" t="s">
        <v>302</v>
      </c>
      <c r="AH1" t="s">
        <v>303</v>
      </c>
      <c r="AI1" t="s">
        <v>304</v>
      </c>
      <c r="AJ1" t="s">
        <v>305</v>
      </c>
      <c r="AK1" t="s">
        <v>306</v>
      </c>
      <c r="AL1" t="s">
        <v>307</v>
      </c>
      <c r="AM1" t="s">
        <v>308</v>
      </c>
      <c r="AN1" t="s">
        <v>309</v>
      </c>
      <c r="AO1" t="s">
        <v>310</v>
      </c>
      <c r="AP1" t="s">
        <v>311</v>
      </c>
      <c r="AQ1" t="s">
        <v>312</v>
      </c>
      <c r="AR1" t="s">
        <v>313</v>
      </c>
      <c r="AS1" t="s">
        <v>314</v>
      </c>
      <c r="AT1" t="s">
        <v>315</v>
      </c>
      <c r="AU1" t="s">
        <v>316</v>
      </c>
      <c r="AV1" t="s">
        <v>317</v>
      </c>
      <c r="AW1" t="s">
        <v>318</v>
      </c>
      <c r="AX1" t="s">
        <v>319</v>
      </c>
      <c r="AY1" t="s">
        <v>320</v>
      </c>
      <c r="AZ1" t="s">
        <v>321</v>
      </c>
      <c r="BA1" t="s">
        <v>322</v>
      </c>
      <c r="BB1" t="s">
        <v>323</v>
      </c>
      <c r="BC1" t="s">
        <v>324</v>
      </c>
      <c r="BD1" t="s">
        <v>325</v>
      </c>
      <c r="BE1" t="s">
        <v>406</v>
      </c>
      <c r="BF1" t="s">
        <v>407</v>
      </c>
      <c r="BG1" t="s">
        <v>408</v>
      </c>
    </row>
    <row r="2" spans="1:59" x14ac:dyDescent="0.35">
      <c r="A2">
        <v>211201</v>
      </c>
      <c r="B2">
        <v>17134433</v>
      </c>
      <c r="C2">
        <v>2019</v>
      </c>
      <c r="D2" s="62">
        <v>43590</v>
      </c>
      <c r="E2">
        <v>15</v>
      </c>
      <c r="F2" t="s">
        <v>412</v>
      </c>
      <c r="G2" t="s">
        <v>436</v>
      </c>
      <c r="H2" t="s">
        <v>437</v>
      </c>
      <c r="I2" t="s">
        <v>414</v>
      </c>
      <c r="J2">
        <v>29.50050667</v>
      </c>
      <c r="K2">
        <v>-95.463960819999997</v>
      </c>
      <c r="L2" t="s">
        <v>327</v>
      </c>
      <c r="M2" t="s">
        <v>328</v>
      </c>
      <c r="N2" t="s">
        <v>329</v>
      </c>
      <c r="O2" t="s">
        <v>330</v>
      </c>
      <c r="P2" t="s">
        <v>415</v>
      </c>
      <c r="Q2" t="s">
        <v>335</v>
      </c>
      <c r="R2" t="s">
        <v>440</v>
      </c>
      <c r="S2">
        <v>0</v>
      </c>
      <c r="T2">
        <v>0</v>
      </c>
      <c r="U2">
        <v>0</v>
      </c>
      <c r="V2">
        <v>0</v>
      </c>
      <c r="W2">
        <v>0</v>
      </c>
      <c r="X2">
        <v>2</v>
      </c>
      <c r="Y2">
        <v>0</v>
      </c>
      <c r="Z2">
        <v>0</v>
      </c>
      <c r="AA2">
        <v>0</v>
      </c>
      <c r="AB2">
        <v>0</v>
      </c>
      <c r="AC2">
        <v>0</v>
      </c>
      <c r="AD2">
        <v>2</v>
      </c>
      <c r="AE2">
        <v>0</v>
      </c>
      <c r="AF2">
        <v>0</v>
      </c>
      <c r="AG2">
        <v>0</v>
      </c>
      <c r="AH2">
        <v>0</v>
      </c>
      <c r="AI2">
        <v>0</v>
      </c>
      <c r="AJ2">
        <v>0</v>
      </c>
      <c r="AK2">
        <v>0</v>
      </c>
      <c r="AL2">
        <v>0</v>
      </c>
      <c r="AM2">
        <v>0</v>
      </c>
      <c r="AN2">
        <v>0</v>
      </c>
      <c r="AO2">
        <v>0</v>
      </c>
      <c r="AP2">
        <v>0</v>
      </c>
      <c r="AQ2">
        <v>0</v>
      </c>
      <c r="AR2">
        <v>0</v>
      </c>
      <c r="AS2">
        <v>0</v>
      </c>
      <c r="AT2">
        <v>0</v>
      </c>
      <c r="AU2" t="s">
        <v>254</v>
      </c>
      <c r="AV2" t="s">
        <v>438</v>
      </c>
      <c r="AW2" t="s">
        <v>439</v>
      </c>
      <c r="AY2">
        <v>77583</v>
      </c>
      <c r="AZ2">
        <v>48157674502</v>
      </c>
      <c r="BA2" t="s">
        <v>332</v>
      </c>
      <c r="BB2" t="s">
        <v>333</v>
      </c>
      <c r="BC2">
        <v>152143</v>
      </c>
      <c r="BD2">
        <v>2473</v>
      </c>
      <c r="BE2" t="s">
        <v>411</v>
      </c>
      <c r="BF2" t="s">
        <v>411</v>
      </c>
      <c r="BG2" t="s">
        <v>411</v>
      </c>
    </row>
    <row r="3" spans="1:59" x14ac:dyDescent="0.35">
      <c r="A3">
        <v>387796</v>
      </c>
      <c r="B3">
        <v>17879750</v>
      </c>
      <c r="C3">
        <v>2020</v>
      </c>
      <c r="D3" s="62">
        <v>44079</v>
      </c>
      <c r="E3">
        <v>6</v>
      </c>
      <c r="F3" t="s">
        <v>423</v>
      </c>
      <c r="G3" t="s">
        <v>436</v>
      </c>
      <c r="H3" t="s">
        <v>437</v>
      </c>
      <c r="I3" t="s">
        <v>414</v>
      </c>
      <c r="J3">
        <v>29.50023878</v>
      </c>
      <c r="K3">
        <v>-95.464066930000001</v>
      </c>
      <c r="L3" t="s">
        <v>327</v>
      </c>
      <c r="M3" t="s">
        <v>420</v>
      </c>
      <c r="N3" t="s">
        <v>441</v>
      </c>
      <c r="O3" t="s">
        <v>424</v>
      </c>
      <c r="P3" t="s">
        <v>415</v>
      </c>
      <c r="Q3" t="s">
        <v>335</v>
      </c>
      <c r="R3" t="s">
        <v>422</v>
      </c>
      <c r="S3">
        <v>0</v>
      </c>
      <c r="T3">
        <v>0</v>
      </c>
      <c r="U3">
        <v>0</v>
      </c>
      <c r="V3">
        <v>0</v>
      </c>
      <c r="W3">
        <v>0</v>
      </c>
      <c r="X3">
        <v>1</v>
      </c>
      <c r="Y3">
        <v>0</v>
      </c>
      <c r="Z3">
        <v>0</v>
      </c>
      <c r="AA3">
        <v>0</v>
      </c>
      <c r="AB3">
        <v>0</v>
      </c>
      <c r="AC3">
        <v>0</v>
      </c>
      <c r="AD3">
        <v>1</v>
      </c>
      <c r="AE3">
        <v>0</v>
      </c>
      <c r="AF3">
        <v>0</v>
      </c>
      <c r="AG3">
        <v>0</v>
      </c>
      <c r="AH3">
        <v>0</v>
      </c>
      <c r="AI3">
        <v>0</v>
      </c>
      <c r="AJ3">
        <v>0</v>
      </c>
      <c r="AK3">
        <v>0</v>
      </c>
      <c r="AL3">
        <v>0</v>
      </c>
      <c r="AM3">
        <v>0</v>
      </c>
      <c r="AN3">
        <v>0</v>
      </c>
      <c r="AO3">
        <v>0</v>
      </c>
      <c r="AP3">
        <v>0</v>
      </c>
      <c r="AQ3">
        <v>0</v>
      </c>
      <c r="AR3">
        <v>0</v>
      </c>
      <c r="AS3">
        <v>0</v>
      </c>
      <c r="AT3">
        <v>0</v>
      </c>
      <c r="AU3" t="s">
        <v>254</v>
      </c>
      <c r="AV3" t="s">
        <v>438</v>
      </c>
      <c r="AW3" t="s">
        <v>439</v>
      </c>
      <c r="AY3">
        <v>77583</v>
      </c>
      <c r="AZ3">
        <v>48157674502</v>
      </c>
      <c r="BA3" t="s">
        <v>332</v>
      </c>
      <c r="BB3" t="s">
        <v>333</v>
      </c>
      <c r="BC3">
        <v>152143</v>
      </c>
      <c r="BD3">
        <v>2473</v>
      </c>
      <c r="BE3" t="s">
        <v>411</v>
      </c>
      <c r="BF3" t="s">
        <v>411</v>
      </c>
      <c r="BG3" t="s">
        <v>411</v>
      </c>
    </row>
    <row r="4" spans="1:59" x14ac:dyDescent="0.35">
      <c r="A4">
        <v>510943</v>
      </c>
      <c r="B4">
        <v>18380251</v>
      </c>
      <c r="C4">
        <v>2021</v>
      </c>
      <c r="D4" s="62">
        <v>44393</v>
      </c>
      <c r="E4">
        <v>14</v>
      </c>
      <c r="F4" t="s">
        <v>417</v>
      </c>
      <c r="G4" t="s">
        <v>436</v>
      </c>
      <c r="H4" t="s">
        <v>437</v>
      </c>
      <c r="I4" t="s">
        <v>326</v>
      </c>
      <c r="J4">
        <v>29.499694519999998</v>
      </c>
      <c r="K4">
        <v>-95.464282510000004</v>
      </c>
      <c r="L4" t="s">
        <v>327</v>
      </c>
      <c r="M4" t="s">
        <v>328</v>
      </c>
      <c r="N4" t="s">
        <v>419</v>
      </c>
      <c r="O4" t="s">
        <v>330</v>
      </c>
      <c r="P4" t="s">
        <v>415</v>
      </c>
      <c r="Q4" t="s">
        <v>335</v>
      </c>
      <c r="R4" t="s">
        <v>410</v>
      </c>
      <c r="S4">
        <v>0</v>
      </c>
      <c r="T4">
        <v>0</v>
      </c>
      <c r="U4">
        <v>0</v>
      </c>
      <c r="V4">
        <v>0</v>
      </c>
      <c r="W4">
        <v>0</v>
      </c>
      <c r="X4">
        <v>2</v>
      </c>
      <c r="Y4">
        <v>0</v>
      </c>
      <c r="Z4">
        <v>0</v>
      </c>
      <c r="AA4">
        <v>0</v>
      </c>
      <c r="AB4">
        <v>0</v>
      </c>
      <c r="AC4">
        <v>0</v>
      </c>
      <c r="AD4">
        <v>2</v>
      </c>
      <c r="AE4">
        <v>0</v>
      </c>
      <c r="AF4">
        <v>0</v>
      </c>
      <c r="AG4">
        <v>0</v>
      </c>
      <c r="AH4">
        <v>0</v>
      </c>
      <c r="AI4">
        <v>0</v>
      </c>
      <c r="AJ4">
        <v>0</v>
      </c>
      <c r="AK4">
        <v>0</v>
      </c>
      <c r="AL4">
        <v>0</v>
      </c>
      <c r="AM4">
        <v>0</v>
      </c>
      <c r="AN4">
        <v>0</v>
      </c>
      <c r="AO4">
        <v>0</v>
      </c>
      <c r="AP4">
        <v>0</v>
      </c>
      <c r="AQ4">
        <v>0</v>
      </c>
      <c r="AR4">
        <v>0</v>
      </c>
      <c r="AS4">
        <v>0</v>
      </c>
      <c r="AT4">
        <v>0</v>
      </c>
      <c r="AU4" t="s">
        <v>254</v>
      </c>
      <c r="AV4" t="s">
        <v>438</v>
      </c>
      <c r="AW4" t="s">
        <v>439</v>
      </c>
      <c r="AY4">
        <v>77583</v>
      </c>
      <c r="AZ4">
        <v>48157674506</v>
      </c>
      <c r="BA4" t="s">
        <v>332</v>
      </c>
      <c r="BB4" t="s">
        <v>333</v>
      </c>
      <c r="BC4">
        <v>151923</v>
      </c>
      <c r="BD4">
        <v>2473</v>
      </c>
      <c r="BE4" t="s">
        <v>411</v>
      </c>
      <c r="BF4" t="s">
        <v>411</v>
      </c>
      <c r="BG4" t="s">
        <v>411</v>
      </c>
    </row>
    <row r="5" spans="1:59" x14ac:dyDescent="0.35">
      <c r="A5">
        <v>526675</v>
      </c>
      <c r="B5">
        <v>18443291</v>
      </c>
      <c r="C5">
        <v>2021</v>
      </c>
      <c r="D5" s="62">
        <v>44426</v>
      </c>
      <c r="E5">
        <v>18</v>
      </c>
      <c r="F5" t="s">
        <v>409</v>
      </c>
      <c r="G5" t="s">
        <v>436</v>
      </c>
      <c r="H5" t="s">
        <v>437</v>
      </c>
      <c r="I5" t="s">
        <v>413</v>
      </c>
      <c r="J5">
        <v>29.500261680000001</v>
      </c>
      <c r="K5">
        <v>-95.464057850000003</v>
      </c>
      <c r="L5" t="s">
        <v>327</v>
      </c>
      <c r="M5" t="s">
        <v>328</v>
      </c>
      <c r="N5" t="s">
        <v>329</v>
      </c>
      <c r="O5" t="s">
        <v>330</v>
      </c>
      <c r="P5" t="s">
        <v>415</v>
      </c>
      <c r="Q5" t="s">
        <v>335</v>
      </c>
      <c r="R5" t="s">
        <v>416</v>
      </c>
      <c r="S5">
        <v>0</v>
      </c>
      <c r="T5">
        <v>0</v>
      </c>
      <c r="U5">
        <v>0</v>
      </c>
      <c r="V5">
        <v>0</v>
      </c>
      <c r="W5">
        <v>0</v>
      </c>
      <c r="X5">
        <v>1</v>
      </c>
      <c r="Y5">
        <v>1</v>
      </c>
      <c r="Z5">
        <v>0</v>
      </c>
      <c r="AA5">
        <v>0</v>
      </c>
      <c r="AB5">
        <v>0</v>
      </c>
      <c r="AC5">
        <v>0</v>
      </c>
      <c r="AD5">
        <v>1</v>
      </c>
      <c r="AE5">
        <v>0</v>
      </c>
      <c r="AF5">
        <v>1</v>
      </c>
      <c r="AG5">
        <v>0</v>
      </c>
      <c r="AH5">
        <v>0</v>
      </c>
      <c r="AI5">
        <v>0</v>
      </c>
      <c r="AJ5">
        <v>0</v>
      </c>
      <c r="AK5">
        <v>0</v>
      </c>
      <c r="AL5">
        <v>0</v>
      </c>
      <c r="AM5">
        <v>0</v>
      </c>
      <c r="AN5">
        <v>0</v>
      </c>
      <c r="AO5">
        <v>0</v>
      </c>
      <c r="AP5">
        <v>0</v>
      </c>
      <c r="AQ5">
        <v>0</v>
      </c>
      <c r="AR5">
        <v>0</v>
      </c>
      <c r="AS5">
        <v>0</v>
      </c>
      <c r="AT5">
        <v>0</v>
      </c>
      <c r="AU5" t="s">
        <v>254</v>
      </c>
      <c r="AV5" t="s">
        <v>438</v>
      </c>
      <c r="AW5" t="s">
        <v>439</v>
      </c>
      <c r="AY5">
        <v>77583</v>
      </c>
      <c r="AZ5">
        <v>48157674506</v>
      </c>
      <c r="BA5" t="s">
        <v>332</v>
      </c>
      <c r="BB5" t="s">
        <v>333</v>
      </c>
      <c r="BC5">
        <v>152143</v>
      </c>
      <c r="BD5">
        <v>2473</v>
      </c>
      <c r="BE5" t="s">
        <v>411</v>
      </c>
      <c r="BF5" t="s">
        <v>411</v>
      </c>
      <c r="BG5" t="s">
        <v>411</v>
      </c>
    </row>
    <row r="6" spans="1:59" x14ac:dyDescent="0.35">
      <c r="A6">
        <v>592226</v>
      </c>
      <c r="B6">
        <v>18700844</v>
      </c>
      <c r="C6">
        <v>2022</v>
      </c>
      <c r="D6" s="62">
        <v>44573</v>
      </c>
      <c r="E6">
        <v>15</v>
      </c>
      <c r="F6" t="s">
        <v>409</v>
      </c>
      <c r="G6" t="s">
        <v>436</v>
      </c>
      <c r="H6" t="s">
        <v>437</v>
      </c>
      <c r="I6" t="s">
        <v>414</v>
      </c>
      <c r="J6">
        <v>29.50039267</v>
      </c>
      <c r="K6">
        <v>-95.464005970000002</v>
      </c>
      <c r="L6" t="s">
        <v>327</v>
      </c>
      <c r="M6" t="s">
        <v>328</v>
      </c>
      <c r="N6" t="s">
        <v>329</v>
      </c>
      <c r="O6" t="s">
        <v>330</v>
      </c>
      <c r="P6" t="s">
        <v>415</v>
      </c>
      <c r="Q6" t="s">
        <v>335</v>
      </c>
      <c r="R6" t="s">
        <v>410</v>
      </c>
      <c r="S6">
        <v>0</v>
      </c>
      <c r="T6">
        <v>0</v>
      </c>
      <c r="U6">
        <v>0</v>
      </c>
      <c r="V6">
        <v>0</v>
      </c>
      <c r="W6">
        <v>0</v>
      </c>
      <c r="X6">
        <v>5</v>
      </c>
      <c r="Y6">
        <v>0</v>
      </c>
      <c r="Z6">
        <v>0</v>
      </c>
      <c r="AA6">
        <v>0</v>
      </c>
      <c r="AB6">
        <v>0</v>
      </c>
      <c r="AC6">
        <v>0</v>
      </c>
      <c r="AD6">
        <v>5</v>
      </c>
      <c r="AE6">
        <v>0</v>
      </c>
      <c r="AF6">
        <v>0</v>
      </c>
      <c r="AG6">
        <v>0</v>
      </c>
      <c r="AH6">
        <v>0</v>
      </c>
      <c r="AI6">
        <v>0</v>
      </c>
      <c r="AJ6">
        <v>0</v>
      </c>
      <c r="AK6">
        <v>0</v>
      </c>
      <c r="AL6">
        <v>0</v>
      </c>
      <c r="AM6">
        <v>0</v>
      </c>
      <c r="AN6">
        <v>0</v>
      </c>
      <c r="AO6">
        <v>0</v>
      </c>
      <c r="AP6">
        <v>0</v>
      </c>
      <c r="AQ6">
        <v>0</v>
      </c>
      <c r="AR6">
        <v>0</v>
      </c>
      <c r="AS6">
        <v>0</v>
      </c>
      <c r="AT6">
        <v>0</v>
      </c>
      <c r="AU6" t="s">
        <v>254</v>
      </c>
      <c r="AV6" t="s">
        <v>438</v>
      </c>
      <c r="AW6" t="s">
        <v>439</v>
      </c>
      <c r="AY6">
        <v>77583</v>
      </c>
      <c r="AZ6">
        <v>48157674506</v>
      </c>
      <c r="BA6" t="s">
        <v>332</v>
      </c>
      <c r="BB6" t="s">
        <v>333</v>
      </c>
      <c r="BC6">
        <v>152143</v>
      </c>
      <c r="BD6">
        <v>2473</v>
      </c>
      <c r="BE6" t="s">
        <v>411</v>
      </c>
      <c r="BF6" t="s">
        <v>411</v>
      </c>
      <c r="BG6" t="s">
        <v>411</v>
      </c>
    </row>
    <row r="7" spans="1:59" x14ac:dyDescent="0.35">
      <c r="A7">
        <v>689851</v>
      </c>
      <c r="B7">
        <v>19089072</v>
      </c>
      <c r="C7">
        <v>2022</v>
      </c>
      <c r="D7" s="62">
        <v>44779</v>
      </c>
      <c r="E7">
        <v>16</v>
      </c>
      <c r="F7" t="s">
        <v>423</v>
      </c>
      <c r="G7" t="s">
        <v>436</v>
      </c>
      <c r="H7" t="s">
        <v>437</v>
      </c>
      <c r="I7" t="s">
        <v>414</v>
      </c>
      <c r="J7">
        <v>29.501427410000002</v>
      </c>
      <c r="K7">
        <v>-95.463596100000004</v>
      </c>
      <c r="L7" t="s">
        <v>327</v>
      </c>
      <c r="M7" t="s">
        <v>328</v>
      </c>
      <c r="N7" t="s">
        <v>418</v>
      </c>
      <c r="O7" t="s">
        <v>330</v>
      </c>
      <c r="P7" t="s">
        <v>415</v>
      </c>
      <c r="Q7" t="s">
        <v>335</v>
      </c>
      <c r="R7" t="s">
        <v>416</v>
      </c>
      <c r="S7">
        <v>0</v>
      </c>
      <c r="T7">
        <v>0</v>
      </c>
      <c r="U7">
        <v>0</v>
      </c>
      <c r="V7">
        <v>0</v>
      </c>
      <c r="W7">
        <v>0</v>
      </c>
      <c r="X7">
        <v>2</v>
      </c>
      <c r="Y7">
        <v>0</v>
      </c>
      <c r="Z7">
        <v>0</v>
      </c>
      <c r="AA7">
        <v>0</v>
      </c>
      <c r="AB7">
        <v>0</v>
      </c>
      <c r="AC7">
        <v>0</v>
      </c>
      <c r="AD7">
        <v>2</v>
      </c>
      <c r="AE7">
        <v>0</v>
      </c>
      <c r="AF7">
        <v>0</v>
      </c>
      <c r="AG7">
        <v>0</v>
      </c>
      <c r="AH7">
        <v>0</v>
      </c>
      <c r="AI7">
        <v>0</v>
      </c>
      <c r="AJ7">
        <v>0</v>
      </c>
      <c r="AK7">
        <v>0</v>
      </c>
      <c r="AL7">
        <v>0</v>
      </c>
      <c r="AM7">
        <v>0</v>
      </c>
      <c r="AN7">
        <v>0</v>
      </c>
      <c r="AO7">
        <v>0</v>
      </c>
      <c r="AP7">
        <v>0</v>
      </c>
      <c r="AQ7">
        <v>0</v>
      </c>
      <c r="AR7">
        <v>0</v>
      </c>
      <c r="AS7">
        <v>0</v>
      </c>
      <c r="AT7">
        <v>0</v>
      </c>
      <c r="AU7" t="s">
        <v>254</v>
      </c>
      <c r="AV7" t="s">
        <v>438</v>
      </c>
      <c r="AW7" t="s">
        <v>439</v>
      </c>
      <c r="AY7">
        <v>77583</v>
      </c>
      <c r="AZ7">
        <v>48157674506</v>
      </c>
      <c r="BA7" t="s">
        <v>332</v>
      </c>
      <c r="BB7" t="s">
        <v>333</v>
      </c>
      <c r="BC7">
        <v>152143</v>
      </c>
      <c r="BD7">
        <v>2473</v>
      </c>
      <c r="BE7" t="s">
        <v>411</v>
      </c>
      <c r="BF7" t="s">
        <v>411</v>
      </c>
      <c r="BG7" t="s">
        <v>411</v>
      </c>
    </row>
    <row r="8" spans="1:59" x14ac:dyDescent="0.35">
      <c r="A8">
        <v>730446</v>
      </c>
      <c r="B8">
        <v>19253973</v>
      </c>
      <c r="C8">
        <v>2022</v>
      </c>
      <c r="D8" s="62">
        <v>44882</v>
      </c>
      <c r="E8">
        <v>7</v>
      </c>
      <c r="F8" t="s">
        <v>421</v>
      </c>
      <c r="G8" t="s">
        <v>436</v>
      </c>
      <c r="H8" t="s">
        <v>437</v>
      </c>
      <c r="I8" t="s">
        <v>414</v>
      </c>
      <c r="J8">
        <v>29.500028260000001</v>
      </c>
      <c r="K8">
        <v>-95.464150309999994</v>
      </c>
      <c r="L8" t="s">
        <v>327</v>
      </c>
      <c r="M8" t="s">
        <v>328</v>
      </c>
      <c r="N8" t="s">
        <v>329</v>
      </c>
      <c r="O8" t="s">
        <v>330</v>
      </c>
      <c r="P8" t="s">
        <v>415</v>
      </c>
      <c r="Q8" t="s">
        <v>335</v>
      </c>
      <c r="R8" t="s">
        <v>410</v>
      </c>
      <c r="S8">
        <v>0</v>
      </c>
      <c r="T8">
        <v>0</v>
      </c>
      <c r="U8">
        <v>0</v>
      </c>
      <c r="V8">
        <v>0</v>
      </c>
      <c r="W8">
        <v>0</v>
      </c>
      <c r="X8">
        <v>8</v>
      </c>
      <c r="Y8">
        <v>0</v>
      </c>
      <c r="Z8">
        <v>0</v>
      </c>
      <c r="AA8">
        <v>0</v>
      </c>
      <c r="AB8">
        <v>0</v>
      </c>
      <c r="AC8">
        <v>0</v>
      </c>
      <c r="AD8">
        <v>8</v>
      </c>
      <c r="AE8">
        <v>0</v>
      </c>
      <c r="AF8">
        <v>0</v>
      </c>
      <c r="AG8">
        <v>0</v>
      </c>
      <c r="AH8">
        <v>0</v>
      </c>
      <c r="AI8">
        <v>0</v>
      </c>
      <c r="AJ8">
        <v>0</v>
      </c>
      <c r="AK8">
        <v>0</v>
      </c>
      <c r="AL8">
        <v>0</v>
      </c>
      <c r="AM8">
        <v>0</v>
      </c>
      <c r="AN8">
        <v>0</v>
      </c>
      <c r="AO8">
        <v>0</v>
      </c>
      <c r="AP8">
        <v>0</v>
      </c>
      <c r="AQ8">
        <v>0</v>
      </c>
      <c r="AR8">
        <v>0</v>
      </c>
      <c r="AS8">
        <v>0</v>
      </c>
      <c r="AT8">
        <v>0</v>
      </c>
      <c r="AU8" t="s">
        <v>254</v>
      </c>
      <c r="AV8" t="s">
        <v>438</v>
      </c>
      <c r="AW8" t="s">
        <v>439</v>
      </c>
      <c r="AY8">
        <v>77583</v>
      </c>
      <c r="AZ8">
        <v>48157674506</v>
      </c>
      <c r="BA8" t="s">
        <v>332</v>
      </c>
      <c r="BB8" t="s">
        <v>333</v>
      </c>
      <c r="BC8">
        <v>151923</v>
      </c>
      <c r="BD8">
        <v>2473</v>
      </c>
      <c r="BE8" t="s">
        <v>411</v>
      </c>
      <c r="BF8" t="s">
        <v>411</v>
      </c>
      <c r="BG8" t="s">
        <v>411</v>
      </c>
    </row>
    <row r="9" spans="1:59" x14ac:dyDescent="0.35">
      <c r="D9" s="62"/>
    </row>
    <row r="10" spans="1:59" x14ac:dyDescent="0.35">
      <c r="D10" s="62"/>
    </row>
    <row r="11" spans="1:59" x14ac:dyDescent="0.35">
      <c r="D11" s="62"/>
    </row>
    <row r="12" spans="1:59" x14ac:dyDescent="0.35">
      <c r="D12" s="62"/>
    </row>
    <row r="13" spans="1:59" x14ac:dyDescent="0.35">
      <c r="D13" s="62"/>
    </row>
    <row r="14" spans="1:59" x14ac:dyDescent="0.35">
      <c r="D14" s="62"/>
    </row>
    <row r="15" spans="1:59" x14ac:dyDescent="0.35">
      <c r="D15" s="62"/>
    </row>
    <row r="16" spans="1:59" x14ac:dyDescent="0.35">
      <c r="D16" s="62"/>
    </row>
    <row r="17" spans="4:4" x14ac:dyDescent="0.35">
      <c r="D17" s="62"/>
    </row>
    <row r="18" spans="4:4" x14ac:dyDescent="0.35">
      <c r="D18" s="62"/>
    </row>
    <row r="19" spans="4:4" x14ac:dyDescent="0.35">
      <c r="D19" s="62"/>
    </row>
    <row r="20" spans="4:4" x14ac:dyDescent="0.35">
      <c r="D20" s="62"/>
    </row>
    <row r="21" spans="4:4" x14ac:dyDescent="0.35">
      <c r="D21" s="62"/>
    </row>
    <row r="22" spans="4:4" x14ac:dyDescent="0.35">
      <c r="D22" s="62"/>
    </row>
    <row r="23" spans="4:4" x14ac:dyDescent="0.35">
      <c r="D23" s="62"/>
    </row>
    <row r="24" spans="4:4" x14ac:dyDescent="0.35">
      <c r="D24" s="62"/>
    </row>
    <row r="25" spans="4:4" x14ac:dyDescent="0.35">
      <c r="D25" s="62"/>
    </row>
    <row r="26" spans="4:4" x14ac:dyDescent="0.35">
      <c r="D26" s="62"/>
    </row>
    <row r="27" spans="4:4" x14ac:dyDescent="0.35">
      <c r="D27" s="62"/>
    </row>
    <row r="28" spans="4:4" x14ac:dyDescent="0.35">
      <c r="D28" s="62"/>
    </row>
    <row r="29" spans="4:4" x14ac:dyDescent="0.35">
      <c r="D29" s="62"/>
    </row>
    <row r="30" spans="4:4" x14ac:dyDescent="0.35">
      <c r="D30" s="62"/>
    </row>
    <row r="31" spans="4:4" x14ac:dyDescent="0.35">
      <c r="D31" s="62"/>
    </row>
    <row r="32" spans="4:4" x14ac:dyDescent="0.35">
      <c r="D32" s="62"/>
    </row>
    <row r="33" spans="4:4" x14ac:dyDescent="0.35">
      <c r="D33" s="62"/>
    </row>
    <row r="34" spans="4:4" x14ac:dyDescent="0.35">
      <c r="D34" s="62"/>
    </row>
    <row r="35" spans="4:4" x14ac:dyDescent="0.35">
      <c r="D35" s="62"/>
    </row>
    <row r="36" spans="4:4" x14ac:dyDescent="0.35">
      <c r="D36" s="62"/>
    </row>
    <row r="37" spans="4:4" x14ac:dyDescent="0.35">
      <c r="D37" s="62"/>
    </row>
    <row r="38" spans="4:4" x14ac:dyDescent="0.35">
      <c r="D38" s="62"/>
    </row>
    <row r="39" spans="4:4" x14ac:dyDescent="0.35">
      <c r="D39" s="62"/>
    </row>
    <row r="40" spans="4:4" x14ac:dyDescent="0.35">
      <c r="D40" s="62"/>
    </row>
    <row r="41" spans="4:4" x14ac:dyDescent="0.35">
      <c r="D41" s="62"/>
    </row>
    <row r="42" spans="4:4" x14ac:dyDescent="0.35">
      <c r="D42" s="62"/>
    </row>
    <row r="43" spans="4:4" x14ac:dyDescent="0.35">
      <c r="D43" s="62"/>
    </row>
    <row r="44" spans="4:4" x14ac:dyDescent="0.35">
      <c r="D44" s="62"/>
    </row>
    <row r="45" spans="4:4" x14ac:dyDescent="0.35">
      <c r="D45" s="62"/>
    </row>
    <row r="46" spans="4:4" x14ac:dyDescent="0.35">
      <c r="D46" s="62"/>
    </row>
    <row r="47" spans="4:4" x14ac:dyDescent="0.35">
      <c r="D47" s="62"/>
    </row>
    <row r="48" spans="4:4" x14ac:dyDescent="0.35">
      <c r="D48" s="62"/>
    </row>
    <row r="49" spans="4:4" x14ac:dyDescent="0.35">
      <c r="D49" s="62"/>
    </row>
    <row r="50" spans="4:4" x14ac:dyDescent="0.35">
      <c r="D50" s="62"/>
    </row>
    <row r="51" spans="4:4" x14ac:dyDescent="0.35">
      <c r="D51" s="62"/>
    </row>
    <row r="52" spans="4:4" x14ac:dyDescent="0.35">
      <c r="D52" s="62"/>
    </row>
    <row r="53" spans="4:4" x14ac:dyDescent="0.35">
      <c r="D53" s="62"/>
    </row>
    <row r="54" spans="4:4" x14ac:dyDescent="0.35">
      <c r="D54" s="62"/>
    </row>
    <row r="55" spans="4:4" x14ac:dyDescent="0.35">
      <c r="D55" s="62"/>
    </row>
    <row r="56" spans="4:4" x14ac:dyDescent="0.35">
      <c r="D56" s="62"/>
    </row>
    <row r="57" spans="4:4" x14ac:dyDescent="0.35">
      <c r="D57" s="62"/>
    </row>
    <row r="58" spans="4:4" x14ac:dyDescent="0.35">
      <c r="D58" s="62"/>
    </row>
    <row r="59" spans="4:4" x14ac:dyDescent="0.35">
      <c r="D59" s="62"/>
    </row>
    <row r="60" spans="4:4" x14ac:dyDescent="0.35">
      <c r="D60" s="62"/>
    </row>
    <row r="61" spans="4:4" x14ac:dyDescent="0.35">
      <c r="D61" s="62"/>
    </row>
    <row r="62" spans="4:4" x14ac:dyDescent="0.35">
      <c r="D62" s="62"/>
    </row>
    <row r="63" spans="4:4" x14ac:dyDescent="0.35">
      <c r="D63" s="62"/>
    </row>
    <row r="64" spans="4:4" x14ac:dyDescent="0.35">
      <c r="D64" s="62"/>
    </row>
    <row r="65" spans="4:4" x14ac:dyDescent="0.35">
      <c r="D65" s="62"/>
    </row>
    <row r="66" spans="4:4" x14ac:dyDescent="0.35">
      <c r="D66" s="62"/>
    </row>
    <row r="67" spans="4:4" x14ac:dyDescent="0.35">
      <c r="D67" s="62"/>
    </row>
    <row r="68" spans="4:4" x14ac:dyDescent="0.35">
      <c r="D68" s="62"/>
    </row>
    <row r="69" spans="4:4" x14ac:dyDescent="0.35">
      <c r="D69" s="62"/>
    </row>
    <row r="70" spans="4:4" x14ac:dyDescent="0.35">
      <c r="D70" s="62"/>
    </row>
    <row r="71" spans="4:4" x14ac:dyDescent="0.35">
      <c r="D71" s="62"/>
    </row>
    <row r="72" spans="4:4" x14ac:dyDescent="0.35">
      <c r="D72" s="62"/>
    </row>
    <row r="73" spans="4:4" x14ac:dyDescent="0.35">
      <c r="D73" s="62"/>
    </row>
    <row r="74" spans="4:4" x14ac:dyDescent="0.35">
      <c r="D74" s="62"/>
    </row>
    <row r="75" spans="4:4" x14ac:dyDescent="0.35">
      <c r="D75" s="62"/>
    </row>
    <row r="76" spans="4:4" x14ac:dyDescent="0.35">
      <c r="D76" s="62"/>
    </row>
    <row r="77" spans="4:4" x14ac:dyDescent="0.35">
      <c r="D77" s="62"/>
    </row>
    <row r="78" spans="4:4" x14ac:dyDescent="0.35">
      <c r="D78" s="62"/>
    </row>
    <row r="79" spans="4:4" x14ac:dyDescent="0.35">
      <c r="D79" s="62"/>
    </row>
    <row r="80" spans="4:4" x14ac:dyDescent="0.35">
      <c r="D80" s="62"/>
    </row>
    <row r="81" spans="4:4" x14ac:dyDescent="0.35">
      <c r="D81" s="62"/>
    </row>
    <row r="82" spans="4:4" x14ac:dyDescent="0.35">
      <c r="D82" s="62"/>
    </row>
    <row r="83" spans="4:4" x14ac:dyDescent="0.35">
      <c r="D83" s="62"/>
    </row>
    <row r="84" spans="4:4" x14ac:dyDescent="0.35">
      <c r="D84" s="62"/>
    </row>
    <row r="85" spans="4:4" x14ac:dyDescent="0.35">
      <c r="D85" s="62"/>
    </row>
    <row r="86" spans="4:4" x14ac:dyDescent="0.35">
      <c r="D86" s="62"/>
    </row>
    <row r="87" spans="4:4" x14ac:dyDescent="0.35">
      <c r="D87" s="62"/>
    </row>
    <row r="88" spans="4:4" x14ac:dyDescent="0.35">
      <c r="D88" s="62"/>
    </row>
    <row r="89" spans="4:4" x14ac:dyDescent="0.35">
      <c r="D89" s="62"/>
    </row>
    <row r="90" spans="4:4" x14ac:dyDescent="0.35">
      <c r="D90" s="62"/>
    </row>
    <row r="91" spans="4:4" x14ac:dyDescent="0.35">
      <c r="D91" s="62"/>
    </row>
    <row r="92" spans="4:4" x14ac:dyDescent="0.35">
      <c r="D92" s="62"/>
    </row>
    <row r="93" spans="4:4" x14ac:dyDescent="0.35">
      <c r="D93" s="62"/>
    </row>
    <row r="94" spans="4:4" x14ac:dyDescent="0.35">
      <c r="D94" s="62"/>
    </row>
    <row r="95" spans="4:4" x14ac:dyDescent="0.35">
      <c r="D95" s="62"/>
    </row>
    <row r="96" spans="4:4" x14ac:dyDescent="0.35">
      <c r="D96" s="62"/>
    </row>
    <row r="97" spans="4:4" x14ac:dyDescent="0.35">
      <c r="D97" s="62"/>
    </row>
    <row r="98" spans="4:4" x14ac:dyDescent="0.35">
      <c r="D98" s="62"/>
    </row>
    <row r="99" spans="4:4" x14ac:dyDescent="0.35">
      <c r="D99" s="62"/>
    </row>
    <row r="100" spans="4:4" x14ac:dyDescent="0.35">
      <c r="D100" s="62"/>
    </row>
    <row r="101" spans="4:4" x14ac:dyDescent="0.35">
      <c r="D101" s="62"/>
    </row>
    <row r="102" spans="4:4" x14ac:dyDescent="0.35">
      <c r="D102" s="62"/>
    </row>
    <row r="103" spans="4:4" x14ac:dyDescent="0.35">
      <c r="D103" s="62"/>
    </row>
    <row r="104" spans="4:4" x14ac:dyDescent="0.35">
      <c r="D104" s="62"/>
    </row>
    <row r="105" spans="4:4" x14ac:dyDescent="0.35">
      <c r="D105" s="62"/>
    </row>
    <row r="106" spans="4:4" x14ac:dyDescent="0.35">
      <c r="D106" s="62"/>
    </row>
    <row r="107" spans="4:4" x14ac:dyDescent="0.35">
      <c r="D107" s="62"/>
    </row>
    <row r="108" spans="4:4" x14ac:dyDescent="0.35">
      <c r="D108" s="62"/>
    </row>
    <row r="109" spans="4:4" x14ac:dyDescent="0.35">
      <c r="D109" s="62"/>
    </row>
    <row r="110" spans="4:4" x14ac:dyDescent="0.35">
      <c r="D110" s="62"/>
    </row>
    <row r="111" spans="4:4" x14ac:dyDescent="0.35">
      <c r="D111" s="62"/>
    </row>
    <row r="112" spans="4:4" x14ac:dyDescent="0.35">
      <c r="D112" s="62"/>
    </row>
    <row r="113" spans="4:4" x14ac:dyDescent="0.35">
      <c r="D113" s="62"/>
    </row>
    <row r="114" spans="4:4" x14ac:dyDescent="0.35">
      <c r="D114" s="62"/>
    </row>
    <row r="115" spans="4:4" x14ac:dyDescent="0.35">
      <c r="D115" s="62"/>
    </row>
    <row r="116" spans="4:4" x14ac:dyDescent="0.35">
      <c r="D116" s="62"/>
    </row>
    <row r="117" spans="4:4" x14ac:dyDescent="0.35">
      <c r="D117" s="62"/>
    </row>
    <row r="118" spans="4:4" x14ac:dyDescent="0.35">
      <c r="D118" s="62"/>
    </row>
    <row r="119" spans="4:4" x14ac:dyDescent="0.35">
      <c r="D119" s="62"/>
    </row>
    <row r="120" spans="4:4" x14ac:dyDescent="0.35">
      <c r="D120" s="62"/>
    </row>
    <row r="121" spans="4:4" x14ac:dyDescent="0.35">
      <c r="D121" s="62"/>
    </row>
    <row r="122" spans="4:4" x14ac:dyDescent="0.35">
      <c r="D122" s="62"/>
    </row>
    <row r="123" spans="4:4" x14ac:dyDescent="0.35">
      <c r="D123" s="62"/>
    </row>
    <row r="124" spans="4:4" x14ac:dyDescent="0.35">
      <c r="D124" s="62"/>
    </row>
    <row r="125" spans="4:4" x14ac:dyDescent="0.35">
      <c r="D125" s="62"/>
    </row>
    <row r="126" spans="4:4" x14ac:dyDescent="0.35">
      <c r="D126" s="62"/>
    </row>
    <row r="127" spans="4:4" x14ac:dyDescent="0.35">
      <c r="D127" s="62"/>
    </row>
    <row r="128" spans="4:4" x14ac:dyDescent="0.35">
      <c r="D128" s="62"/>
    </row>
    <row r="129" spans="4:4" x14ac:dyDescent="0.35">
      <c r="D129" s="62"/>
    </row>
    <row r="130" spans="4:4" x14ac:dyDescent="0.35">
      <c r="D130" s="62"/>
    </row>
    <row r="131" spans="4:4" x14ac:dyDescent="0.35">
      <c r="D131" s="62"/>
    </row>
    <row r="132" spans="4:4" x14ac:dyDescent="0.35">
      <c r="D132" s="62"/>
    </row>
    <row r="133" spans="4:4" x14ac:dyDescent="0.35">
      <c r="D133" s="62"/>
    </row>
    <row r="134" spans="4:4" x14ac:dyDescent="0.35">
      <c r="D134" s="62"/>
    </row>
    <row r="135" spans="4:4" x14ac:dyDescent="0.35">
      <c r="D135" s="62"/>
    </row>
    <row r="136" spans="4:4" x14ac:dyDescent="0.35">
      <c r="D136" s="62"/>
    </row>
    <row r="137" spans="4:4" x14ac:dyDescent="0.35">
      <c r="D137" s="62"/>
    </row>
    <row r="138" spans="4:4" x14ac:dyDescent="0.35">
      <c r="D138" s="62"/>
    </row>
    <row r="139" spans="4:4" x14ac:dyDescent="0.35">
      <c r="D139" s="62"/>
    </row>
    <row r="140" spans="4:4" x14ac:dyDescent="0.35">
      <c r="D140" s="62"/>
    </row>
    <row r="141" spans="4:4" x14ac:dyDescent="0.35">
      <c r="D141" s="62"/>
    </row>
    <row r="142" spans="4:4" x14ac:dyDescent="0.35">
      <c r="D142" s="62"/>
    </row>
    <row r="143" spans="4:4" x14ac:dyDescent="0.35">
      <c r="D143" s="62"/>
    </row>
    <row r="144" spans="4:4" x14ac:dyDescent="0.35">
      <c r="D144" s="62"/>
    </row>
    <row r="145" spans="4:4" x14ac:dyDescent="0.35">
      <c r="D145" s="62"/>
    </row>
    <row r="146" spans="4:4" x14ac:dyDescent="0.35">
      <c r="D146" s="62"/>
    </row>
    <row r="147" spans="4:4" x14ac:dyDescent="0.35">
      <c r="D147" s="62"/>
    </row>
    <row r="148" spans="4:4" x14ac:dyDescent="0.35">
      <c r="D148" s="62"/>
    </row>
    <row r="149" spans="4:4" x14ac:dyDescent="0.35">
      <c r="D149" s="62"/>
    </row>
    <row r="150" spans="4:4" x14ac:dyDescent="0.35">
      <c r="D150" s="62"/>
    </row>
    <row r="151" spans="4:4" x14ac:dyDescent="0.35">
      <c r="D151" s="62"/>
    </row>
    <row r="152" spans="4:4" x14ac:dyDescent="0.35">
      <c r="D152" s="62"/>
    </row>
    <row r="153" spans="4:4" x14ac:dyDescent="0.35">
      <c r="D153" s="62"/>
    </row>
    <row r="154" spans="4:4" x14ac:dyDescent="0.35">
      <c r="D154" s="62"/>
    </row>
    <row r="155" spans="4:4" x14ac:dyDescent="0.35">
      <c r="D155" s="62"/>
    </row>
    <row r="156" spans="4:4" x14ac:dyDescent="0.35">
      <c r="D156" s="62"/>
    </row>
    <row r="157" spans="4:4" x14ac:dyDescent="0.35">
      <c r="D157" s="62"/>
    </row>
    <row r="158" spans="4:4" x14ac:dyDescent="0.35">
      <c r="D158" s="62"/>
    </row>
    <row r="159" spans="4:4" x14ac:dyDescent="0.35">
      <c r="D159" s="62"/>
    </row>
    <row r="160" spans="4:4" x14ac:dyDescent="0.35">
      <c r="D160" s="62"/>
    </row>
    <row r="161" spans="4:4" x14ac:dyDescent="0.35">
      <c r="D161" s="62"/>
    </row>
    <row r="162" spans="4:4" x14ac:dyDescent="0.35">
      <c r="D162" s="62"/>
    </row>
    <row r="163" spans="4:4" x14ac:dyDescent="0.35">
      <c r="D163" s="62"/>
    </row>
    <row r="164" spans="4:4" x14ac:dyDescent="0.35">
      <c r="D164" s="62"/>
    </row>
    <row r="165" spans="4:4" x14ac:dyDescent="0.35">
      <c r="D165" s="62"/>
    </row>
    <row r="166" spans="4:4" x14ac:dyDescent="0.35">
      <c r="D166" s="62"/>
    </row>
    <row r="167" spans="4:4" x14ac:dyDescent="0.35">
      <c r="D167" s="62"/>
    </row>
    <row r="168" spans="4:4" x14ac:dyDescent="0.35">
      <c r="D168" s="62"/>
    </row>
    <row r="169" spans="4:4" x14ac:dyDescent="0.35">
      <c r="D169" s="62"/>
    </row>
    <row r="170" spans="4:4" x14ac:dyDescent="0.35">
      <c r="D170" s="62"/>
    </row>
    <row r="171" spans="4:4" x14ac:dyDescent="0.35">
      <c r="D171" s="62"/>
    </row>
    <row r="172" spans="4:4" x14ac:dyDescent="0.35">
      <c r="D172" s="62"/>
    </row>
    <row r="173" spans="4:4" x14ac:dyDescent="0.35">
      <c r="D173" s="62"/>
    </row>
    <row r="174" spans="4:4" x14ac:dyDescent="0.35">
      <c r="D174" s="62"/>
    </row>
    <row r="175" spans="4:4" x14ac:dyDescent="0.35">
      <c r="D175" s="62"/>
    </row>
    <row r="176" spans="4:4" x14ac:dyDescent="0.35">
      <c r="D176" s="62"/>
    </row>
    <row r="177" spans="4:4" x14ac:dyDescent="0.35">
      <c r="D177" s="62"/>
    </row>
    <row r="178" spans="4:4" x14ac:dyDescent="0.35">
      <c r="D178" s="62"/>
    </row>
    <row r="179" spans="4:4" x14ac:dyDescent="0.35">
      <c r="D179" s="62"/>
    </row>
    <row r="180" spans="4:4" x14ac:dyDescent="0.35">
      <c r="D180" s="62"/>
    </row>
    <row r="181" spans="4:4" x14ac:dyDescent="0.35">
      <c r="D181" s="62"/>
    </row>
    <row r="182" spans="4:4" x14ac:dyDescent="0.35">
      <c r="D182" s="62"/>
    </row>
    <row r="183" spans="4:4" x14ac:dyDescent="0.35">
      <c r="D183" s="62"/>
    </row>
    <row r="184" spans="4:4" x14ac:dyDescent="0.35">
      <c r="D184" s="62"/>
    </row>
    <row r="185" spans="4:4" x14ac:dyDescent="0.35">
      <c r="D185" s="62"/>
    </row>
    <row r="186" spans="4:4" x14ac:dyDescent="0.35">
      <c r="D186" s="62"/>
    </row>
    <row r="187" spans="4:4" x14ac:dyDescent="0.35">
      <c r="D187" s="62"/>
    </row>
    <row r="188" spans="4:4" x14ac:dyDescent="0.35">
      <c r="D188" s="62"/>
    </row>
    <row r="189" spans="4:4" x14ac:dyDescent="0.35">
      <c r="D189" s="62"/>
    </row>
    <row r="190" spans="4:4" x14ac:dyDescent="0.35">
      <c r="D190" s="62"/>
    </row>
    <row r="191" spans="4:4" x14ac:dyDescent="0.35">
      <c r="D191" s="62"/>
    </row>
    <row r="192" spans="4:4" x14ac:dyDescent="0.35">
      <c r="D192" s="62"/>
    </row>
    <row r="193" spans="4:4" x14ac:dyDescent="0.35">
      <c r="D193" s="62"/>
    </row>
    <row r="194" spans="4:4" x14ac:dyDescent="0.35">
      <c r="D194" s="62"/>
    </row>
    <row r="195" spans="4:4" x14ac:dyDescent="0.35">
      <c r="D195" s="62"/>
    </row>
    <row r="196" spans="4:4" x14ac:dyDescent="0.35">
      <c r="D196" s="62"/>
    </row>
    <row r="197" spans="4:4" x14ac:dyDescent="0.35">
      <c r="D197" s="62"/>
    </row>
    <row r="198" spans="4:4" x14ac:dyDescent="0.35">
      <c r="D198" s="62"/>
    </row>
    <row r="199" spans="4:4" x14ac:dyDescent="0.35">
      <c r="D199" s="62"/>
    </row>
    <row r="200" spans="4:4" x14ac:dyDescent="0.35">
      <c r="D200" s="62"/>
    </row>
    <row r="201" spans="4:4" x14ac:dyDescent="0.35">
      <c r="D201" s="62"/>
    </row>
    <row r="202" spans="4:4" x14ac:dyDescent="0.35">
      <c r="D202" s="62"/>
    </row>
    <row r="203" spans="4:4" x14ac:dyDescent="0.35">
      <c r="D203" s="62"/>
    </row>
    <row r="204" spans="4:4" x14ac:dyDescent="0.35">
      <c r="D204" s="62"/>
    </row>
    <row r="205" spans="4:4" x14ac:dyDescent="0.35">
      <c r="D205" s="62"/>
    </row>
    <row r="206" spans="4:4" x14ac:dyDescent="0.35">
      <c r="D206" s="62"/>
    </row>
    <row r="207" spans="4:4" x14ac:dyDescent="0.35">
      <c r="D207" s="62"/>
    </row>
    <row r="208" spans="4:4" x14ac:dyDescent="0.35">
      <c r="D208" s="62"/>
    </row>
    <row r="209" spans="4:4" x14ac:dyDescent="0.35">
      <c r="D209" s="62"/>
    </row>
    <row r="210" spans="4:4" x14ac:dyDescent="0.35">
      <c r="D210" s="62"/>
    </row>
    <row r="211" spans="4:4" x14ac:dyDescent="0.35">
      <c r="D211" s="62"/>
    </row>
    <row r="212" spans="4:4" x14ac:dyDescent="0.35">
      <c r="D212" s="62"/>
    </row>
    <row r="213" spans="4:4" x14ac:dyDescent="0.35">
      <c r="D213" s="62"/>
    </row>
    <row r="214" spans="4:4" x14ac:dyDescent="0.35">
      <c r="D214" s="62"/>
    </row>
    <row r="215" spans="4:4" x14ac:dyDescent="0.35">
      <c r="D215" s="62"/>
    </row>
    <row r="216" spans="4:4" x14ac:dyDescent="0.35">
      <c r="D216" s="62"/>
    </row>
    <row r="217" spans="4:4" x14ac:dyDescent="0.35">
      <c r="D217" s="62"/>
    </row>
    <row r="218" spans="4:4" x14ac:dyDescent="0.35">
      <c r="D218" s="62"/>
    </row>
    <row r="219" spans="4:4" x14ac:dyDescent="0.35">
      <c r="D219" s="62"/>
    </row>
    <row r="220" spans="4:4" x14ac:dyDescent="0.35">
      <c r="D220" s="62"/>
    </row>
    <row r="221" spans="4:4" x14ac:dyDescent="0.35">
      <c r="D221" s="62"/>
    </row>
    <row r="222" spans="4:4" x14ac:dyDescent="0.35">
      <c r="D222" s="62"/>
    </row>
    <row r="223" spans="4:4" x14ac:dyDescent="0.35">
      <c r="D223" s="62"/>
    </row>
    <row r="224" spans="4:4" x14ac:dyDescent="0.35">
      <c r="D224" s="62"/>
    </row>
    <row r="225" spans="4:4" x14ac:dyDescent="0.35">
      <c r="D225" s="62"/>
    </row>
    <row r="226" spans="4:4" x14ac:dyDescent="0.35">
      <c r="D226" s="62"/>
    </row>
    <row r="227" spans="4:4" x14ac:dyDescent="0.35">
      <c r="D227" s="62"/>
    </row>
    <row r="228" spans="4:4" x14ac:dyDescent="0.35">
      <c r="D228" s="62"/>
    </row>
    <row r="229" spans="4:4" x14ac:dyDescent="0.35">
      <c r="D229" s="62"/>
    </row>
    <row r="230" spans="4:4" x14ac:dyDescent="0.35">
      <c r="D230" s="62"/>
    </row>
    <row r="231" spans="4:4" x14ac:dyDescent="0.35">
      <c r="D231" s="62"/>
    </row>
    <row r="232" spans="4:4" x14ac:dyDescent="0.35">
      <c r="D232" s="62"/>
    </row>
    <row r="233" spans="4:4" x14ac:dyDescent="0.35">
      <c r="D233" s="62"/>
    </row>
    <row r="234" spans="4:4" x14ac:dyDescent="0.35">
      <c r="D234" s="62"/>
    </row>
    <row r="235" spans="4:4" x14ac:dyDescent="0.35">
      <c r="D235" s="62"/>
    </row>
    <row r="236" spans="4:4" x14ac:dyDescent="0.35">
      <c r="D236" s="62"/>
    </row>
    <row r="237" spans="4:4" x14ac:dyDescent="0.35">
      <c r="D237" s="62"/>
    </row>
    <row r="238" spans="4:4" x14ac:dyDescent="0.35">
      <c r="D238" s="62"/>
    </row>
    <row r="239" spans="4:4" x14ac:dyDescent="0.35">
      <c r="D239" s="62"/>
    </row>
    <row r="240" spans="4:4" x14ac:dyDescent="0.35">
      <c r="D240" s="62"/>
    </row>
    <row r="241" spans="4:4" x14ac:dyDescent="0.35">
      <c r="D241" s="62"/>
    </row>
    <row r="242" spans="4:4" x14ac:dyDescent="0.35">
      <c r="D242" s="62"/>
    </row>
    <row r="243" spans="4:4" x14ac:dyDescent="0.35">
      <c r="D243" s="62"/>
    </row>
    <row r="244" spans="4:4" x14ac:dyDescent="0.35">
      <c r="D244" s="62"/>
    </row>
    <row r="245" spans="4:4" x14ac:dyDescent="0.35">
      <c r="D245" s="62"/>
    </row>
    <row r="246" spans="4:4" x14ac:dyDescent="0.35">
      <c r="D246" s="62"/>
    </row>
    <row r="247" spans="4:4" x14ac:dyDescent="0.35">
      <c r="D247" s="62"/>
    </row>
    <row r="248" spans="4:4" x14ac:dyDescent="0.35">
      <c r="D248" s="62"/>
    </row>
    <row r="249" spans="4:4" x14ac:dyDescent="0.35">
      <c r="D249" s="62"/>
    </row>
    <row r="250" spans="4:4" x14ac:dyDescent="0.35">
      <c r="D250" s="62"/>
    </row>
    <row r="251" spans="4:4" x14ac:dyDescent="0.35">
      <c r="D251" s="62"/>
    </row>
    <row r="252" spans="4:4" x14ac:dyDescent="0.35">
      <c r="D252" s="62"/>
    </row>
    <row r="253" spans="4:4" x14ac:dyDescent="0.35">
      <c r="D253" s="62"/>
    </row>
    <row r="254" spans="4:4" x14ac:dyDescent="0.35">
      <c r="D254" s="62"/>
    </row>
    <row r="255" spans="4:4" x14ac:dyDescent="0.35">
      <c r="D255" s="62"/>
    </row>
    <row r="256" spans="4:4" x14ac:dyDescent="0.35">
      <c r="D256" s="62"/>
    </row>
    <row r="257" spans="4:4" x14ac:dyDescent="0.35">
      <c r="D257" s="62"/>
    </row>
    <row r="258" spans="4:4" x14ac:dyDescent="0.35">
      <c r="D258" s="62"/>
    </row>
    <row r="259" spans="4:4" x14ac:dyDescent="0.35">
      <c r="D259" s="62"/>
    </row>
    <row r="260" spans="4:4" x14ac:dyDescent="0.35">
      <c r="D260" s="62"/>
    </row>
    <row r="261" spans="4:4" x14ac:dyDescent="0.35">
      <c r="D261" s="62"/>
    </row>
    <row r="262" spans="4:4" x14ac:dyDescent="0.35">
      <c r="D262" s="62"/>
    </row>
    <row r="263" spans="4:4" x14ac:dyDescent="0.35">
      <c r="D263" s="62"/>
    </row>
    <row r="264" spans="4:4" x14ac:dyDescent="0.35">
      <c r="D264" s="62"/>
    </row>
    <row r="265" spans="4:4" x14ac:dyDescent="0.35">
      <c r="D265" s="62"/>
    </row>
    <row r="266" spans="4:4" x14ac:dyDescent="0.35">
      <c r="D266" s="62"/>
    </row>
    <row r="267" spans="4:4" x14ac:dyDescent="0.35">
      <c r="D267" s="62"/>
    </row>
    <row r="268" spans="4:4" x14ac:dyDescent="0.35">
      <c r="D268" s="62"/>
    </row>
    <row r="269" spans="4:4" x14ac:dyDescent="0.35">
      <c r="D269" s="62"/>
    </row>
    <row r="270" spans="4:4" x14ac:dyDescent="0.35">
      <c r="D270" s="62"/>
    </row>
    <row r="271" spans="4:4" x14ac:dyDescent="0.35">
      <c r="D271" s="62"/>
    </row>
    <row r="272" spans="4:4" x14ac:dyDescent="0.35">
      <c r="D272" s="62"/>
    </row>
    <row r="273" spans="4:4" x14ac:dyDescent="0.35">
      <c r="D273" s="62"/>
    </row>
    <row r="274" spans="4:4" x14ac:dyDescent="0.35">
      <c r="D274" s="62"/>
    </row>
    <row r="275" spans="4:4" x14ac:dyDescent="0.35">
      <c r="D275" s="62"/>
    </row>
    <row r="276" spans="4:4" x14ac:dyDescent="0.35">
      <c r="D276" s="62"/>
    </row>
    <row r="277" spans="4:4" x14ac:dyDescent="0.35">
      <c r="D277" s="62"/>
    </row>
    <row r="278" spans="4:4" x14ac:dyDescent="0.35">
      <c r="D278" s="62"/>
    </row>
    <row r="279" spans="4:4" x14ac:dyDescent="0.35">
      <c r="D279" s="62"/>
    </row>
    <row r="280" spans="4:4" x14ac:dyDescent="0.35">
      <c r="D280" s="62"/>
    </row>
    <row r="281" spans="4:4" x14ac:dyDescent="0.35">
      <c r="D281" s="62"/>
    </row>
    <row r="282" spans="4:4" x14ac:dyDescent="0.35">
      <c r="D282" s="62"/>
    </row>
    <row r="283" spans="4:4" x14ac:dyDescent="0.35">
      <c r="D283" s="62"/>
    </row>
    <row r="284" spans="4:4" x14ac:dyDescent="0.35">
      <c r="D284" s="62"/>
    </row>
    <row r="285" spans="4:4" x14ac:dyDescent="0.35">
      <c r="D285" s="62"/>
    </row>
    <row r="286" spans="4:4" x14ac:dyDescent="0.35">
      <c r="D286" s="62"/>
    </row>
    <row r="287" spans="4:4" x14ac:dyDescent="0.35">
      <c r="D287" s="62"/>
    </row>
    <row r="288" spans="4:4" x14ac:dyDescent="0.35">
      <c r="D288" s="62"/>
    </row>
    <row r="289" spans="4:4" x14ac:dyDescent="0.35">
      <c r="D289" s="62"/>
    </row>
    <row r="290" spans="4:4" x14ac:dyDescent="0.35">
      <c r="D290" s="62"/>
    </row>
    <row r="291" spans="4:4" x14ac:dyDescent="0.35">
      <c r="D291" s="62"/>
    </row>
    <row r="292" spans="4:4" x14ac:dyDescent="0.35">
      <c r="D292" s="62"/>
    </row>
    <row r="293" spans="4:4" x14ac:dyDescent="0.35">
      <c r="D293" s="62"/>
    </row>
    <row r="294" spans="4:4" x14ac:dyDescent="0.35">
      <c r="D294" s="62"/>
    </row>
    <row r="295" spans="4:4" x14ac:dyDescent="0.35">
      <c r="D295" s="62"/>
    </row>
    <row r="296" spans="4:4" x14ac:dyDescent="0.35">
      <c r="D296" s="62"/>
    </row>
    <row r="297" spans="4:4" x14ac:dyDescent="0.35">
      <c r="D297" s="62"/>
    </row>
    <row r="298" spans="4:4" x14ac:dyDescent="0.35">
      <c r="D298" s="62"/>
    </row>
    <row r="299" spans="4:4" x14ac:dyDescent="0.35">
      <c r="D299" s="62"/>
    </row>
    <row r="300" spans="4:4" x14ac:dyDescent="0.35">
      <c r="D300" s="62"/>
    </row>
    <row r="301" spans="4:4" x14ac:dyDescent="0.35">
      <c r="D301" s="62"/>
    </row>
    <row r="302" spans="4:4" x14ac:dyDescent="0.35">
      <c r="D302" s="62"/>
    </row>
    <row r="303" spans="4:4" x14ac:dyDescent="0.35">
      <c r="D303" s="62"/>
    </row>
    <row r="304" spans="4:4" x14ac:dyDescent="0.35">
      <c r="D304" s="62"/>
    </row>
    <row r="305" spans="4:4" x14ac:dyDescent="0.35">
      <c r="D305" s="62"/>
    </row>
    <row r="306" spans="4:4" x14ac:dyDescent="0.35">
      <c r="D306" s="62"/>
    </row>
    <row r="307" spans="4:4" x14ac:dyDescent="0.35">
      <c r="D307" s="62"/>
    </row>
    <row r="308" spans="4:4" x14ac:dyDescent="0.35">
      <c r="D308" s="62"/>
    </row>
    <row r="309" spans="4:4" x14ac:dyDescent="0.35">
      <c r="D309" s="62"/>
    </row>
    <row r="310" spans="4:4" x14ac:dyDescent="0.35">
      <c r="D310" s="62"/>
    </row>
    <row r="311" spans="4:4" x14ac:dyDescent="0.35">
      <c r="D311" s="62"/>
    </row>
    <row r="312" spans="4:4" x14ac:dyDescent="0.35">
      <c r="D312" s="62"/>
    </row>
    <row r="313" spans="4:4" x14ac:dyDescent="0.35">
      <c r="D313" s="62"/>
    </row>
    <row r="314" spans="4:4" x14ac:dyDescent="0.35">
      <c r="D314" s="62"/>
    </row>
    <row r="315" spans="4:4" x14ac:dyDescent="0.35">
      <c r="D315" s="62"/>
    </row>
    <row r="316" spans="4:4" x14ac:dyDescent="0.35">
      <c r="D316" s="62"/>
    </row>
    <row r="317" spans="4:4" x14ac:dyDescent="0.35">
      <c r="D317" s="62"/>
    </row>
    <row r="318" spans="4:4" x14ac:dyDescent="0.35">
      <c r="D318" s="62"/>
    </row>
    <row r="319" spans="4:4" x14ac:dyDescent="0.35">
      <c r="D319" s="62"/>
    </row>
    <row r="320" spans="4:4" x14ac:dyDescent="0.35">
      <c r="D320" s="62"/>
    </row>
    <row r="321" spans="4:4" x14ac:dyDescent="0.35">
      <c r="D321" s="62"/>
    </row>
    <row r="322" spans="4:4" x14ac:dyDescent="0.35">
      <c r="D322" s="62"/>
    </row>
    <row r="323" spans="4:4" x14ac:dyDescent="0.35">
      <c r="D323" s="62"/>
    </row>
    <row r="324" spans="4:4" x14ac:dyDescent="0.35">
      <c r="D324" s="62"/>
    </row>
    <row r="325" spans="4:4" x14ac:dyDescent="0.35">
      <c r="D325" s="62"/>
    </row>
    <row r="326" spans="4:4" x14ac:dyDescent="0.35">
      <c r="D326" s="62"/>
    </row>
    <row r="327" spans="4:4" x14ac:dyDescent="0.35">
      <c r="D327" s="62"/>
    </row>
    <row r="328" spans="4:4" x14ac:dyDescent="0.35">
      <c r="D328" s="62"/>
    </row>
    <row r="329" spans="4:4" x14ac:dyDescent="0.35">
      <c r="D329" s="62"/>
    </row>
    <row r="330" spans="4:4" x14ac:dyDescent="0.35">
      <c r="D330" s="62"/>
    </row>
    <row r="331" spans="4:4" x14ac:dyDescent="0.35">
      <c r="D331" s="62"/>
    </row>
    <row r="332" spans="4:4" x14ac:dyDescent="0.35">
      <c r="D332" s="62"/>
    </row>
    <row r="333" spans="4:4" x14ac:dyDescent="0.35">
      <c r="D333" s="62"/>
    </row>
    <row r="334" spans="4:4" x14ac:dyDescent="0.35">
      <c r="D334" s="62"/>
    </row>
    <row r="335" spans="4:4" x14ac:dyDescent="0.35">
      <c r="D335" s="62"/>
    </row>
    <row r="336" spans="4:4" x14ac:dyDescent="0.35">
      <c r="D336" s="62"/>
    </row>
    <row r="337" spans="4:4" x14ac:dyDescent="0.35">
      <c r="D337" s="62"/>
    </row>
    <row r="338" spans="4:4" x14ac:dyDescent="0.35">
      <c r="D338" s="62"/>
    </row>
    <row r="339" spans="4:4" x14ac:dyDescent="0.35">
      <c r="D339" s="62"/>
    </row>
    <row r="340" spans="4:4" x14ac:dyDescent="0.35">
      <c r="D340" s="62"/>
    </row>
    <row r="341" spans="4:4" x14ac:dyDescent="0.35">
      <c r="D341" s="62"/>
    </row>
    <row r="342" spans="4:4" x14ac:dyDescent="0.35">
      <c r="D342" s="62"/>
    </row>
    <row r="343" spans="4:4" x14ac:dyDescent="0.35">
      <c r="D343" s="62"/>
    </row>
    <row r="344" spans="4:4" x14ac:dyDescent="0.35">
      <c r="D344" s="62"/>
    </row>
    <row r="345" spans="4:4" x14ac:dyDescent="0.35">
      <c r="D345" s="62"/>
    </row>
    <row r="346" spans="4:4" x14ac:dyDescent="0.35">
      <c r="D346" s="62"/>
    </row>
    <row r="347" spans="4:4" x14ac:dyDescent="0.35">
      <c r="D347" s="62"/>
    </row>
    <row r="348" spans="4:4" x14ac:dyDescent="0.35">
      <c r="D348" s="62"/>
    </row>
    <row r="349" spans="4:4" x14ac:dyDescent="0.35">
      <c r="D349" s="62"/>
    </row>
    <row r="350" spans="4:4" x14ac:dyDescent="0.35">
      <c r="D350" s="62"/>
    </row>
    <row r="351" spans="4:4" x14ac:dyDescent="0.35">
      <c r="D351" s="62"/>
    </row>
    <row r="352" spans="4:4" x14ac:dyDescent="0.35">
      <c r="D352" s="62"/>
    </row>
    <row r="353" spans="4:4" x14ac:dyDescent="0.35">
      <c r="D353" s="62"/>
    </row>
    <row r="354" spans="4:4" x14ac:dyDescent="0.35">
      <c r="D354" s="62"/>
    </row>
    <row r="355" spans="4:4" x14ac:dyDescent="0.35">
      <c r="D355" s="62"/>
    </row>
    <row r="356" spans="4:4" x14ac:dyDescent="0.35">
      <c r="D356" s="62"/>
    </row>
    <row r="357" spans="4:4" x14ac:dyDescent="0.35">
      <c r="D357" s="62"/>
    </row>
    <row r="358" spans="4:4" x14ac:dyDescent="0.35">
      <c r="D358" s="62"/>
    </row>
    <row r="359" spans="4:4" x14ac:dyDescent="0.35">
      <c r="D359" s="62"/>
    </row>
    <row r="360" spans="4:4" x14ac:dyDescent="0.35">
      <c r="D360" s="62"/>
    </row>
    <row r="361" spans="4:4" x14ac:dyDescent="0.35">
      <c r="D361" s="62"/>
    </row>
    <row r="362" spans="4:4" x14ac:dyDescent="0.35">
      <c r="D362" s="62"/>
    </row>
    <row r="363" spans="4:4" x14ac:dyDescent="0.35">
      <c r="D363" s="62"/>
    </row>
    <row r="364" spans="4:4" x14ac:dyDescent="0.35">
      <c r="D364" s="62"/>
    </row>
    <row r="365" spans="4:4" x14ac:dyDescent="0.35">
      <c r="D365" s="62"/>
    </row>
    <row r="366" spans="4:4" x14ac:dyDescent="0.35">
      <c r="D366" s="62"/>
    </row>
    <row r="367" spans="4:4" x14ac:dyDescent="0.35">
      <c r="D367" s="62"/>
    </row>
    <row r="368" spans="4:4" x14ac:dyDescent="0.35">
      <c r="D368" s="62"/>
    </row>
    <row r="369" spans="4:4" x14ac:dyDescent="0.35">
      <c r="D369" s="62"/>
    </row>
    <row r="370" spans="4:4" x14ac:dyDescent="0.35">
      <c r="D370" s="62"/>
    </row>
    <row r="371" spans="4:4" x14ac:dyDescent="0.35">
      <c r="D371" s="62"/>
    </row>
    <row r="372" spans="4:4" x14ac:dyDescent="0.35">
      <c r="D372" s="62"/>
    </row>
    <row r="373" spans="4:4" x14ac:dyDescent="0.35">
      <c r="D373" s="62"/>
    </row>
    <row r="374" spans="4:4" x14ac:dyDescent="0.35">
      <c r="D374" s="62"/>
    </row>
    <row r="375" spans="4:4" x14ac:dyDescent="0.35">
      <c r="D375" s="62"/>
    </row>
    <row r="376" spans="4:4" x14ac:dyDescent="0.35">
      <c r="D376" s="62"/>
    </row>
    <row r="377" spans="4:4" x14ac:dyDescent="0.35">
      <c r="D377" s="62"/>
    </row>
    <row r="378" spans="4:4" x14ac:dyDescent="0.35">
      <c r="D378" s="62"/>
    </row>
    <row r="379" spans="4:4" x14ac:dyDescent="0.35">
      <c r="D379" s="62"/>
    </row>
    <row r="380" spans="4:4" x14ac:dyDescent="0.35">
      <c r="D380" s="62"/>
    </row>
    <row r="381" spans="4:4" x14ac:dyDescent="0.35">
      <c r="D381" s="62"/>
    </row>
    <row r="382" spans="4:4" x14ac:dyDescent="0.35">
      <c r="D382" s="62"/>
    </row>
    <row r="383" spans="4:4" x14ac:dyDescent="0.35">
      <c r="D383" s="62"/>
    </row>
    <row r="384" spans="4:4" x14ac:dyDescent="0.35">
      <c r="D384" s="62"/>
    </row>
    <row r="385" spans="4:4" x14ac:dyDescent="0.35">
      <c r="D385" s="62"/>
    </row>
    <row r="386" spans="4:4" x14ac:dyDescent="0.35">
      <c r="D386" s="62"/>
    </row>
    <row r="387" spans="4:4" x14ac:dyDescent="0.35">
      <c r="D387" s="62"/>
    </row>
    <row r="388" spans="4:4" x14ac:dyDescent="0.35">
      <c r="D388" s="62"/>
    </row>
    <row r="389" spans="4:4" x14ac:dyDescent="0.35">
      <c r="D389" s="62"/>
    </row>
    <row r="390" spans="4:4" x14ac:dyDescent="0.35">
      <c r="D390" s="62"/>
    </row>
    <row r="391" spans="4:4" x14ac:dyDescent="0.35">
      <c r="D391" s="62"/>
    </row>
    <row r="392" spans="4:4" x14ac:dyDescent="0.35">
      <c r="D392" s="62"/>
    </row>
    <row r="1328" ht="14" customHeight="1" x14ac:dyDescent="0.3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D76C5-3492-4D4E-B6C2-948F0113998F}">
  <sheetPr>
    <tabColor theme="8"/>
  </sheetPr>
  <dimension ref="A1:AA307"/>
  <sheetViews>
    <sheetView workbookViewId="0"/>
  </sheetViews>
  <sheetFormatPr defaultRowHeight="14.5" x14ac:dyDescent="0.35"/>
  <sheetData>
    <row r="1" spans="1:27" x14ac:dyDescent="0.35">
      <c r="A1" t="s">
        <v>270</v>
      </c>
      <c r="B1" t="s">
        <v>324</v>
      </c>
      <c r="C1" t="s">
        <v>360</v>
      </c>
      <c r="D1" t="s">
        <v>361</v>
      </c>
      <c r="E1" t="s">
        <v>362</v>
      </c>
      <c r="F1" t="s">
        <v>376</v>
      </c>
      <c r="G1" t="s">
        <v>377</v>
      </c>
      <c r="H1" t="s">
        <v>378</v>
      </c>
      <c r="I1" t="s">
        <v>379</v>
      </c>
      <c r="J1" t="s">
        <v>380</v>
      </c>
      <c r="K1" t="s">
        <v>356</v>
      </c>
      <c r="L1" t="s">
        <v>357</v>
      </c>
      <c r="M1" t="s">
        <v>358</v>
      </c>
      <c r="N1" t="s">
        <v>359</v>
      </c>
      <c r="O1" t="s">
        <v>363</v>
      </c>
      <c r="P1" t="s">
        <v>364</v>
      </c>
      <c r="Q1" t="s">
        <v>365</v>
      </c>
      <c r="R1" t="s">
        <v>366</v>
      </c>
      <c r="S1" t="s">
        <v>367</v>
      </c>
      <c r="T1" t="s">
        <v>368</v>
      </c>
      <c r="U1" t="s">
        <v>369</v>
      </c>
      <c r="V1" t="s">
        <v>370</v>
      </c>
      <c r="W1" t="s">
        <v>371</v>
      </c>
      <c r="X1" t="s">
        <v>372</v>
      </c>
      <c r="Y1" t="s">
        <v>373</v>
      </c>
      <c r="Z1" t="s">
        <v>374</v>
      </c>
      <c r="AA1" t="s">
        <v>375</v>
      </c>
    </row>
    <row r="2" spans="1:27" x14ac:dyDescent="0.35">
      <c r="A2">
        <v>19129</v>
      </c>
      <c r="B2">
        <v>151923</v>
      </c>
      <c r="C2">
        <v>1</v>
      </c>
      <c r="D2">
        <v>0</v>
      </c>
      <c r="E2">
        <v>0</v>
      </c>
      <c r="F2">
        <v>0.31064545486919598</v>
      </c>
      <c r="G2">
        <v>0.36353266940601398</v>
      </c>
      <c r="H2">
        <v>0.67417812427521095</v>
      </c>
      <c r="I2">
        <v>7428.6601252537803</v>
      </c>
      <c r="J2">
        <v>3982633.6946484698</v>
      </c>
      <c r="K2">
        <v>33</v>
      </c>
      <c r="L2">
        <v>33</v>
      </c>
      <c r="M2">
        <v>0</v>
      </c>
      <c r="N2">
        <v>0</v>
      </c>
      <c r="O2">
        <v>1</v>
      </c>
      <c r="P2">
        <v>1</v>
      </c>
      <c r="Q2">
        <v>0</v>
      </c>
      <c r="R2">
        <v>1</v>
      </c>
      <c r="S2">
        <v>0</v>
      </c>
      <c r="T2">
        <v>1</v>
      </c>
      <c r="U2">
        <v>1</v>
      </c>
      <c r="V2">
        <v>1</v>
      </c>
      <c r="W2">
        <v>1</v>
      </c>
      <c r="X2">
        <v>2</v>
      </c>
      <c r="Y2">
        <v>2</v>
      </c>
      <c r="Z2">
        <v>2</v>
      </c>
      <c r="AA2">
        <v>2</v>
      </c>
    </row>
    <row r="3" spans="1:27" x14ac:dyDescent="0.35">
      <c r="A3">
        <v>19413</v>
      </c>
      <c r="B3">
        <v>46763</v>
      </c>
      <c r="C3">
        <v>1</v>
      </c>
      <c r="D3">
        <v>0</v>
      </c>
      <c r="E3">
        <v>0</v>
      </c>
      <c r="F3">
        <v>1.80909867230736E-3</v>
      </c>
      <c r="G3">
        <v>1.51059739137665E-2</v>
      </c>
      <c r="H3">
        <v>1.69150725860738E-2</v>
      </c>
      <c r="I3">
        <v>7428.6599763504601</v>
      </c>
      <c r="J3">
        <v>3982633.5349891698</v>
      </c>
      <c r="K3">
        <v>3</v>
      </c>
      <c r="L3">
        <v>3</v>
      </c>
      <c r="M3">
        <v>0</v>
      </c>
      <c r="N3">
        <v>0</v>
      </c>
      <c r="O3">
        <v>1</v>
      </c>
      <c r="P3">
        <v>0</v>
      </c>
      <c r="Q3">
        <v>0</v>
      </c>
      <c r="R3">
        <v>0</v>
      </c>
      <c r="S3">
        <v>0</v>
      </c>
      <c r="T3">
        <v>1</v>
      </c>
      <c r="U3">
        <v>1</v>
      </c>
      <c r="V3">
        <v>1</v>
      </c>
      <c r="W3">
        <v>1</v>
      </c>
      <c r="X3">
        <v>2</v>
      </c>
      <c r="Y3">
        <v>2</v>
      </c>
      <c r="Z3">
        <v>2</v>
      </c>
      <c r="AA3">
        <v>2</v>
      </c>
    </row>
    <row r="4" spans="1:27" x14ac:dyDescent="0.35">
      <c r="A4">
        <v>19417</v>
      </c>
      <c r="B4">
        <v>152143</v>
      </c>
      <c r="C4">
        <v>1</v>
      </c>
      <c r="D4">
        <v>0</v>
      </c>
      <c r="E4">
        <v>0</v>
      </c>
      <c r="F4">
        <v>0</v>
      </c>
      <c r="G4">
        <v>0</v>
      </c>
      <c r="H4">
        <v>0</v>
      </c>
      <c r="I4">
        <v>7428.6601895449503</v>
      </c>
      <c r="J4">
        <v>3982633.76358371</v>
      </c>
      <c r="K4">
        <v>28</v>
      </c>
      <c r="L4">
        <v>28</v>
      </c>
      <c r="M4">
        <v>0</v>
      </c>
      <c r="N4">
        <v>0</v>
      </c>
      <c r="O4">
        <v>0</v>
      </c>
      <c r="P4">
        <v>0</v>
      </c>
      <c r="Q4">
        <v>0</v>
      </c>
      <c r="R4">
        <v>0</v>
      </c>
      <c r="S4">
        <v>0</v>
      </c>
      <c r="T4">
        <v>0</v>
      </c>
      <c r="U4">
        <v>0</v>
      </c>
      <c r="V4">
        <v>0</v>
      </c>
      <c r="W4">
        <v>0</v>
      </c>
      <c r="X4">
        <v>0</v>
      </c>
      <c r="Y4">
        <v>0</v>
      </c>
      <c r="Z4">
        <v>0</v>
      </c>
      <c r="AA4">
        <v>0</v>
      </c>
    </row>
    <row r="5" spans="1:27" x14ac:dyDescent="0.35">
      <c r="A5">
        <v>19418</v>
      </c>
      <c r="B5">
        <v>46764</v>
      </c>
      <c r="C5">
        <v>1</v>
      </c>
      <c r="D5">
        <v>0</v>
      </c>
      <c r="E5">
        <v>0</v>
      </c>
      <c r="F5">
        <v>0</v>
      </c>
      <c r="G5">
        <v>0</v>
      </c>
      <c r="H5">
        <v>0</v>
      </c>
      <c r="I5">
        <v>7428.6597933493003</v>
      </c>
      <c r="J5">
        <v>3982633.33876898</v>
      </c>
      <c r="K5">
        <v>90</v>
      </c>
      <c r="L5">
        <v>90</v>
      </c>
      <c r="M5">
        <v>0</v>
      </c>
      <c r="N5">
        <v>0</v>
      </c>
      <c r="O5">
        <v>0</v>
      </c>
      <c r="P5">
        <v>0</v>
      </c>
      <c r="Q5">
        <v>0</v>
      </c>
      <c r="R5">
        <v>0</v>
      </c>
      <c r="S5">
        <v>0</v>
      </c>
      <c r="T5">
        <v>0</v>
      </c>
      <c r="U5">
        <v>0</v>
      </c>
      <c r="V5">
        <v>0</v>
      </c>
      <c r="W5">
        <v>0</v>
      </c>
      <c r="X5">
        <v>0</v>
      </c>
      <c r="Y5">
        <v>0</v>
      </c>
      <c r="Z5">
        <v>0</v>
      </c>
      <c r="AA5">
        <v>0</v>
      </c>
    </row>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row r="103" customFormat="1" x14ac:dyDescent="0.35"/>
    <row r="104" customFormat="1" x14ac:dyDescent="0.35"/>
    <row r="105" customFormat="1" x14ac:dyDescent="0.35"/>
    <row r="106" customFormat="1" x14ac:dyDescent="0.35"/>
    <row r="107" customFormat="1" x14ac:dyDescent="0.35"/>
    <row r="108" customFormat="1" x14ac:dyDescent="0.35"/>
    <row r="109" customFormat="1" x14ac:dyDescent="0.35"/>
    <row r="110" customFormat="1" x14ac:dyDescent="0.35"/>
    <row r="111" customFormat="1" x14ac:dyDescent="0.35"/>
    <row r="112" customFormat="1" x14ac:dyDescent="0.35"/>
    <row r="113" customFormat="1" x14ac:dyDescent="0.35"/>
    <row r="114" customFormat="1" x14ac:dyDescent="0.35"/>
    <row r="115" customFormat="1" x14ac:dyDescent="0.35"/>
    <row r="116" customFormat="1" x14ac:dyDescent="0.35"/>
    <row r="117" customFormat="1" x14ac:dyDescent="0.35"/>
    <row r="118" customFormat="1" x14ac:dyDescent="0.35"/>
    <row r="119" customFormat="1" x14ac:dyDescent="0.35"/>
    <row r="120" customFormat="1" x14ac:dyDescent="0.35"/>
    <row r="121" customFormat="1" x14ac:dyDescent="0.35"/>
    <row r="122" customFormat="1" x14ac:dyDescent="0.35"/>
    <row r="123" customFormat="1" x14ac:dyDescent="0.35"/>
    <row r="124" customFormat="1" x14ac:dyDescent="0.35"/>
    <row r="125" customFormat="1" x14ac:dyDescent="0.35"/>
    <row r="126" customFormat="1" x14ac:dyDescent="0.35"/>
    <row r="127" customFormat="1" x14ac:dyDescent="0.35"/>
    <row r="128" customFormat="1" x14ac:dyDescent="0.35"/>
    <row r="129" customFormat="1" x14ac:dyDescent="0.35"/>
    <row r="130" customFormat="1" x14ac:dyDescent="0.35"/>
    <row r="131" customFormat="1" x14ac:dyDescent="0.35"/>
    <row r="132" customFormat="1" x14ac:dyDescent="0.35"/>
    <row r="133" customFormat="1" x14ac:dyDescent="0.35"/>
    <row r="134" customFormat="1" x14ac:dyDescent="0.35"/>
    <row r="135" customFormat="1" x14ac:dyDescent="0.35"/>
    <row r="136" customFormat="1" x14ac:dyDescent="0.35"/>
    <row r="137" customFormat="1" x14ac:dyDescent="0.35"/>
    <row r="138" customFormat="1" x14ac:dyDescent="0.35"/>
    <row r="139" customFormat="1" x14ac:dyDescent="0.35"/>
    <row r="140" customFormat="1" x14ac:dyDescent="0.35"/>
    <row r="141" customFormat="1" x14ac:dyDescent="0.35"/>
    <row r="142" customFormat="1" x14ac:dyDescent="0.35"/>
    <row r="143" customFormat="1" x14ac:dyDescent="0.35"/>
    <row r="144" customFormat="1" x14ac:dyDescent="0.35"/>
    <row r="145" customFormat="1" x14ac:dyDescent="0.35"/>
    <row r="146" customFormat="1" x14ac:dyDescent="0.35"/>
    <row r="147" customFormat="1" x14ac:dyDescent="0.35"/>
    <row r="148" customFormat="1" x14ac:dyDescent="0.35"/>
    <row r="149" customFormat="1" x14ac:dyDescent="0.35"/>
    <row r="150" customFormat="1" x14ac:dyDescent="0.35"/>
    <row r="151" customFormat="1" x14ac:dyDescent="0.35"/>
    <row r="152" customFormat="1" x14ac:dyDescent="0.35"/>
    <row r="153" customFormat="1" x14ac:dyDescent="0.35"/>
    <row r="154" customFormat="1" x14ac:dyDescent="0.35"/>
    <row r="155" customFormat="1" x14ac:dyDescent="0.35"/>
    <row r="156" customFormat="1" x14ac:dyDescent="0.35"/>
    <row r="157" customFormat="1" x14ac:dyDescent="0.35"/>
    <row r="158" customFormat="1" x14ac:dyDescent="0.35"/>
    <row r="159" customFormat="1" x14ac:dyDescent="0.35"/>
    <row r="160" customFormat="1" x14ac:dyDescent="0.35"/>
    <row r="161" customFormat="1" x14ac:dyDescent="0.35"/>
    <row r="162" customFormat="1" x14ac:dyDescent="0.35"/>
    <row r="163" customFormat="1" x14ac:dyDescent="0.35"/>
    <row r="164" customFormat="1" x14ac:dyDescent="0.35"/>
    <row r="165" customFormat="1" x14ac:dyDescent="0.35"/>
    <row r="166" customFormat="1" x14ac:dyDescent="0.35"/>
    <row r="167" customFormat="1" x14ac:dyDescent="0.35"/>
    <row r="168" customFormat="1" x14ac:dyDescent="0.35"/>
    <row r="169" customFormat="1" x14ac:dyDescent="0.35"/>
    <row r="170" customFormat="1" x14ac:dyDescent="0.35"/>
    <row r="171" customFormat="1" x14ac:dyDescent="0.35"/>
    <row r="172" customFormat="1" x14ac:dyDescent="0.35"/>
    <row r="173" customFormat="1" x14ac:dyDescent="0.35"/>
    <row r="174" customFormat="1" x14ac:dyDescent="0.35"/>
    <row r="175" customFormat="1" x14ac:dyDescent="0.35"/>
    <row r="176" customFormat="1" x14ac:dyDescent="0.35"/>
    <row r="177" customFormat="1" x14ac:dyDescent="0.35"/>
    <row r="178" customFormat="1" x14ac:dyDescent="0.35"/>
    <row r="179" customFormat="1" x14ac:dyDescent="0.35"/>
    <row r="180" customFormat="1" x14ac:dyDescent="0.35"/>
    <row r="181" customFormat="1" x14ac:dyDescent="0.35"/>
    <row r="182" customFormat="1" x14ac:dyDescent="0.35"/>
    <row r="183" customFormat="1" x14ac:dyDescent="0.35"/>
    <row r="184" customFormat="1" x14ac:dyDescent="0.35"/>
    <row r="185" customFormat="1" x14ac:dyDescent="0.35"/>
    <row r="186" customFormat="1" x14ac:dyDescent="0.35"/>
    <row r="187" customFormat="1" x14ac:dyDescent="0.35"/>
    <row r="188" customFormat="1" x14ac:dyDescent="0.35"/>
    <row r="189" customFormat="1" x14ac:dyDescent="0.35"/>
    <row r="190" customFormat="1" x14ac:dyDescent="0.35"/>
    <row r="191" customFormat="1" x14ac:dyDescent="0.35"/>
    <row r="192" customFormat="1" x14ac:dyDescent="0.35"/>
    <row r="193" customFormat="1" x14ac:dyDescent="0.35"/>
    <row r="194" customFormat="1" x14ac:dyDescent="0.35"/>
    <row r="195" customFormat="1" x14ac:dyDescent="0.35"/>
    <row r="196" customFormat="1" x14ac:dyDescent="0.35"/>
    <row r="197" customFormat="1" x14ac:dyDescent="0.35"/>
    <row r="198" customFormat="1" x14ac:dyDescent="0.35"/>
    <row r="199" customFormat="1" x14ac:dyDescent="0.35"/>
    <row r="200" customFormat="1" x14ac:dyDescent="0.35"/>
    <row r="201" customFormat="1" x14ac:dyDescent="0.35"/>
    <row r="202" customFormat="1" x14ac:dyDescent="0.35"/>
    <row r="203" customFormat="1" x14ac:dyDescent="0.35"/>
    <row r="204" customFormat="1" x14ac:dyDescent="0.35"/>
    <row r="205" customFormat="1" x14ac:dyDescent="0.35"/>
    <row r="206" customFormat="1" x14ac:dyDescent="0.35"/>
    <row r="207" customFormat="1" x14ac:dyDescent="0.35"/>
    <row r="208" customFormat="1" x14ac:dyDescent="0.35"/>
    <row r="209" customFormat="1" x14ac:dyDescent="0.35"/>
    <row r="210" customFormat="1" x14ac:dyDescent="0.35"/>
    <row r="211" customFormat="1" x14ac:dyDescent="0.35"/>
    <row r="212" customFormat="1" x14ac:dyDescent="0.35"/>
    <row r="213" customFormat="1" x14ac:dyDescent="0.35"/>
    <row r="214" customFormat="1" x14ac:dyDescent="0.35"/>
    <row r="215" customFormat="1" x14ac:dyDescent="0.35"/>
    <row r="216" customFormat="1" x14ac:dyDescent="0.35"/>
    <row r="217" customFormat="1" x14ac:dyDescent="0.35"/>
    <row r="218" customFormat="1" x14ac:dyDescent="0.35"/>
    <row r="219" customFormat="1" x14ac:dyDescent="0.35"/>
    <row r="220" customFormat="1" x14ac:dyDescent="0.35"/>
    <row r="221" customFormat="1" x14ac:dyDescent="0.35"/>
    <row r="222" customFormat="1" x14ac:dyDescent="0.35"/>
    <row r="223" customFormat="1" x14ac:dyDescent="0.35"/>
    <row r="224" customFormat="1" x14ac:dyDescent="0.35"/>
    <row r="225" customFormat="1" x14ac:dyDescent="0.35"/>
    <row r="226" customFormat="1" x14ac:dyDescent="0.35"/>
    <row r="227" customFormat="1" x14ac:dyDescent="0.35"/>
    <row r="228" customFormat="1" x14ac:dyDescent="0.35"/>
    <row r="229" customFormat="1" x14ac:dyDescent="0.35"/>
    <row r="230" customFormat="1" x14ac:dyDescent="0.35"/>
    <row r="231" customFormat="1" x14ac:dyDescent="0.35"/>
    <row r="232" customFormat="1" x14ac:dyDescent="0.35"/>
    <row r="233" customFormat="1" x14ac:dyDescent="0.35"/>
    <row r="234" customFormat="1" x14ac:dyDescent="0.35"/>
    <row r="235" customFormat="1" x14ac:dyDescent="0.35"/>
    <row r="236" customFormat="1" x14ac:dyDescent="0.35"/>
    <row r="237" customFormat="1" x14ac:dyDescent="0.35"/>
    <row r="238" customFormat="1" x14ac:dyDescent="0.35"/>
    <row r="239" customFormat="1" x14ac:dyDescent="0.35"/>
    <row r="240" customFormat="1" x14ac:dyDescent="0.35"/>
    <row r="241" customFormat="1" x14ac:dyDescent="0.35"/>
    <row r="242" customFormat="1" x14ac:dyDescent="0.35"/>
    <row r="243" customFormat="1" x14ac:dyDescent="0.35"/>
    <row r="244" customFormat="1" x14ac:dyDescent="0.35"/>
    <row r="245" customFormat="1" x14ac:dyDescent="0.35"/>
    <row r="246" customFormat="1" x14ac:dyDescent="0.35"/>
    <row r="247" customFormat="1" x14ac:dyDescent="0.35"/>
    <row r="248" customFormat="1" x14ac:dyDescent="0.35"/>
    <row r="249" customFormat="1" x14ac:dyDescent="0.35"/>
    <row r="250" customFormat="1" x14ac:dyDescent="0.35"/>
    <row r="251" customFormat="1" x14ac:dyDescent="0.35"/>
    <row r="252" customFormat="1" x14ac:dyDescent="0.35"/>
    <row r="253" customFormat="1" x14ac:dyDescent="0.35"/>
    <row r="254" customFormat="1" x14ac:dyDescent="0.35"/>
    <row r="255" customFormat="1" x14ac:dyDescent="0.35"/>
    <row r="256" customFormat="1" x14ac:dyDescent="0.35"/>
    <row r="257" customFormat="1" x14ac:dyDescent="0.35"/>
    <row r="258" customFormat="1" x14ac:dyDescent="0.35"/>
    <row r="259" customFormat="1" x14ac:dyDescent="0.35"/>
    <row r="260" customFormat="1" x14ac:dyDescent="0.35"/>
    <row r="261" customFormat="1" x14ac:dyDescent="0.35"/>
    <row r="262" customFormat="1" x14ac:dyDescent="0.35"/>
    <row r="263" customFormat="1" x14ac:dyDescent="0.35"/>
    <row r="264" customFormat="1" x14ac:dyDescent="0.35"/>
    <row r="265" customFormat="1" x14ac:dyDescent="0.35"/>
    <row r="266" customFormat="1" x14ac:dyDescent="0.35"/>
    <row r="267" customFormat="1" x14ac:dyDescent="0.35"/>
    <row r="268" customFormat="1" x14ac:dyDescent="0.35"/>
    <row r="269" customFormat="1" x14ac:dyDescent="0.35"/>
    <row r="270" customFormat="1" x14ac:dyDescent="0.35"/>
    <row r="271" customFormat="1" x14ac:dyDescent="0.35"/>
    <row r="272" customFormat="1" x14ac:dyDescent="0.35"/>
    <row r="273" customFormat="1" x14ac:dyDescent="0.35"/>
    <row r="274" customFormat="1" x14ac:dyDescent="0.35"/>
    <row r="275" customFormat="1" x14ac:dyDescent="0.35"/>
    <row r="276" customFormat="1" x14ac:dyDescent="0.35"/>
    <row r="277" customFormat="1" x14ac:dyDescent="0.35"/>
    <row r="278" customFormat="1" x14ac:dyDescent="0.35"/>
    <row r="279" customFormat="1" x14ac:dyDescent="0.35"/>
    <row r="280" customFormat="1" x14ac:dyDescent="0.35"/>
    <row r="281" customFormat="1" x14ac:dyDescent="0.35"/>
    <row r="282" customFormat="1" x14ac:dyDescent="0.35"/>
    <row r="283" customFormat="1" x14ac:dyDescent="0.35"/>
    <row r="284" customFormat="1" x14ac:dyDescent="0.35"/>
    <row r="285" customFormat="1" x14ac:dyDescent="0.35"/>
    <row r="286" customFormat="1" x14ac:dyDescent="0.35"/>
    <row r="287" customFormat="1" x14ac:dyDescent="0.35"/>
    <row r="288" customFormat="1" x14ac:dyDescent="0.35"/>
    <row r="289" customFormat="1" x14ac:dyDescent="0.35"/>
    <row r="290" customFormat="1" x14ac:dyDescent="0.35"/>
    <row r="291" customFormat="1" x14ac:dyDescent="0.35"/>
    <row r="292" customFormat="1" x14ac:dyDescent="0.35"/>
    <row r="293" customFormat="1" x14ac:dyDescent="0.35"/>
    <row r="294" customFormat="1" x14ac:dyDescent="0.35"/>
    <row r="295" customFormat="1" x14ac:dyDescent="0.35"/>
    <row r="296" customFormat="1" x14ac:dyDescent="0.35"/>
    <row r="297" customFormat="1" x14ac:dyDescent="0.35"/>
    <row r="298" customFormat="1" x14ac:dyDescent="0.35"/>
    <row r="299" customFormat="1" x14ac:dyDescent="0.35"/>
    <row r="300" customFormat="1" x14ac:dyDescent="0.35"/>
    <row r="301" customFormat="1" x14ac:dyDescent="0.35"/>
    <row r="302" customFormat="1" x14ac:dyDescent="0.35"/>
    <row r="303" customFormat="1" x14ac:dyDescent="0.35"/>
    <row r="304" customFormat="1" x14ac:dyDescent="0.35"/>
    <row r="305" customFormat="1" x14ac:dyDescent="0.35"/>
    <row r="306" customFormat="1" x14ac:dyDescent="0.35"/>
    <row r="307" customFormat="1" x14ac:dyDescent="0.3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972EB-3BFE-4F08-BD90-1F48BDC8A715}">
  <dimension ref="B2:M16"/>
  <sheetViews>
    <sheetView workbookViewId="0">
      <selection activeCell="D16" sqref="D16"/>
    </sheetView>
  </sheetViews>
  <sheetFormatPr defaultRowHeight="14.5" x14ac:dyDescent="0.35"/>
  <cols>
    <col min="1" max="1" width="3.08984375" customWidth="1"/>
    <col min="2" max="2" width="13.6328125" customWidth="1"/>
    <col min="3" max="3" width="12" bestFit="1" customWidth="1"/>
    <col min="4" max="4" width="11.36328125" bestFit="1" customWidth="1"/>
  </cols>
  <sheetData>
    <row r="2" spans="2:13" x14ac:dyDescent="0.35">
      <c r="C2" s="63" t="s">
        <v>386</v>
      </c>
      <c r="D2" s="63" t="s">
        <v>386</v>
      </c>
    </row>
    <row r="3" spans="2:13" x14ac:dyDescent="0.35">
      <c r="B3" s="61" t="s">
        <v>251</v>
      </c>
      <c r="C3" s="63" t="s">
        <v>387</v>
      </c>
      <c r="D3" s="64" t="s">
        <v>388</v>
      </c>
      <c r="E3" s="60"/>
      <c r="M3" s="60"/>
    </row>
    <row r="4" spans="2:13" x14ac:dyDescent="0.35">
      <c r="B4" s="40" t="s">
        <v>252</v>
      </c>
      <c r="C4" s="63">
        <v>1.6465250156540216E-2</v>
      </c>
      <c r="D4" s="64">
        <v>3.5990313013993261E-2</v>
      </c>
      <c r="E4" s="60"/>
    </row>
    <row r="5" spans="2:13" x14ac:dyDescent="0.35">
      <c r="B5" s="40" t="s">
        <v>253</v>
      </c>
      <c r="C5" s="63">
        <v>1.5615221198574572E-2</v>
      </c>
      <c r="D5" s="64">
        <v>2.4287640268739003E-2</v>
      </c>
      <c r="E5" s="60"/>
    </row>
    <row r="6" spans="2:13" x14ac:dyDescent="0.35">
      <c r="B6" s="40" t="s">
        <v>254</v>
      </c>
      <c r="C6" s="63">
        <v>3.195266160252231E-2</v>
      </c>
      <c r="D6" s="64">
        <v>2.6990658283985388E-2</v>
      </c>
      <c r="E6" s="60"/>
    </row>
    <row r="7" spans="2:13" x14ac:dyDescent="0.35">
      <c r="B7" s="40" t="s">
        <v>255</v>
      </c>
      <c r="C7" s="63">
        <v>1.9699867662153519E-2</v>
      </c>
      <c r="D7" s="64">
        <v>1.3066379160471426E-2</v>
      </c>
      <c r="E7" s="60"/>
    </row>
    <row r="8" spans="2:13" x14ac:dyDescent="0.35">
      <c r="B8" s="40" t="s">
        <v>248</v>
      </c>
      <c r="C8" s="63">
        <v>1.9512302850000194E-2</v>
      </c>
      <c r="D8" s="64">
        <v>1.2024674308902259E-2</v>
      </c>
      <c r="E8" s="60"/>
    </row>
    <row r="9" spans="2:13" x14ac:dyDescent="0.35">
      <c r="B9" s="40" t="s">
        <v>256</v>
      </c>
      <c r="C9" s="63">
        <v>1.782356260884985E-2</v>
      </c>
      <c r="D9" s="64">
        <v>2.9745043736646361E-2</v>
      </c>
      <c r="E9" s="60"/>
    </row>
    <row r="10" spans="2:13" x14ac:dyDescent="0.35">
      <c r="B10" s="40" t="s">
        <v>260</v>
      </c>
      <c r="C10" s="63">
        <v>2.508906394952868E-2</v>
      </c>
      <c r="D10" s="64">
        <v>2.4222517026481549E-2</v>
      </c>
      <c r="E10" s="60"/>
    </row>
    <row r="11" spans="2:13" x14ac:dyDescent="0.35">
      <c r="B11" s="40" t="s">
        <v>257</v>
      </c>
      <c r="C11" s="63">
        <v>2.4045854892342022E-2</v>
      </c>
      <c r="D11" s="64">
        <v>4.1038431317052267E-2</v>
      </c>
      <c r="E11" s="60"/>
    </row>
    <row r="12" spans="2:13" x14ac:dyDescent="0.35">
      <c r="C12" s="115"/>
      <c r="D12" s="50"/>
      <c r="E12" s="60"/>
    </row>
    <row r="13" spans="2:13" x14ac:dyDescent="0.35">
      <c r="B13" s="228" t="s">
        <v>386</v>
      </c>
      <c r="C13" s="228"/>
    </row>
    <row r="14" spans="2:13" x14ac:dyDescent="0.35">
      <c r="B14" s="40" t="s">
        <v>426</v>
      </c>
      <c r="C14" s="113">
        <f>'Inputs &amp; Outputs'!$C$40</f>
        <v>24443</v>
      </c>
    </row>
    <row r="15" spans="2:13" ht="29" x14ac:dyDescent="0.35">
      <c r="B15" s="53" t="s">
        <v>427</v>
      </c>
      <c r="C15" s="113">
        <f>'Inputs &amp; Outputs'!$C$41</f>
        <v>3694</v>
      </c>
    </row>
    <row r="16" spans="2:13" x14ac:dyDescent="0.35">
      <c r="B16" s="40" t="s">
        <v>386</v>
      </c>
      <c r="C16" s="114">
        <v>2.0299999999999999E-2</v>
      </c>
    </row>
  </sheetData>
  <mergeCells count="1">
    <mergeCell ref="B13:C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pageSetUpPr fitToPage="1"/>
  </sheetPr>
  <dimension ref="A3:J53"/>
  <sheetViews>
    <sheetView zoomScale="85" zoomScaleNormal="85" workbookViewId="0">
      <selection activeCell="H1" sqref="H1:H1048576"/>
    </sheetView>
  </sheetViews>
  <sheetFormatPr defaultRowHeight="14.5" x14ac:dyDescent="0.35"/>
  <cols>
    <col min="1" max="1" width="38.90625" customWidth="1"/>
    <col min="2" max="2" width="12.54296875" customWidth="1"/>
    <col min="3" max="3" width="5.36328125" customWidth="1"/>
    <col min="4" max="4" width="33.54296875" bestFit="1" customWidth="1"/>
    <col min="5" max="5" width="13.36328125" customWidth="1"/>
    <col min="6" max="6" width="4.54296875" customWidth="1"/>
    <col min="8" max="8" width="2.08984375" hidden="1" customWidth="1"/>
    <col min="9" max="9" width="18.6328125" bestFit="1" customWidth="1"/>
    <col min="10" max="10" width="38.36328125" bestFit="1" customWidth="1"/>
  </cols>
  <sheetData>
    <row r="3" spans="1:10" x14ac:dyDescent="0.35">
      <c r="A3" s="5" t="s">
        <v>0</v>
      </c>
      <c r="D3" s="5" t="s">
        <v>19</v>
      </c>
      <c r="E3" s="6" t="s">
        <v>9</v>
      </c>
      <c r="G3" s="12" t="s">
        <v>13</v>
      </c>
      <c r="H3" s="12"/>
      <c r="I3" s="12" t="s">
        <v>20</v>
      </c>
      <c r="J3" s="12" t="s">
        <v>49</v>
      </c>
    </row>
    <row r="4" spans="1:10" x14ac:dyDescent="0.35">
      <c r="A4" s="3" t="s">
        <v>5</v>
      </c>
      <c r="B4" s="4"/>
      <c r="D4" s="3" t="s">
        <v>46</v>
      </c>
      <c r="E4" s="4">
        <v>2015</v>
      </c>
      <c r="G4" s="10">
        <f>E4</f>
        <v>2015</v>
      </c>
      <c r="H4" s="10">
        <f>IF(G4&lt;2041,1,0)</f>
        <v>1</v>
      </c>
      <c r="I4" s="19">
        <f>IF($G4&lt;($G$4+$E$5),$E$17,0)*H4</f>
        <v>0</v>
      </c>
      <c r="J4" s="28" t="e">
        <f>I4*$B$18*$B$19/10^3</f>
        <v>#REF!</v>
      </c>
    </row>
    <row r="5" spans="1:10" x14ac:dyDescent="0.35">
      <c r="A5" s="3" t="s">
        <v>6</v>
      </c>
      <c r="B5" s="4"/>
      <c r="D5" s="3" t="s">
        <v>36</v>
      </c>
      <c r="E5" s="7">
        <v>10</v>
      </c>
      <c r="G5" s="11">
        <f t="shared" ref="G5:G29" si="0">G4+1</f>
        <v>2016</v>
      </c>
      <c r="H5" s="11">
        <f t="shared" ref="H5:H29" si="1">IF(G5&lt;2041,1,0)</f>
        <v>1</v>
      </c>
      <c r="I5" s="19">
        <f t="shared" ref="I5:I29" si="2">IF($G5&lt;($G$4+$E$5),$E$17,0)*H5</f>
        <v>0</v>
      </c>
      <c r="J5" s="35" t="e">
        <f t="shared" ref="J5:J24" si="3">I5*$B$18*$B$19/10^3</f>
        <v>#REF!</v>
      </c>
    </row>
    <row r="6" spans="1:10" x14ac:dyDescent="0.35">
      <c r="A6" s="3" t="s">
        <v>7</v>
      </c>
      <c r="B6" s="4">
        <v>1</v>
      </c>
      <c r="D6" s="193" t="s">
        <v>34</v>
      </c>
      <c r="E6" s="194"/>
      <c r="G6" s="10">
        <f t="shared" si="0"/>
        <v>2017</v>
      </c>
      <c r="H6" s="10">
        <f t="shared" si="1"/>
        <v>1</v>
      </c>
      <c r="I6" s="19">
        <f t="shared" si="2"/>
        <v>0</v>
      </c>
      <c r="J6" s="28" t="e">
        <f t="shared" si="3"/>
        <v>#REF!</v>
      </c>
    </row>
    <row r="7" spans="1:10" x14ac:dyDescent="0.35">
      <c r="A7" s="3" t="s">
        <v>47</v>
      </c>
      <c r="B7" s="20"/>
      <c r="D7" s="3" t="s">
        <v>44</v>
      </c>
      <c r="E7" s="7"/>
      <c r="G7" s="11">
        <f t="shared" si="0"/>
        <v>2018</v>
      </c>
      <c r="H7" s="11">
        <f t="shared" si="1"/>
        <v>1</v>
      </c>
      <c r="I7" s="19">
        <f t="shared" si="2"/>
        <v>0</v>
      </c>
      <c r="J7" s="35" t="e">
        <f t="shared" si="3"/>
        <v>#REF!</v>
      </c>
    </row>
    <row r="8" spans="1:10" x14ac:dyDescent="0.35">
      <c r="A8" s="3" t="s">
        <v>48</v>
      </c>
      <c r="B8" s="20"/>
      <c r="D8" s="3" t="s">
        <v>42</v>
      </c>
      <c r="E8" s="38">
        <v>1.1499999999999999</v>
      </c>
      <c r="G8" s="10">
        <f t="shared" si="0"/>
        <v>2019</v>
      </c>
      <c r="H8" s="10">
        <f t="shared" si="1"/>
        <v>1</v>
      </c>
      <c r="I8" s="19">
        <f t="shared" si="2"/>
        <v>0</v>
      </c>
      <c r="J8" s="28" t="e">
        <f t="shared" si="3"/>
        <v>#REF!</v>
      </c>
    </row>
    <row r="9" spans="1:10" x14ac:dyDescent="0.35">
      <c r="G9" s="11">
        <f t="shared" si="0"/>
        <v>2020</v>
      </c>
      <c r="H9" s="11">
        <f t="shared" si="1"/>
        <v>1</v>
      </c>
      <c r="I9" s="19">
        <f t="shared" si="2"/>
        <v>0</v>
      </c>
      <c r="J9" s="35" t="e">
        <f t="shared" si="3"/>
        <v>#REF!</v>
      </c>
    </row>
    <row r="10" spans="1:10" x14ac:dyDescent="0.35">
      <c r="A10" s="9" t="s">
        <v>18</v>
      </c>
      <c r="G10" s="10">
        <f t="shared" si="0"/>
        <v>2021</v>
      </c>
      <c r="H10" s="10">
        <f t="shared" si="1"/>
        <v>1</v>
      </c>
      <c r="I10" s="19">
        <f t="shared" si="2"/>
        <v>0</v>
      </c>
      <c r="J10" s="28" t="e">
        <f t="shared" si="3"/>
        <v>#REF!</v>
      </c>
    </row>
    <row r="11" spans="1:10" x14ac:dyDescent="0.35">
      <c r="A11" s="8" t="s">
        <v>45</v>
      </c>
      <c r="B11" s="36" t="e">
        <f>NPV($B$17,J4:J29)/(1+$B$17)^(E4-B16+1)</f>
        <v>#REF!</v>
      </c>
      <c r="G11" s="11">
        <f t="shared" si="0"/>
        <v>2022</v>
      </c>
      <c r="H11" s="11">
        <f t="shared" si="1"/>
        <v>1</v>
      </c>
      <c r="I11" s="19">
        <f t="shared" si="2"/>
        <v>0</v>
      </c>
      <c r="J11" s="35" t="e">
        <f t="shared" si="3"/>
        <v>#REF!</v>
      </c>
    </row>
    <row r="12" spans="1:10" x14ac:dyDescent="0.35">
      <c r="A12" s="8" t="s">
        <v>17</v>
      </c>
      <c r="B12" s="34" t="e">
        <f>B11/B7</f>
        <v>#REF!</v>
      </c>
      <c r="G12" s="10">
        <f t="shared" si="0"/>
        <v>2023</v>
      </c>
      <c r="H12" s="10">
        <f t="shared" si="1"/>
        <v>1</v>
      </c>
      <c r="I12" s="19">
        <f t="shared" si="2"/>
        <v>0</v>
      </c>
      <c r="J12" s="28" t="e">
        <f t="shared" si="3"/>
        <v>#REF!</v>
      </c>
    </row>
    <row r="13" spans="1:10" x14ac:dyDescent="0.35">
      <c r="G13" s="11">
        <f t="shared" si="0"/>
        <v>2024</v>
      </c>
      <c r="H13" s="11">
        <f t="shared" si="1"/>
        <v>1</v>
      </c>
      <c r="I13" s="19">
        <f t="shared" si="2"/>
        <v>0</v>
      </c>
      <c r="J13" s="35" t="e">
        <f t="shared" si="3"/>
        <v>#REF!</v>
      </c>
    </row>
    <row r="14" spans="1:10" x14ac:dyDescent="0.35">
      <c r="G14" s="10">
        <f>G13+1</f>
        <v>2025</v>
      </c>
      <c r="H14" s="10">
        <f t="shared" si="1"/>
        <v>1</v>
      </c>
      <c r="I14" s="19">
        <f t="shared" si="2"/>
        <v>0</v>
      </c>
      <c r="J14" s="28" t="e">
        <f t="shared" si="3"/>
        <v>#REF!</v>
      </c>
    </row>
    <row r="15" spans="1:10" x14ac:dyDescent="0.35">
      <c r="A15" s="13" t="s">
        <v>1</v>
      </c>
      <c r="G15" s="11">
        <f t="shared" si="0"/>
        <v>2026</v>
      </c>
      <c r="H15" s="11">
        <f t="shared" si="1"/>
        <v>1</v>
      </c>
      <c r="I15" s="19">
        <f t="shared" si="2"/>
        <v>0</v>
      </c>
      <c r="J15" s="35" t="e">
        <f t="shared" si="3"/>
        <v>#REF!</v>
      </c>
    </row>
    <row r="16" spans="1:10" x14ac:dyDescent="0.35">
      <c r="A16" s="14" t="s">
        <v>2</v>
      </c>
      <c r="B16" s="14">
        <f>'Assumed Values'!C5</f>
        <v>2021</v>
      </c>
      <c r="D16" s="13" t="s">
        <v>15</v>
      </c>
      <c r="E16" s="21" t="s">
        <v>9</v>
      </c>
      <c r="G16" s="10">
        <f t="shared" si="0"/>
        <v>2027</v>
      </c>
      <c r="H16" s="10">
        <f t="shared" si="1"/>
        <v>1</v>
      </c>
      <c r="I16" s="19">
        <f t="shared" si="2"/>
        <v>0</v>
      </c>
      <c r="J16" s="28" t="e">
        <f t="shared" si="3"/>
        <v>#REF!</v>
      </c>
    </row>
    <row r="17" spans="1:10" x14ac:dyDescent="0.35">
      <c r="A17" s="14" t="s">
        <v>3</v>
      </c>
      <c r="B17" s="15">
        <f>'Assumed Values'!C6</f>
        <v>7.0000000000000007E-2</v>
      </c>
      <c r="D17" s="17" t="s">
        <v>43</v>
      </c>
      <c r="E17" s="18">
        <f>E7/E8</f>
        <v>0</v>
      </c>
      <c r="G17" s="11">
        <f t="shared" si="0"/>
        <v>2028</v>
      </c>
      <c r="H17" s="11">
        <f t="shared" si="1"/>
        <v>1</v>
      </c>
      <c r="I17" s="19">
        <f t="shared" si="2"/>
        <v>0</v>
      </c>
      <c r="J17" s="35" t="e">
        <f t="shared" si="3"/>
        <v>#REF!</v>
      </c>
    </row>
    <row r="18" spans="1:10" x14ac:dyDescent="0.35">
      <c r="A18" s="14" t="s">
        <v>4</v>
      </c>
      <c r="B18" s="14">
        <f>IF(B6=2,2.1, 1.1)</f>
        <v>1.1000000000000001</v>
      </c>
      <c r="G18" s="10">
        <f t="shared" si="0"/>
        <v>2029</v>
      </c>
      <c r="H18" s="10">
        <f t="shared" si="1"/>
        <v>1</v>
      </c>
      <c r="I18" s="19">
        <f t="shared" si="2"/>
        <v>0</v>
      </c>
      <c r="J18" s="28" t="e">
        <f t="shared" si="3"/>
        <v>#REF!</v>
      </c>
    </row>
    <row r="19" spans="1:10" x14ac:dyDescent="0.35">
      <c r="A19" s="14" t="s">
        <v>8</v>
      </c>
      <c r="B19" s="16" t="e">
        <f>'Assumed Values'!C15</f>
        <v>#REF!</v>
      </c>
      <c r="G19" s="11">
        <f t="shared" si="0"/>
        <v>2030</v>
      </c>
      <c r="H19" s="11">
        <f t="shared" si="1"/>
        <v>1</v>
      </c>
      <c r="I19" s="19">
        <f t="shared" si="2"/>
        <v>0</v>
      </c>
      <c r="J19" s="35" t="e">
        <f t="shared" si="3"/>
        <v>#REF!</v>
      </c>
    </row>
    <row r="20" spans="1:10" x14ac:dyDescent="0.35">
      <c r="A20" s="14" t="s">
        <v>16</v>
      </c>
      <c r="B20" s="14">
        <v>260</v>
      </c>
      <c r="G20" s="10">
        <f t="shared" si="0"/>
        <v>2031</v>
      </c>
      <c r="H20" s="10">
        <f t="shared" si="1"/>
        <v>1</v>
      </c>
      <c r="I20" s="19">
        <f t="shared" si="2"/>
        <v>0</v>
      </c>
      <c r="J20" s="28" t="e">
        <f t="shared" si="3"/>
        <v>#REF!</v>
      </c>
    </row>
    <row r="21" spans="1:10" x14ac:dyDescent="0.35">
      <c r="G21" s="11">
        <f t="shared" si="0"/>
        <v>2032</v>
      </c>
      <c r="H21" s="11">
        <f t="shared" si="1"/>
        <v>1</v>
      </c>
      <c r="I21" s="19">
        <f t="shared" si="2"/>
        <v>0</v>
      </c>
      <c r="J21" s="35" t="e">
        <f t="shared" si="3"/>
        <v>#REF!</v>
      </c>
    </row>
    <row r="22" spans="1:10" x14ac:dyDescent="0.35">
      <c r="G22" s="10">
        <f t="shared" si="0"/>
        <v>2033</v>
      </c>
      <c r="H22" s="10">
        <f t="shared" si="1"/>
        <v>1</v>
      </c>
      <c r="I22" s="19">
        <f t="shared" si="2"/>
        <v>0</v>
      </c>
      <c r="J22" s="28" t="e">
        <f t="shared" si="3"/>
        <v>#REF!</v>
      </c>
    </row>
    <row r="23" spans="1:10" x14ac:dyDescent="0.35">
      <c r="G23" s="11">
        <f t="shared" si="0"/>
        <v>2034</v>
      </c>
      <c r="H23" s="11">
        <f t="shared" si="1"/>
        <v>1</v>
      </c>
      <c r="I23" s="19">
        <f t="shared" si="2"/>
        <v>0</v>
      </c>
      <c r="J23" s="35" t="e">
        <f t="shared" si="3"/>
        <v>#REF!</v>
      </c>
    </row>
    <row r="24" spans="1:10" x14ac:dyDescent="0.35">
      <c r="G24" s="10">
        <f t="shared" si="0"/>
        <v>2035</v>
      </c>
      <c r="H24" s="10">
        <f t="shared" si="1"/>
        <v>1</v>
      </c>
      <c r="I24" s="19">
        <f t="shared" si="2"/>
        <v>0</v>
      </c>
      <c r="J24" s="28" t="e">
        <f t="shared" si="3"/>
        <v>#REF!</v>
      </c>
    </row>
    <row r="25" spans="1:10" x14ac:dyDescent="0.35">
      <c r="G25" s="11">
        <f t="shared" si="0"/>
        <v>2036</v>
      </c>
      <c r="H25" s="11">
        <f t="shared" si="1"/>
        <v>1</v>
      </c>
      <c r="I25" s="19">
        <f t="shared" si="2"/>
        <v>0</v>
      </c>
      <c r="J25" s="35" t="e">
        <f t="shared" ref="J25:J29" si="4">I25*$B$18*$B$19/10^3</f>
        <v>#REF!</v>
      </c>
    </row>
    <row r="26" spans="1:10" x14ac:dyDescent="0.35">
      <c r="G26" s="10">
        <f t="shared" si="0"/>
        <v>2037</v>
      </c>
      <c r="H26" s="10">
        <f t="shared" si="1"/>
        <v>1</v>
      </c>
      <c r="I26" s="19">
        <f t="shared" si="2"/>
        <v>0</v>
      </c>
      <c r="J26" s="28" t="e">
        <f t="shared" si="4"/>
        <v>#REF!</v>
      </c>
    </row>
    <row r="27" spans="1:10" x14ac:dyDescent="0.35">
      <c r="G27" s="11">
        <f t="shared" si="0"/>
        <v>2038</v>
      </c>
      <c r="H27" s="11">
        <f t="shared" si="1"/>
        <v>1</v>
      </c>
      <c r="I27" s="19">
        <f t="shared" si="2"/>
        <v>0</v>
      </c>
      <c r="J27" s="35" t="e">
        <f t="shared" si="4"/>
        <v>#REF!</v>
      </c>
    </row>
    <row r="28" spans="1:10" x14ac:dyDescent="0.35">
      <c r="G28" s="10">
        <f t="shared" si="0"/>
        <v>2039</v>
      </c>
      <c r="H28" s="10">
        <f t="shared" si="1"/>
        <v>1</v>
      </c>
      <c r="I28" s="19">
        <f t="shared" si="2"/>
        <v>0</v>
      </c>
      <c r="J28" s="28" t="e">
        <f t="shared" si="4"/>
        <v>#REF!</v>
      </c>
    </row>
    <row r="29" spans="1:10" x14ac:dyDescent="0.35">
      <c r="A29" s="22"/>
      <c r="G29" s="11">
        <f t="shared" si="0"/>
        <v>2040</v>
      </c>
      <c r="H29" s="11">
        <f t="shared" si="1"/>
        <v>1</v>
      </c>
      <c r="I29" s="19">
        <f t="shared" si="2"/>
        <v>0</v>
      </c>
      <c r="J29" s="35" t="e">
        <f t="shared" si="4"/>
        <v>#REF!</v>
      </c>
    </row>
    <row r="51" spans="1:1" x14ac:dyDescent="0.35">
      <c r="A51" t="s">
        <v>10</v>
      </c>
    </row>
    <row r="52" spans="1:1" x14ac:dyDescent="0.35">
      <c r="A52" t="s">
        <v>12</v>
      </c>
    </row>
    <row r="53" spans="1:1" x14ac:dyDescent="0.35">
      <c r="A53" t="s">
        <v>11</v>
      </c>
    </row>
  </sheetData>
  <mergeCells count="1">
    <mergeCell ref="D6:E6"/>
  </mergeCells>
  <pageMargins left="0.25" right="0.25" top="0.75" bottom="0.75" header="0.3" footer="0.3"/>
  <pageSetup paperSize="17"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1</xdr:col>
                    <xdr:colOff>0</xdr:colOff>
                    <xdr:row>5</xdr:row>
                    <xdr:rowOff>0</xdr:rowOff>
                  </from>
                  <to>
                    <xdr:col>2</xdr:col>
                    <xdr:colOff>0</xdr:colOff>
                    <xdr:row>6</xdr:row>
                    <xdr:rowOff>6350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pageSetUpPr fitToPage="1"/>
  </sheetPr>
  <dimension ref="A3:K55"/>
  <sheetViews>
    <sheetView zoomScale="85" zoomScaleNormal="85" workbookViewId="0">
      <selection activeCell="H1" sqref="H1:H1048576"/>
    </sheetView>
  </sheetViews>
  <sheetFormatPr defaultRowHeight="14.5" x14ac:dyDescent="0.35"/>
  <cols>
    <col min="1" max="1" width="54.36328125" customWidth="1"/>
    <col min="2" max="2" width="12.54296875" customWidth="1"/>
    <col min="3" max="3" width="5.36328125" customWidth="1"/>
    <col min="4" max="4" width="37.453125" bestFit="1" customWidth="1"/>
    <col min="5" max="5" width="13.36328125" customWidth="1"/>
    <col min="6" max="6" width="4.54296875" customWidth="1"/>
    <col min="8" max="8" width="26.453125" bestFit="1" customWidth="1"/>
    <col min="9" max="9" width="34.54296875" bestFit="1" customWidth="1"/>
    <col min="10" max="10" width="24.08984375" bestFit="1" customWidth="1"/>
    <col min="11" max="11" width="33.453125" bestFit="1" customWidth="1"/>
  </cols>
  <sheetData>
    <row r="3" spans="1:11" x14ac:dyDescent="0.35">
      <c r="A3" s="5" t="s">
        <v>0</v>
      </c>
      <c r="D3" s="5" t="s">
        <v>32</v>
      </c>
      <c r="E3" s="6" t="s">
        <v>9</v>
      </c>
      <c r="G3" s="12" t="s">
        <v>13</v>
      </c>
      <c r="H3" s="12" t="s">
        <v>41</v>
      </c>
      <c r="I3" s="12" t="s">
        <v>50</v>
      </c>
      <c r="J3" s="12" t="s">
        <v>40</v>
      </c>
      <c r="K3" s="12" t="s">
        <v>51</v>
      </c>
    </row>
    <row r="4" spans="1:11" x14ac:dyDescent="0.35">
      <c r="A4" s="3" t="s">
        <v>5</v>
      </c>
      <c r="B4" s="4"/>
      <c r="D4" s="3" t="s">
        <v>46</v>
      </c>
      <c r="E4" s="4">
        <v>2015</v>
      </c>
      <c r="G4" s="10">
        <f>E4</f>
        <v>2015</v>
      </c>
      <c r="H4" s="31">
        <f t="shared" ref="H4:H24" si="0">IF($G4&lt;($G$4+$E$5),$E$17,0)</f>
        <v>0</v>
      </c>
      <c r="I4" s="30" t="e">
        <f>H4*$B$20/10^3</f>
        <v>#REF!</v>
      </c>
      <c r="J4" s="31">
        <f t="shared" ref="J4:J24" si="1">IF($G4&lt;($G$4+$E$5),$E$18,0)</f>
        <v>0</v>
      </c>
      <c r="K4" s="30" t="e">
        <f>J4*$B$21/10^3</f>
        <v>#REF!</v>
      </c>
    </row>
    <row r="5" spans="1:11" x14ac:dyDescent="0.35">
      <c r="A5" s="3" t="s">
        <v>6</v>
      </c>
      <c r="B5" s="4"/>
      <c r="D5" s="3" t="s">
        <v>36</v>
      </c>
      <c r="E5" s="7">
        <v>10</v>
      </c>
      <c r="G5" s="11">
        <f t="shared" ref="G5:G29" si="2">G4+1</f>
        <v>2016</v>
      </c>
      <c r="H5" s="31">
        <f t="shared" si="0"/>
        <v>0</v>
      </c>
      <c r="I5" s="32" t="e">
        <f t="shared" ref="I5:I24" si="3">H5*$B$20/10^3</f>
        <v>#REF!</v>
      </c>
      <c r="J5" s="31">
        <f t="shared" si="1"/>
        <v>0</v>
      </c>
      <c r="K5" s="32" t="e">
        <f t="shared" ref="K5:K24" si="4">J5*$B$21/10^3</f>
        <v>#REF!</v>
      </c>
    </row>
    <row r="6" spans="1:11" x14ac:dyDescent="0.35">
      <c r="A6" s="3" t="s">
        <v>37</v>
      </c>
      <c r="B6" s="4">
        <v>2</v>
      </c>
      <c r="D6" s="193" t="s">
        <v>34</v>
      </c>
      <c r="E6" s="194"/>
      <c r="G6" s="10">
        <f t="shared" si="2"/>
        <v>2017</v>
      </c>
      <c r="H6" s="31">
        <f t="shared" si="0"/>
        <v>0</v>
      </c>
      <c r="I6" s="30" t="e">
        <f t="shared" si="3"/>
        <v>#REF!</v>
      </c>
      <c r="J6" s="31">
        <f t="shared" si="1"/>
        <v>0</v>
      </c>
      <c r="K6" s="30" t="e">
        <f t="shared" si="4"/>
        <v>#REF!</v>
      </c>
    </row>
    <row r="7" spans="1:11" x14ac:dyDescent="0.35">
      <c r="A7" s="3" t="s">
        <v>47</v>
      </c>
      <c r="B7" s="20"/>
      <c r="D7" s="3" t="s">
        <v>33</v>
      </c>
      <c r="E7" s="7"/>
      <c r="G7" s="11">
        <f t="shared" si="2"/>
        <v>2018</v>
      </c>
      <c r="H7" s="31">
        <f t="shared" si="0"/>
        <v>0</v>
      </c>
      <c r="I7" s="32" t="e">
        <f t="shared" si="3"/>
        <v>#REF!</v>
      </c>
      <c r="J7" s="31">
        <f t="shared" si="1"/>
        <v>0</v>
      </c>
      <c r="K7" s="32" t="e">
        <f t="shared" si="4"/>
        <v>#REF!</v>
      </c>
    </row>
    <row r="8" spans="1:11" x14ac:dyDescent="0.35">
      <c r="A8" s="3" t="s">
        <v>48</v>
      </c>
      <c r="B8" s="20"/>
      <c r="D8" s="193" t="s">
        <v>35</v>
      </c>
      <c r="E8" s="194"/>
      <c r="G8" s="10">
        <f t="shared" si="2"/>
        <v>2019</v>
      </c>
      <c r="H8" s="31">
        <f t="shared" si="0"/>
        <v>0</v>
      </c>
      <c r="I8" s="30" t="e">
        <f t="shared" si="3"/>
        <v>#REF!</v>
      </c>
      <c r="J8" s="31">
        <f t="shared" si="1"/>
        <v>0</v>
      </c>
      <c r="K8" s="30" t="e">
        <f t="shared" si="4"/>
        <v>#REF!</v>
      </c>
    </row>
    <row r="9" spans="1:11" x14ac:dyDescent="0.35">
      <c r="D9" s="3" t="s">
        <v>38</v>
      </c>
      <c r="E9" s="7"/>
      <c r="G9" s="11">
        <f t="shared" si="2"/>
        <v>2020</v>
      </c>
      <c r="H9" s="31">
        <f t="shared" si="0"/>
        <v>0</v>
      </c>
      <c r="I9" s="32" t="e">
        <f t="shared" si="3"/>
        <v>#REF!</v>
      </c>
      <c r="J9" s="31">
        <f t="shared" si="1"/>
        <v>0</v>
      </c>
      <c r="K9" s="32" t="e">
        <f t="shared" si="4"/>
        <v>#REF!</v>
      </c>
    </row>
    <row r="10" spans="1:11" x14ac:dyDescent="0.35">
      <c r="A10" s="9" t="s">
        <v>18</v>
      </c>
      <c r="D10" s="3" t="s">
        <v>39</v>
      </c>
      <c r="E10" s="7"/>
      <c r="G10" s="10">
        <f t="shared" si="2"/>
        <v>2021</v>
      </c>
      <c r="H10" s="31">
        <f t="shared" si="0"/>
        <v>0</v>
      </c>
      <c r="I10" s="30" t="e">
        <f t="shared" si="3"/>
        <v>#REF!</v>
      </c>
      <c r="J10" s="31">
        <f t="shared" si="1"/>
        <v>0</v>
      </c>
      <c r="K10" s="30" t="e">
        <f t="shared" si="4"/>
        <v>#REF!</v>
      </c>
    </row>
    <row r="11" spans="1:11" x14ac:dyDescent="0.35">
      <c r="A11" s="8" t="s">
        <v>52</v>
      </c>
      <c r="B11" s="33" t="e">
        <f>(NPV($B$17,K4:K24)+NPV($B$17,I4:I24))/(1+$B$17)^2</f>
        <v>#REF!</v>
      </c>
      <c r="G11" s="11">
        <f t="shared" si="2"/>
        <v>2022</v>
      </c>
      <c r="H11" s="31">
        <f t="shared" si="0"/>
        <v>0</v>
      </c>
      <c r="I11" s="32" t="e">
        <f t="shared" si="3"/>
        <v>#REF!</v>
      </c>
      <c r="J11" s="31">
        <f t="shared" si="1"/>
        <v>0</v>
      </c>
      <c r="K11" s="32" t="e">
        <f t="shared" si="4"/>
        <v>#REF!</v>
      </c>
    </row>
    <row r="12" spans="1:11" x14ac:dyDescent="0.35">
      <c r="A12" s="8" t="s">
        <v>17</v>
      </c>
      <c r="B12" s="34" t="e">
        <f>B11/B7</f>
        <v>#REF!</v>
      </c>
      <c r="G12" s="10">
        <f t="shared" si="2"/>
        <v>2023</v>
      </c>
      <c r="H12" s="31">
        <f t="shared" si="0"/>
        <v>0</v>
      </c>
      <c r="I12" s="30" t="e">
        <f t="shared" si="3"/>
        <v>#REF!</v>
      </c>
      <c r="J12" s="31">
        <f t="shared" si="1"/>
        <v>0</v>
      </c>
      <c r="K12" s="30" t="e">
        <f t="shared" si="4"/>
        <v>#REF!</v>
      </c>
    </row>
    <row r="13" spans="1:11" x14ac:dyDescent="0.35">
      <c r="A13" s="8" t="s">
        <v>53</v>
      </c>
      <c r="B13" s="33" t="e">
        <f>B7*(B17/(1-(1+B17)^(-E5))/(SUM(H4:H29)+SUM(J4:J29)))</f>
        <v>#DIV/0!</v>
      </c>
      <c r="G13" s="11">
        <f t="shared" si="2"/>
        <v>2024</v>
      </c>
      <c r="H13" s="31">
        <f t="shared" si="0"/>
        <v>0</v>
      </c>
      <c r="I13" s="32" t="e">
        <f t="shared" si="3"/>
        <v>#REF!</v>
      </c>
      <c r="J13" s="31">
        <f t="shared" si="1"/>
        <v>0</v>
      </c>
      <c r="K13" s="32" t="e">
        <f t="shared" si="4"/>
        <v>#REF!</v>
      </c>
    </row>
    <row r="14" spans="1:11" x14ac:dyDescent="0.35">
      <c r="G14" s="10">
        <f>G13+1</f>
        <v>2025</v>
      </c>
      <c r="H14" s="31">
        <f t="shared" si="0"/>
        <v>0</v>
      </c>
      <c r="I14" s="30" t="e">
        <f t="shared" si="3"/>
        <v>#REF!</v>
      </c>
      <c r="J14" s="31">
        <f t="shared" si="1"/>
        <v>0</v>
      </c>
      <c r="K14" s="30" t="e">
        <f t="shared" si="4"/>
        <v>#REF!</v>
      </c>
    </row>
    <row r="15" spans="1:11" x14ac:dyDescent="0.35">
      <c r="A15" s="13" t="s">
        <v>1</v>
      </c>
      <c r="G15" s="11">
        <f t="shared" si="2"/>
        <v>2026</v>
      </c>
      <c r="H15" s="31">
        <f t="shared" si="0"/>
        <v>0</v>
      </c>
      <c r="I15" s="32" t="e">
        <f t="shared" si="3"/>
        <v>#REF!</v>
      </c>
      <c r="J15" s="31">
        <f t="shared" si="1"/>
        <v>0</v>
      </c>
      <c r="K15" s="32" t="e">
        <f t="shared" si="4"/>
        <v>#REF!</v>
      </c>
    </row>
    <row r="16" spans="1:11" x14ac:dyDescent="0.35">
      <c r="A16" s="14" t="s">
        <v>2</v>
      </c>
      <c r="B16" s="14">
        <v>2015</v>
      </c>
      <c r="D16" s="13" t="s">
        <v>15</v>
      </c>
      <c r="E16" s="21" t="s">
        <v>9</v>
      </c>
      <c r="G16" s="10">
        <f t="shared" si="2"/>
        <v>2027</v>
      </c>
      <c r="H16" s="31">
        <f t="shared" si="0"/>
        <v>0</v>
      </c>
      <c r="I16" s="30" t="e">
        <f t="shared" si="3"/>
        <v>#REF!</v>
      </c>
      <c r="J16" s="31">
        <f t="shared" si="1"/>
        <v>0</v>
      </c>
      <c r="K16" s="30" t="e">
        <f t="shared" si="4"/>
        <v>#REF!</v>
      </c>
    </row>
    <row r="17" spans="1:11" x14ac:dyDescent="0.35">
      <c r="A17" s="14" t="s">
        <v>3</v>
      </c>
      <c r="B17" s="15">
        <v>7.0000000000000007E-2</v>
      </c>
      <c r="D17" s="17" t="s">
        <v>38</v>
      </c>
      <c r="E17" s="27">
        <f>IF(E9,E9,$E$7*B18*$B$22/10^6)</f>
        <v>0</v>
      </c>
      <c r="G17" s="11">
        <f t="shared" si="2"/>
        <v>2028</v>
      </c>
      <c r="H17" s="31">
        <f t="shared" si="0"/>
        <v>0</v>
      </c>
      <c r="I17" s="32" t="e">
        <f t="shared" si="3"/>
        <v>#REF!</v>
      </c>
      <c r="J17" s="31">
        <f t="shared" si="1"/>
        <v>0</v>
      </c>
      <c r="K17" s="32" t="e">
        <f t="shared" si="4"/>
        <v>#REF!</v>
      </c>
    </row>
    <row r="18" spans="1:11" x14ac:dyDescent="0.35">
      <c r="A18" s="14" t="s">
        <v>30</v>
      </c>
      <c r="B18" s="37">
        <f>IF($B$6=2,'Assumed Values'!C21,0)</f>
        <v>0.32340150000000001</v>
      </c>
      <c r="D18" s="17" t="s">
        <v>39</v>
      </c>
      <c r="E18" s="27">
        <f>IF(E10,E10,$E$7*B19*$B$22/10^6)</f>
        <v>0</v>
      </c>
      <c r="G18" s="10">
        <f t="shared" si="2"/>
        <v>2029</v>
      </c>
      <c r="H18" s="31">
        <f t="shared" si="0"/>
        <v>0</v>
      </c>
      <c r="I18" s="30" t="e">
        <f t="shared" si="3"/>
        <v>#REF!</v>
      </c>
      <c r="J18" s="31">
        <f t="shared" si="1"/>
        <v>0</v>
      </c>
      <c r="K18" s="30" t="e">
        <f t="shared" si="4"/>
        <v>#REF!</v>
      </c>
    </row>
    <row r="19" spans="1:11" x14ac:dyDescent="0.35">
      <c r="A19" s="14" t="s">
        <v>31</v>
      </c>
      <c r="B19" s="37">
        <f>IF($B$6=2,'Assumed Values'!C22,0)</f>
        <v>0.19106300000000001</v>
      </c>
      <c r="G19" s="11">
        <f t="shared" si="2"/>
        <v>2030</v>
      </c>
      <c r="H19" s="31">
        <f t="shared" si="0"/>
        <v>0</v>
      </c>
      <c r="I19" s="32" t="e">
        <f t="shared" si="3"/>
        <v>#REF!</v>
      </c>
      <c r="J19" s="31">
        <f t="shared" si="1"/>
        <v>0</v>
      </c>
      <c r="K19" s="32" t="e">
        <f t="shared" si="4"/>
        <v>#REF!</v>
      </c>
    </row>
    <row r="20" spans="1:11" x14ac:dyDescent="0.35">
      <c r="A20" s="14" t="s">
        <v>54</v>
      </c>
      <c r="B20" s="29" t="e">
        <f>'Assumed Values'!C19</f>
        <v>#REF!</v>
      </c>
      <c r="G20" s="10">
        <f t="shared" si="2"/>
        <v>2031</v>
      </c>
      <c r="H20" s="31">
        <f t="shared" si="0"/>
        <v>0</v>
      </c>
      <c r="I20" s="30" t="e">
        <f t="shared" si="3"/>
        <v>#REF!</v>
      </c>
      <c r="J20" s="31">
        <f t="shared" si="1"/>
        <v>0</v>
      </c>
      <c r="K20" s="30" t="e">
        <f t="shared" si="4"/>
        <v>#REF!</v>
      </c>
    </row>
    <row r="21" spans="1:11" x14ac:dyDescent="0.35">
      <c r="A21" s="14" t="s">
        <v>55</v>
      </c>
      <c r="B21" s="29" t="e">
        <f>'Assumed Values'!C20</f>
        <v>#REF!</v>
      </c>
      <c r="G21" s="11">
        <f t="shared" si="2"/>
        <v>2032</v>
      </c>
      <c r="H21" s="31">
        <f t="shared" si="0"/>
        <v>0</v>
      </c>
      <c r="I21" s="32" t="e">
        <f t="shared" si="3"/>
        <v>#REF!</v>
      </c>
      <c r="J21" s="31">
        <f t="shared" si="1"/>
        <v>0</v>
      </c>
      <c r="K21" s="32" t="e">
        <f t="shared" si="4"/>
        <v>#REF!</v>
      </c>
    </row>
    <row r="22" spans="1:11" x14ac:dyDescent="0.35">
      <c r="A22" s="14" t="s">
        <v>16</v>
      </c>
      <c r="B22" s="14">
        <v>260</v>
      </c>
      <c r="G22" s="10">
        <f t="shared" si="2"/>
        <v>2033</v>
      </c>
      <c r="H22" s="31">
        <f t="shared" si="0"/>
        <v>0</v>
      </c>
      <c r="I22" s="30" t="e">
        <f t="shared" si="3"/>
        <v>#REF!</v>
      </c>
      <c r="J22" s="31">
        <f t="shared" si="1"/>
        <v>0</v>
      </c>
      <c r="K22" s="30" t="e">
        <f t="shared" si="4"/>
        <v>#REF!</v>
      </c>
    </row>
    <row r="23" spans="1:11" x14ac:dyDescent="0.35">
      <c r="G23" s="11">
        <f t="shared" si="2"/>
        <v>2034</v>
      </c>
      <c r="H23" s="31">
        <f t="shared" si="0"/>
        <v>0</v>
      </c>
      <c r="I23" s="32" t="e">
        <f t="shared" si="3"/>
        <v>#REF!</v>
      </c>
      <c r="J23" s="31">
        <f t="shared" si="1"/>
        <v>0</v>
      </c>
      <c r="K23" s="32" t="e">
        <f t="shared" si="4"/>
        <v>#REF!</v>
      </c>
    </row>
    <row r="24" spans="1:11" x14ac:dyDescent="0.35">
      <c r="G24" s="10">
        <f t="shared" si="2"/>
        <v>2035</v>
      </c>
      <c r="H24" s="31">
        <f t="shared" si="0"/>
        <v>0</v>
      </c>
      <c r="I24" s="30" t="e">
        <f t="shared" si="3"/>
        <v>#REF!</v>
      </c>
      <c r="J24" s="31">
        <f t="shared" si="1"/>
        <v>0</v>
      </c>
      <c r="K24" s="30" t="e">
        <f t="shared" si="4"/>
        <v>#REF!</v>
      </c>
    </row>
    <row r="25" spans="1:11" x14ac:dyDescent="0.35">
      <c r="G25" s="11">
        <f t="shared" si="2"/>
        <v>2036</v>
      </c>
      <c r="H25" s="31">
        <f t="shared" ref="H25:H28" si="5">IF($G25&lt;($G$4+$E$5),$E$17,0)</f>
        <v>0</v>
      </c>
      <c r="I25" s="32" t="e">
        <f t="shared" ref="I25:I29" si="6">H25*$B$20/10^3</f>
        <v>#REF!</v>
      </c>
      <c r="J25" s="31">
        <f t="shared" ref="J25:J28" si="7">IF($G25&lt;($G$4+$E$5),$E$18,0)</f>
        <v>0</v>
      </c>
      <c r="K25" s="32" t="e">
        <f t="shared" ref="K25:K29" si="8">J25*$B$21/10^3</f>
        <v>#REF!</v>
      </c>
    </row>
    <row r="26" spans="1:11" x14ac:dyDescent="0.35">
      <c r="G26" s="10">
        <f t="shared" si="2"/>
        <v>2037</v>
      </c>
      <c r="H26" s="31">
        <f t="shared" si="5"/>
        <v>0</v>
      </c>
      <c r="I26" s="30" t="e">
        <f t="shared" si="6"/>
        <v>#REF!</v>
      </c>
      <c r="J26" s="31">
        <f t="shared" si="7"/>
        <v>0</v>
      </c>
      <c r="K26" s="30" t="e">
        <f t="shared" si="8"/>
        <v>#REF!</v>
      </c>
    </row>
    <row r="27" spans="1:11" x14ac:dyDescent="0.35">
      <c r="G27" s="11">
        <f t="shared" si="2"/>
        <v>2038</v>
      </c>
      <c r="H27" s="31">
        <f t="shared" si="5"/>
        <v>0</v>
      </c>
      <c r="I27" s="32" t="e">
        <f t="shared" si="6"/>
        <v>#REF!</v>
      </c>
      <c r="J27" s="31">
        <f t="shared" si="7"/>
        <v>0</v>
      </c>
      <c r="K27" s="32" t="e">
        <f t="shared" si="8"/>
        <v>#REF!</v>
      </c>
    </row>
    <row r="28" spans="1:11" x14ac:dyDescent="0.35">
      <c r="G28" s="10">
        <f t="shared" si="2"/>
        <v>2039</v>
      </c>
      <c r="H28" s="31">
        <f t="shared" si="5"/>
        <v>0</v>
      </c>
      <c r="I28" s="30" t="e">
        <f t="shared" si="6"/>
        <v>#REF!</v>
      </c>
      <c r="J28" s="31">
        <f t="shared" si="7"/>
        <v>0</v>
      </c>
      <c r="K28" s="30" t="e">
        <f t="shared" si="8"/>
        <v>#REF!</v>
      </c>
    </row>
    <row r="29" spans="1:11" x14ac:dyDescent="0.35">
      <c r="G29" s="11">
        <f t="shared" si="2"/>
        <v>2040</v>
      </c>
      <c r="H29" s="31">
        <f>IF($G29&lt;($G$4+$E$5),$E$17,0)</f>
        <v>0</v>
      </c>
      <c r="I29" s="32" t="e">
        <f t="shared" si="6"/>
        <v>#REF!</v>
      </c>
      <c r="J29" s="31">
        <f>IF($G29&lt;($G$4+$E$5),$E$18,0)</f>
        <v>0</v>
      </c>
      <c r="K29" s="32" t="e">
        <f t="shared" si="8"/>
        <v>#REF!</v>
      </c>
    </row>
    <row r="31" spans="1:11" x14ac:dyDescent="0.35">
      <c r="A31" s="22"/>
    </row>
    <row r="53" spans="1:1" x14ac:dyDescent="0.35">
      <c r="A53" t="s">
        <v>10</v>
      </c>
    </row>
    <row r="54" spans="1:1" x14ac:dyDescent="0.35">
      <c r="A54" t="s">
        <v>12</v>
      </c>
    </row>
    <row r="55" spans="1:1" x14ac:dyDescent="0.35">
      <c r="A55" t="s">
        <v>11</v>
      </c>
    </row>
  </sheetData>
  <mergeCells count="2">
    <mergeCell ref="D6:E6"/>
    <mergeCell ref="D8:E8"/>
  </mergeCells>
  <conditionalFormatting sqref="B18:B19">
    <cfRule type="cellIs" dxfId="0" priority="1" operator="equal">
      <formula>0</formula>
    </cfRule>
  </conditionalFormatting>
  <pageMargins left="0.25" right="0.25" top="0.75" bottom="0.75" header="0.3" footer="0.3"/>
  <pageSetup paperSize="17" scale="8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0</xdr:colOff>
                    <xdr:row>5</xdr:row>
                    <xdr:rowOff>0</xdr:rowOff>
                  </from>
                  <to>
                    <xdr:col>2</xdr:col>
                    <xdr:colOff>0</xdr:colOff>
                    <xdr:row>6</xdr:row>
                    <xdr:rowOff>6350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pageSetUpPr fitToPage="1"/>
  </sheetPr>
  <dimension ref="B2:S49"/>
  <sheetViews>
    <sheetView tabSelected="1" topLeftCell="A2" zoomScale="85" zoomScaleNormal="85" workbookViewId="0">
      <selection activeCell="I39" sqref="I39"/>
    </sheetView>
  </sheetViews>
  <sheetFormatPr defaultColWidth="9.08984375" defaultRowHeight="14.5" x14ac:dyDescent="0.35"/>
  <cols>
    <col min="1" max="1" width="9.08984375" style="88"/>
    <col min="2" max="2" width="46.6328125" style="88" customWidth="1"/>
    <col min="3" max="3" width="25.54296875" style="88" customWidth="1"/>
    <col min="4" max="4" width="6" style="88" customWidth="1"/>
    <col min="5" max="5" width="5.90625" style="88" customWidth="1"/>
    <col min="6" max="6" width="23.90625" style="88" customWidth="1"/>
    <col min="7" max="7" width="19.08984375" style="88" customWidth="1"/>
    <col min="8" max="8" width="14.08984375" style="88" customWidth="1"/>
    <col min="9" max="9" width="13.6328125" style="88" customWidth="1"/>
    <col min="10" max="10" width="12" style="88" customWidth="1"/>
    <col min="11" max="12" width="9.08984375" style="88"/>
    <col min="13" max="13" width="11.54296875" style="88" bestFit="1" customWidth="1"/>
    <col min="14" max="16384" width="9.08984375" style="88"/>
  </cols>
  <sheetData>
    <row r="2" spans="2:19" ht="18.5" x14ac:dyDescent="0.35">
      <c r="B2" s="116" t="s">
        <v>64</v>
      </c>
      <c r="C2" s="117" t="s">
        <v>442</v>
      </c>
      <c r="D2" s="117"/>
      <c r="E2" s="117"/>
      <c r="F2" s="117"/>
    </row>
    <row r="4" spans="2:19" x14ac:dyDescent="0.35">
      <c r="B4" s="198" t="s">
        <v>0</v>
      </c>
      <c r="C4" s="199"/>
      <c r="E4" s="118"/>
      <c r="F4" s="88" t="s">
        <v>143</v>
      </c>
    </row>
    <row r="5" spans="2:19" x14ac:dyDescent="0.35">
      <c r="B5" s="118" t="s">
        <v>82</v>
      </c>
      <c r="C5" s="119" t="s">
        <v>431</v>
      </c>
      <c r="D5" s="120"/>
      <c r="E5" s="121"/>
      <c r="F5" s="88" t="s">
        <v>230</v>
      </c>
    </row>
    <row r="6" spans="2:19" x14ac:dyDescent="0.35">
      <c r="B6" s="118" t="s">
        <v>74</v>
      </c>
      <c r="C6" s="122" t="s">
        <v>254</v>
      </c>
      <c r="E6" s="123"/>
      <c r="F6" s="88" t="s">
        <v>144</v>
      </c>
    </row>
    <row r="7" spans="2:19" x14ac:dyDescent="0.35">
      <c r="B7" s="118" t="s">
        <v>75</v>
      </c>
      <c r="C7" s="122" t="s">
        <v>249</v>
      </c>
    </row>
    <row r="8" spans="2:19" x14ac:dyDescent="0.35">
      <c r="B8" s="118" t="s">
        <v>83</v>
      </c>
      <c r="C8" s="122" t="s">
        <v>431</v>
      </c>
    </row>
    <row r="9" spans="2:19" x14ac:dyDescent="0.35">
      <c r="B9" s="118" t="s">
        <v>71</v>
      </c>
      <c r="C9" s="122" t="s">
        <v>432</v>
      </c>
      <c r="E9" s="124" t="s">
        <v>231</v>
      </c>
    </row>
    <row r="10" spans="2:19" x14ac:dyDescent="0.35">
      <c r="B10" s="118" t="s">
        <v>72</v>
      </c>
      <c r="C10" s="122" t="s">
        <v>433</v>
      </c>
    </row>
    <row r="11" spans="2:19" x14ac:dyDescent="0.35">
      <c r="B11" s="118" t="s">
        <v>73</v>
      </c>
      <c r="C11" s="122">
        <v>0.2</v>
      </c>
      <c r="D11" s="125"/>
      <c r="N11" s="197"/>
      <c r="O11" s="197"/>
      <c r="P11" s="197"/>
      <c r="Q11" s="197"/>
      <c r="R11" s="197"/>
      <c r="S11" s="197"/>
    </row>
    <row r="12" spans="2:19" ht="29" x14ac:dyDescent="0.35">
      <c r="B12" s="126" t="s">
        <v>239</v>
      </c>
      <c r="C12" s="122">
        <v>1026</v>
      </c>
    </row>
    <row r="13" spans="2:19" x14ac:dyDescent="0.35">
      <c r="B13" s="118" t="s">
        <v>238</v>
      </c>
      <c r="C13" s="122" t="s">
        <v>434</v>
      </c>
    </row>
    <row r="15" spans="2:19" x14ac:dyDescent="0.35">
      <c r="B15" s="198" t="s">
        <v>142</v>
      </c>
      <c r="C15" s="199"/>
    </row>
    <row r="16" spans="2:19" x14ac:dyDescent="0.35">
      <c r="B16" s="118" t="s">
        <v>179</v>
      </c>
      <c r="C16" s="140">
        <v>2030</v>
      </c>
      <c r="D16" s="120"/>
      <c r="F16" s="127"/>
      <c r="M16" s="125"/>
    </row>
    <row r="17" spans="2:14" x14ac:dyDescent="0.35">
      <c r="B17" s="128" t="s">
        <v>338</v>
      </c>
      <c r="C17" s="129" t="s">
        <v>99</v>
      </c>
    </row>
    <row r="18" spans="2:14" x14ac:dyDescent="0.35">
      <c r="B18" s="121" t="s">
        <v>141</v>
      </c>
      <c r="C18" s="137">
        <f>VLOOKUP($C$17,'CRF Lookup Table'!$B$3:$F$74,2,FALSE)</f>
        <v>514</v>
      </c>
    </row>
    <row r="19" spans="2:14" s="89" customFormat="1" x14ac:dyDescent="0.35">
      <c r="B19" s="130" t="s">
        <v>153</v>
      </c>
      <c r="C19" s="138" t="str">
        <f>VLOOKUP($C$17,'CRF Lookup Table'!$B$3:$F$74,5,FALSE)</f>
        <v>Intersection Related</v>
      </c>
      <c r="D19" s="131"/>
      <c r="M19" s="88"/>
      <c r="N19" s="88"/>
    </row>
    <row r="20" spans="2:14" x14ac:dyDescent="0.35">
      <c r="B20" s="121" t="s">
        <v>67</v>
      </c>
      <c r="C20" s="143">
        <f>VLOOKUP($C$17,'CRF Lookup Table'!$B$3:$F$74,3,FALSE)</f>
        <v>0.8</v>
      </c>
    </row>
    <row r="21" spans="2:14" x14ac:dyDescent="0.35">
      <c r="B21" s="121" t="s">
        <v>66</v>
      </c>
      <c r="C21" s="137">
        <f>VLOOKUP($C$17,'CRF Lookup Table'!$B$3:$F$74,4,FALSE)</f>
        <v>30</v>
      </c>
    </row>
    <row r="22" spans="2:14" x14ac:dyDescent="0.35">
      <c r="B22" s="128" t="s">
        <v>339</v>
      </c>
      <c r="C22" s="129" t="s">
        <v>425</v>
      </c>
    </row>
    <row r="23" spans="2:14" x14ac:dyDescent="0.35">
      <c r="B23" s="121" t="s">
        <v>141</v>
      </c>
      <c r="C23" s="137">
        <f>VLOOKUP(C22,'CRF Lookup Table'!$B$3:$F$74,2,FALSE)</f>
        <v>0</v>
      </c>
    </row>
    <row r="24" spans="2:14" s="89" customFormat="1" x14ac:dyDescent="0.35">
      <c r="B24" s="130" t="s">
        <v>153</v>
      </c>
      <c r="C24" s="138" t="str">
        <f>VLOOKUP($C$22,'CRF Lookup Table'!$B$3:$F$74,5,FALSE)</f>
        <v>Blank</v>
      </c>
      <c r="D24" s="131"/>
      <c r="M24" s="88"/>
      <c r="N24" s="88"/>
    </row>
    <row r="25" spans="2:14" x14ac:dyDescent="0.35">
      <c r="B25" s="121" t="s">
        <v>67</v>
      </c>
      <c r="C25" s="143">
        <f>VLOOKUP($C$22,'CRF Lookup Table'!$B$3:$F$74,3,FALSE)</f>
        <v>0</v>
      </c>
    </row>
    <row r="26" spans="2:14" x14ac:dyDescent="0.35">
      <c r="B26" s="121" t="s">
        <v>66</v>
      </c>
      <c r="C26" s="137">
        <f>VLOOKUP($C$22,'CRF Lookup Table'!$B$3:$F$74,4,FALSE)</f>
        <v>0</v>
      </c>
    </row>
    <row r="27" spans="2:14" x14ac:dyDescent="0.35">
      <c r="B27" s="128" t="s">
        <v>340</v>
      </c>
      <c r="C27" s="129" t="s">
        <v>435</v>
      </c>
    </row>
    <row r="28" spans="2:14" x14ac:dyDescent="0.35">
      <c r="B28" s="121" t="s">
        <v>141</v>
      </c>
      <c r="C28" s="137">
        <f>VLOOKUP($C$27,'CRF Lookup Table'!$B$3:$F$74,2,FALSE)</f>
        <v>0</v>
      </c>
    </row>
    <row r="29" spans="2:14" s="89" customFormat="1" ht="26" x14ac:dyDescent="0.35">
      <c r="B29" s="130" t="s">
        <v>153</v>
      </c>
      <c r="C29" s="138" t="str">
        <f>VLOOKUP($C$27,'CRF Lookup Table'!$B$3:$F$74,5,FALSE)</f>
        <v>Blank</v>
      </c>
      <c r="D29" s="131"/>
      <c r="F29" s="132"/>
      <c r="M29" s="88"/>
      <c r="N29" s="88"/>
    </row>
    <row r="30" spans="2:14" x14ac:dyDescent="0.35">
      <c r="B30" s="121" t="s">
        <v>67</v>
      </c>
      <c r="C30" s="143">
        <f>VLOOKUP($C$27,'CRF Lookup Table'!$B$3:$F$74,3,FALSE)</f>
        <v>0</v>
      </c>
    </row>
    <row r="31" spans="2:14" x14ac:dyDescent="0.35">
      <c r="B31" s="121" t="s">
        <v>66</v>
      </c>
      <c r="C31" s="137">
        <f>VLOOKUP($C$27,'CRF Lookup Table'!$B$3:$F$74,4,FALSE)</f>
        <v>0</v>
      </c>
    </row>
    <row r="32" spans="2:14" x14ac:dyDescent="0.35">
      <c r="B32" s="128" t="s">
        <v>391</v>
      </c>
      <c r="C32" s="129" t="s">
        <v>126</v>
      </c>
    </row>
    <row r="33" spans="2:14" x14ac:dyDescent="0.35">
      <c r="B33" s="121" t="s">
        <v>141</v>
      </c>
      <c r="C33" s="137">
        <f>VLOOKUP($C$32,'CRF Lookup Table'!B4:G75,2,FALSE)</f>
        <v>407</v>
      </c>
    </row>
    <row r="34" spans="2:14" s="89" customFormat="1" ht="26" x14ac:dyDescent="0.35">
      <c r="B34" s="130" t="s">
        <v>153</v>
      </c>
      <c r="C34" s="138" t="str">
        <f>VLOOKUP($C$32,'CRF Lookup Table'!B4:G75,5,FALSE)</f>
        <v>Pedestrian, Cyclist</v>
      </c>
      <c r="D34" s="131"/>
      <c r="F34" s="132"/>
      <c r="M34" s="88"/>
      <c r="N34" s="88"/>
    </row>
    <row r="35" spans="2:14" x14ac:dyDescent="0.35">
      <c r="B35" s="121" t="s">
        <v>67</v>
      </c>
      <c r="C35" s="143">
        <f>VLOOKUP($C$32,'CRF Lookup Table'!$B$3:$F$74,3,FALSE)</f>
        <v>0.65</v>
      </c>
    </row>
    <row r="36" spans="2:14" x14ac:dyDescent="0.35">
      <c r="B36" s="121" t="s">
        <v>66</v>
      </c>
      <c r="C36" s="137">
        <f>VLOOKUP($C$32,'CRF Lookup Table'!B4:G74,4,FALSE)</f>
        <v>10</v>
      </c>
    </row>
    <row r="39" spans="2:14" x14ac:dyDescent="0.35">
      <c r="B39" s="198" t="s">
        <v>58</v>
      </c>
      <c r="C39" s="199"/>
      <c r="D39" s="133"/>
    </row>
    <row r="40" spans="2:14" x14ac:dyDescent="0.35">
      <c r="B40" s="118" t="s">
        <v>265</v>
      </c>
      <c r="C40" s="136">
        <v>24443</v>
      </c>
      <c r="H40" s="125"/>
    </row>
    <row r="41" spans="2:14" x14ac:dyDescent="0.35">
      <c r="B41" s="118" t="s">
        <v>266</v>
      </c>
      <c r="C41" s="136">
        <v>3694</v>
      </c>
    </row>
    <row r="42" spans="2:14" x14ac:dyDescent="0.35">
      <c r="B42" s="121" t="s">
        <v>381</v>
      </c>
      <c r="C42" s="139">
        <f>SUM('Ped bike commuter analysis data'!$X:$X,'Ped bike commuter analysis data'!$Y:$Y)</f>
        <v>8</v>
      </c>
    </row>
    <row r="43" spans="2:14" ht="29" x14ac:dyDescent="0.35">
      <c r="B43" s="134" t="s">
        <v>382</v>
      </c>
      <c r="C43" s="139">
        <f>VLOOKUP(Year_Open_to_Traffic?,Calculations!I2:X36,3)</f>
        <v>9.586078185982748</v>
      </c>
    </row>
    <row r="44" spans="2:14" x14ac:dyDescent="0.35">
      <c r="H44" s="125"/>
    </row>
    <row r="46" spans="2:14" ht="18.5" x14ac:dyDescent="0.35">
      <c r="B46" s="116" t="s">
        <v>65</v>
      </c>
      <c r="C46" s="117"/>
      <c r="D46" s="117"/>
      <c r="E46" s="117"/>
      <c r="F46" s="117"/>
    </row>
    <row r="48" spans="2:14" x14ac:dyDescent="0.35">
      <c r="B48" s="195" t="s">
        <v>63</v>
      </c>
      <c r="C48" s="196"/>
    </row>
    <row r="49" spans="2:4" x14ac:dyDescent="0.35">
      <c r="B49" s="123" t="s">
        <v>225</v>
      </c>
      <c r="C49" s="69">
        <f>Calculations!X37</f>
        <v>0</v>
      </c>
      <c r="D49" s="135"/>
    </row>
  </sheetData>
  <mergeCells count="6">
    <mergeCell ref="B48:C48"/>
    <mergeCell ref="N11:P11"/>
    <mergeCell ref="Q11:S11"/>
    <mergeCell ref="B4:C4"/>
    <mergeCell ref="B15:C15"/>
    <mergeCell ref="B39:C39"/>
  </mergeCells>
  <dataValidations count="2">
    <dataValidation type="list" allowBlank="1" showInputMessage="1" showErrorMessage="1" sqref="D6" xr:uid="{00000000-0002-0000-0300-000000000000}">
      <formula1>#REF!</formula1>
    </dataValidation>
    <dataValidation type="list" allowBlank="1" showInputMessage="1" showErrorMessage="1" sqref="D7" xr:uid="{00000000-0002-0000-0300-000001000000}">
      <formula1>#REF!</formula1>
    </dataValidation>
  </dataValidations>
  <pageMargins left="0.25" right="0.25" top="0.75" bottom="0.75" header="0.3" footer="0.3"/>
  <pageSetup scale="62"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3000000}">
          <x14:formula1>
            <xm:f>Calculations!$I$7:$I$36</xm:f>
          </x14:formula1>
          <xm:sqref>D20 D30 D25 D35</xm:sqref>
        </x14:dataValidation>
        <x14:dataValidation type="list" allowBlank="1" showInputMessage="1" showErrorMessage="1" xr:uid="{817E3541-ACE6-4163-B8E1-052C2E890092}">
          <x14:formula1>
            <xm:f>'Assumed Values'!$F$5:$F$12</xm:f>
          </x14:formula1>
          <xm:sqref>C6</xm:sqref>
        </x14:dataValidation>
        <x14:dataValidation type="list" allowBlank="1" showInputMessage="1" showErrorMessage="1" xr:uid="{AA3E3532-5492-4348-AB32-360AEEEF2A02}">
          <x14:formula1>
            <xm:f>'CRF Lookup Table'!$B$79:$B$83</xm:f>
          </x14:formula1>
          <xm:sqref>C32</xm:sqref>
        </x14:dataValidation>
        <x14:dataValidation type="list" allowBlank="1" showInputMessage="1" showErrorMessage="1" xr:uid="{E82BF87A-3ACB-499E-B14A-B2D01385F60A}">
          <x14:formula1>
            <xm:f>Calculations!$I$7:$I$139</xm:f>
          </x14:formula1>
          <xm:sqref>C16</xm:sqref>
        </x14:dataValidation>
        <x14:dataValidation type="list" allowBlank="1" showInputMessage="1" showErrorMessage="1" xr:uid="{55DC462E-18DE-4173-BBED-AF9843571521}">
          <x14:formula1>
            <xm:f>'Assumed Values'!$G$5:$G$6</xm:f>
          </x14:formula1>
          <xm:sqref>C7</xm:sqref>
        </x14:dataValidation>
        <x14:dataValidation type="list" allowBlank="1" showInputMessage="1" showErrorMessage="1" xr:uid="{00000000-0002-0000-0300-000002000000}">
          <x14:formula1>
            <xm:f>'CRF Lookup Table'!$B$4:$B$74</xm:f>
          </x14:formula1>
          <xm:sqref>C27 C17 C22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7C7D1-951F-4AA1-AD61-E81EAFF03E0B}">
  <sheetPr>
    <tabColor theme="8"/>
  </sheetPr>
  <dimension ref="A1:V44"/>
  <sheetViews>
    <sheetView topLeftCell="A16" zoomScale="85" zoomScaleNormal="85" workbookViewId="0">
      <selection activeCell="D37" sqref="D37"/>
    </sheetView>
  </sheetViews>
  <sheetFormatPr defaultColWidth="8.90625" defaultRowHeight="14.5" x14ac:dyDescent="0.35"/>
  <cols>
    <col min="1" max="1" width="8.90625" style="77"/>
    <col min="2" max="2" width="27.6328125" style="77" bestFit="1" customWidth="1"/>
    <col min="3" max="3" width="15" style="77" customWidth="1"/>
    <col min="4" max="4" width="17.08984375" style="77" customWidth="1"/>
    <col min="5" max="5" width="16.453125" style="77" bestFit="1" customWidth="1"/>
    <col min="6" max="6" width="21.54296875" style="77" customWidth="1"/>
    <col min="7" max="7" width="2.90625" style="77" customWidth="1"/>
    <col min="8" max="8" width="27.54296875" style="77" customWidth="1"/>
    <col min="9" max="9" width="14.08984375" style="77" customWidth="1"/>
    <col min="10" max="10" width="15.08984375" style="77" bestFit="1" customWidth="1"/>
    <col min="11" max="11" width="16.453125" style="77" bestFit="1" customWidth="1"/>
    <col min="12" max="12" width="23.08984375" style="77" customWidth="1"/>
    <col min="13" max="13" width="9.6328125" style="77" customWidth="1"/>
    <col min="14" max="14" width="30.08984375" style="77" customWidth="1"/>
    <col min="15" max="15" width="12" style="77" customWidth="1"/>
    <col min="16" max="17" width="15.36328125" style="77" customWidth="1"/>
    <col min="18" max="18" width="26.90625" style="77" customWidth="1"/>
    <col min="19" max="19" width="5.08984375" style="77" customWidth="1"/>
    <col min="20" max="20" width="4.90625" style="77" customWidth="1"/>
    <col min="21" max="21" width="23.54296875" style="77" bestFit="1" customWidth="1"/>
    <col min="22" max="22" width="19.453125" style="77" bestFit="1" customWidth="1"/>
    <col min="23" max="16384" width="8.90625" style="77"/>
  </cols>
  <sheetData>
    <row r="1" spans="1:22" ht="33.75" customHeight="1" x14ac:dyDescent="0.35">
      <c r="A1"/>
      <c r="B1" s="92"/>
      <c r="C1" s="204" t="s">
        <v>232</v>
      </c>
      <c r="D1" s="204"/>
      <c r="E1" s="87"/>
      <c r="F1" s="205" t="s">
        <v>230</v>
      </c>
      <c r="G1" s="205"/>
      <c r="H1" s="205"/>
      <c r="I1"/>
      <c r="J1"/>
      <c r="K1"/>
      <c r="L1"/>
      <c r="M1"/>
      <c r="N1"/>
      <c r="O1"/>
      <c r="P1"/>
      <c r="Q1"/>
      <c r="R1"/>
      <c r="S1"/>
      <c r="T1"/>
      <c r="U1"/>
      <c r="V1"/>
    </row>
    <row r="2" spans="1:22" x14ac:dyDescent="0.35">
      <c r="A2"/>
      <c r="B2"/>
      <c r="C2"/>
      <c r="D2"/>
      <c r="E2"/>
      <c r="F2"/>
      <c r="G2"/>
      <c r="H2"/>
      <c r="I2"/>
      <c r="J2"/>
      <c r="K2"/>
      <c r="L2"/>
      <c r="M2"/>
      <c r="N2"/>
      <c r="O2"/>
      <c r="P2"/>
      <c r="Q2"/>
      <c r="R2"/>
      <c r="S2"/>
      <c r="T2"/>
      <c r="U2"/>
      <c r="V2"/>
    </row>
    <row r="3" spans="1:22" x14ac:dyDescent="0.35">
      <c r="A3"/>
      <c r="B3" s="200" t="s">
        <v>228</v>
      </c>
      <c r="C3" s="201"/>
      <c r="D3" s="201"/>
      <c r="E3" s="201"/>
      <c r="F3" s="202"/>
      <c r="G3"/>
      <c r="H3" s="200" t="s">
        <v>199</v>
      </c>
      <c r="I3" s="201"/>
      <c r="J3" s="201"/>
      <c r="K3" s="201"/>
      <c r="L3" s="202"/>
      <c r="M3"/>
      <c r="N3" s="200" t="s">
        <v>246</v>
      </c>
      <c r="O3" s="201"/>
      <c r="P3" s="201"/>
      <c r="Q3" s="201"/>
      <c r="R3" s="202"/>
      <c r="S3"/>
      <c r="T3"/>
      <c r="U3"/>
      <c r="V3"/>
    </row>
    <row r="4" spans="1:22" s="90" customFormat="1" ht="58" x14ac:dyDescent="0.35">
      <c r="A4" s="93"/>
      <c r="B4" s="94" t="s">
        <v>147</v>
      </c>
      <c r="C4" s="95" t="s">
        <v>227</v>
      </c>
      <c r="D4" s="94" t="s">
        <v>209</v>
      </c>
      <c r="E4" s="94" t="s">
        <v>428</v>
      </c>
      <c r="F4" s="94" t="s">
        <v>234</v>
      </c>
      <c r="G4" s="93"/>
      <c r="H4" s="94" t="s">
        <v>147</v>
      </c>
      <c r="I4" s="95" t="s">
        <v>226</v>
      </c>
      <c r="J4" s="94" t="s">
        <v>209</v>
      </c>
      <c r="K4" s="94" t="s">
        <v>428</v>
      </c>
      <c r="L4" s="94" t="s">
        <v>234</v>
      </c>
      <c r="M4" s="93"/>
      <c r="N4" s="94" t="s">
        <v>147</v>
      </c>
      <c r="O4" s="95" t="s">
        <v>247</v>
      </c>
      <c r="P4" s="94" t="s">
        <v>209</v>
      </c>
      <c r="Q4" s="94" t="s">
        <v>428</v>
      </c>
      <c r="R4" s="94" t="s">
        <v>235</v>
      </c>
      <c r="S4" s="93"/>
      <c r="T4" s="93"/>
      <c r="U4" s="94" t="s">
        <v>337</v>
      </c>
      <c r="V4" s="94" t="s">
        <v>336</v>
      </c>
    </row>
    <row r="5" spans="1:22" x14ac:dyDescent="0.35">
      <c r="A5"/>
      <c r="B5" s="92" t="s">
        <v>150</v>
      </c>
      <c r="C5" s="68">
        <f>(SUMIFS('Raw Crash data'!Z:Z,'Raw Crash data'!Q:Q,$U$5)+SUMIFS('Raw Crash data'!Z:Z,'Raw Crash data'!Q:Q,$U$6))</f>
        <v>0</v>
      </c>
      <c r="D5" s="70">
        <f>C5/5</f>
        <v>0</v>
      </c>
      <c r="E5" s="71">
        <f>(100000000*$C5)/(365*5*'Inputs &amp; Outputs'!$C$40*'Inputs &amp; Outputs'!$C$11)</f>
        <v>0</v>
      </c>
      <c r="F5" s="71">
        <f>(E5*('Inputs &amp; Outputs'!$C$41*'Inputs &amp; Outputs'!$C$11*365))/100000000</f>
        <v>0</v>
      </c>
      <c r="G5"/>
      <c r="H5" s="92" t="s">
        <v>150</v>
      </c>
      <c r="I5" s="68">
        <f>SUMIFS('Raw Crash data'!Z:Z,'Raw Crash data'!Q:Q,$V$5)+SUMIFS('Raw Crash data'!Z:Z,'Raw Crash data'!Q:Q,$V$6)</f>
        <v>0</v>
      </c>
      <c r="J5" s="70">
        <f>I5/5</f>
        <v>0</v>
      </c>
      <c r="K5" s="71">
        <f>(100000000*$I5)/(365*5*'Inputs &amp; Outputs'!$C$40*'Inputs &amp; Outputs'!$C$11)</f>
        <v>0</v>
      </c>
      <c r="L5" s="71">
        <f>($K5*(('Inputs &amp; Outputs'!$C$41*'Inputs &amp; Outputs'!$C$11*365)/100000000))</f>
        <v>0</v>
      </c>
      <c r="M5"/>
      <c r="N5" s="92" t="s">
        <v>150</v>
      </c>
      <c r="O5" s="68">
        <f>C5+I5</f>
        <v>0</v>
      </c>
      <c r="P5" s="70">
        <f>O5/5</f>
        <v>0</v>
      </c>
      <c r="Q5" s="71">
        <f>(100000000*$O5)/(365*5*'Inputs &amp; Outputs'!$C$40*'Inputs &amp; Outputs'!$C$11)</f>
        <v>0</v>
      </c>
      <c r="R5" s="71">
        <f>($Q5*(('Inputs &amp; Outputs'!$C$41*'Inputs &amp; Outputs'!$C$11*365)/100000000))</f>
        <v>0</v>
      </c>
      <c r="S5"/>
      <c r="T5"/>
      <c r="U5" s="40" t="s">
        <v>335</v>
      </c>
      <c r="V5" s="40" t="s">
        <v>334</v>
      </c>
    </row>
    <row r="6" spans="1:22" x14ac:dyDescent="0.35">
      <c r="A6"/>
      <c r="B6" s="92" t="s">
        <v>200</v>
      </c>
      <c r="C6" s="68">
        <f>(SUMIFS('Raw Crash data'!AA:AA,'Raw Crash data'!Q:Q,$U$5)+SUMIFS('Raw Crash data'!AA:AA,'Raw Crash data'!Q:Q,$U$6))</f>
        <v>0</v>
      </c>
      <c r="D6" s="70">
        <f>C6/5</f>
        <v>0</v>
      </c>
      <c r="E6" s="71">
        <f>(100000000*$C6)/(365*5*'Inputs &amp; Outputs'!$C$40*'Inputs &amp; Outputs'!$C$11)</f>
        <v>0</v>
      </c>
      <c r="F6" s="71">
        <f>(E6*('Inputs &amp; Outputs'!$C$41*'Inputs &amp; Outputs'!$C$11*365))/100000000</f>
        <v>0</v>
      </c>
      <c r="G6"/>
      <c r="H6" s="92" t="s">
        <v>200</v>
      </c>
      <c r="I6" s="68">
        <f>(SUMIFS('Raw Crash data'!AA:AA,'Raw Crash data'!Q:Q,$V$5)+SUMIFS('Raw Crash data'!AA:AA,'Raw Crash data'!Q:Q,$V$8))</f>
        <v>0</v>
      </c>
      <c r="J6" s="70">
        <f>I6/5</f>
        <v>0</v>
      </c>
      <c r="K6" s="71">
        <f>(100000000*$I6)/(365*5*'Inputs &amp; Outputs'!$C$40*'Inputs &amp; Outputs'!$C$11)</f>
        <v>0</v>
      </c>
      <c r="L6" s="71">
        <f>($K6*(('Inputs &amp; Outputs'!$C$41*'Inputs &amp; Outputs'!$C$11*365)/100000000))</f>
        <v>0</v>
      </c>
      <c r="M6"/>
      <c r="N6" s="92" t="s">
        <v>200</v>
      </c>
      <c r="O6" s="68">
        <f t="shared" ref="O6:O30" si="0">C6+I6</f>
        <v>0</v>
      </c>
      <c r="P6" s="70">
        <f>O6/5</f>
        <v>0</v>
      </c>
      <c r="Q6" s="71">
        <f>(100000000*$O6)/(365*5*'Inputs &amp; Outputs'!$C$40*'Inputs &amp; Outputs'!$C$11)</f>
        <v>0</v>
      </c>
      <c r="R6" s="71">
        <f>($Q6*(('Inputs &amp; Outputs'!$C$41*'Inputs &amp; Outputs'!$C$11*365)/100000000))</f>
        <v>0</v>
      </c>
      <c r="S6"/>
      <c r="T6"/>
      <c r="U6" s="40" t="s">
        <v>331</v>
      </c>
      <c r="V6" s="40" t="s">
        <v>286</v>
      </c>
    </row>
    <row r="7" spans="1:22" x14ac:dyDescent="0.35">
      <c r="A7"/>
      <c r="B7" s="92" t="s">
        <v>201</v>
      </c>
      <c r="C7" s="68">
        <f>(SUMIFS('Raw Crash data'!AB:AB,'Raw Crash data'!Q:Q,$U$5)+SUMIFS('Raw Crash data'!AB:AB,'Raw Crash data'!Q:Q,$U$6))</f>
        <v>0</v>
      </c>
      <c r="D7" s="70">
        <f t="shared" ref="D7:D8" si="1">C7/5</f>
        <v>0</v>
      </c>
      <c r="E7" s="71">
        <f>(100000000*$C7)/(365*5*'Inputs &amp; Outputs'!$C$40*'Inputs &amp; Outputs'!$C$11)</f>
        <v>0</v>
      </c>
      <c r="F7" s="71">
        <f>(E7*('Inputs &amp; Outputs'!$C$41*'Inputs &amp; Outputs'!$C$11*365))/100000000</f>
        <v>0</v>
      </c>
      <c r="G7"/>
      <c r="H7" s="92" t="s">
        <v>201</v>
      </c>
      <c r="I7" s="68">
        <f>(SUMIFS('Raw Crash data'!AB:AB,'Raw Crash data'!Q:Q,$V$5)+SUMIFS('Raw Crash data'!AB:AB,'Raw Crash data'!Q:Q,$V$6))</f>
        <v>0</v>
      </c>
      <c r="J7" s="70">
        <f t="shared" ref="J7:J8" si="2">I7/5</f>
        <v>0</v>
      </c>
      <c r="K7" s="71">
        <f>(100000000*$I7)/(365*5*'Inputs &amp; Outputs'!$C$40*'Inputs &amp; Outputs'!$C$11)</f>
        <v>0</v>
      </c>
      <c r="L7" s="71">
        <f>($K7*(('Inputs &amp; Outputs'!$C$41*'Inputs &amp; Outputs'!$C$11*365)/100000000))</f>
        <v>0</v>
      </c>
      <c r="M7"/>
      <c r="N7" s="92" t="s">
        <v>201</v>
      </c>
      <c r="O7" s="68">
        <f t="shared" si="0"/>
        <v>0</v>
      </c>
      <c r="P7" s="70">
        <f t="shared" ref="P7:P8" si="3">O7/5</f>
        <v>0</v>
      </c>
      <c r="Q7" s="71">
        <f>(100000000*$O7)/(365*5*'Inputs &amp; Outputs'!$C$40*'Inputs &amp; Outputs'!$C$11)</f>
        <v>0</v>
      </c>
      <c r="R7" s="71">
        <f>($Q7*(('Inputs &amp; Outputs'!$C$41*'Inputs &amp; Outputs'!$C$11*365)/100000000))</f>
        <v>0</v>
      </c>
      <c r="S7"/>
      <c r="T7"/>
      <c r="U7"/>
      <c r="V7"/>
    </row>
    <row r="8" spans="1:22" x14ac:dyDescent="0.35">
      <c r="A8"/>
      <c r="B8" s="92" t="s">
        <v>202</v>
      </c>
      <c r="C8" s="68">
        <f>(SUMIFS('Raw Crash data'!AC:AC,'Raw Crash data'!Q:Q,$U$5)+SUMIFS('Raw Crash data'!AC:AC,'Raw Crash data'!Q:Q,$U$6))</f>
        <v>0</v>
      </c>
      <c r="D8" s="70">
        <f t="shared" si="1"/>
        <v>0</v>
      </c>
      <c r="E8" s="71">
        <f>(100000000*$C8)/(365*5*'Inputs &amp; Outputs'!$C$40*'Inputs &amp; Outputs'!$C$11)</f>
        <v>0</v>
      </c>
      <c r="F8" s="71">
        <f>(E8*('Inputs &amp; Outputs'!$C$41*'Inputs &amp; Outputs'!$C$11*365))/100000000</f>
        <v>0</v>
      </c>
      <c r="G8"/>
      <c r="H8" s="92" t="s">
        <v>202</v>
      </c>
      <c r="I8" s="68">
        <f>(SUMIFS('Raw Crash data'!AC:AC,'Raw Crash data'!Q:Q,$V$5)+SUMIFS('Raw Crash data'!AC:AC,'Raw Crash data'!Q:Q,$V$6))</f>
        <v>0</v>
      </c>
      <c r="J8" s="70">
        <f t="shared" si="2"/>
        <v>0</v>
      </c>
      <c r="K8" s="71">
        <f>(100000000*$I8)/(365*5*'Inputs &amp; Outputs'!$C$40*'Inputs &amp; Outputs'!$C$11)</f>
        <v>0</v>
      </c>
      <c r="L8" s="71">
        <f>($K8*(('Inputs &amp; Outputs'!$C$41*'Inputs &amp; Outputs'!$C$11*365)/100000000))</f>
        <v>0</v>
      </c>
      <c r="M8"/>
      <c r="N8" s="92" t="s">
        <v>202</v>
      </c>
      <c r="O8" s="68">
        <f>C8+I8</f>
        <v>0</v>
      </c>
      <c r="P8" s="70">
        <f t="shared" si="3"/>
        <v>0</v>
      </c>
      <c r="Q8" s="71">
        <f>(100000000*$O8)/(365*5*'Inputs &amp; Outputs'!$C$40*'Inputs &amp; Outputs'!$C$11)</f>
        <v>0</v>
      </c>
      <c r="R8" s="71">
        <f>($Q8*(('Inputs &amp; Outputs'!$C$41*'Inputs &amp; Outputs'!$C$11*365)/100000000))</f>
        <v>0</v>
      </c>
      <c r="S8"/>
      <c r="T8"/>
      <c r="U8"/>
      <c r="V8"/>
    </row>
    <row r="9" spans="1:22" x14ac:dyDescent="0.35">
      <c r="A9"/>
      <c r="B9" s="92"/>
      <c r="C9" s="68"/>
      <c r="D9" s="70"/>
      <c r="E9" s="71"/>
      <c r="F9" s="71"/>
      <c r="G9"/>
      <c r="H9" s="92"/>
      <c r="I9" s="68"/>
      <c r="J9" s="70"/>
      <c r="K9" s="71"/>
      <c r="L9" s="71"/>
      <c r="M9"/>
      <c r="N9" s="92"/>
      <c r="O9" s="68"/>
      <c r="P9" s="70"/>
      <c r="Q9" s="71"/>
      <c r="R9" s="71"/>
      <c r="S9"/>
      <c r="T9"/>
      <c r="U9"/>
      <c r="V9"/>
    </row>
    <row r="10" spans="1:22" x14ac:dyDescent="0.35">
      <c r="A10"/>
      <c r="B10"/>
      <c r="C10"/>
      <c r="D10"/>
      <c r="E10" s="74"/>
      <c r="F10" s="74"/>
      <c r="G10"/>
      <c r="H10"/>
      <c r="I10"/>
      <c r="J10"/>
      <c r="K10" s="74"/>
      <c r="L10" s="74"/>
      <c r="M10"/>
      <c r="N10"/>
      <c r="O10"/>
      <c r="P10"/>
      <c r="Q10"/>
      <c r="R10"/>
      <c r="S10"/>
      <c r="T10"/>
      <c r="U10"/>
      <c r="V10"/>
    </row>
    <row r="11" spans="1:22" s="90" customFormat="1" ht="15" customHeight="1" x14ac:dyDescent="0.35">
      <c r="A11" s="93"/>
      <c r="B11" s="203" t="s">
        <v>236</v>
      </c>
      <c r="C11" s="203"/>
      <c r="D11" s="203"/>
      <c r="E11" s="203"/>
      <c r="F11" s="203"/>
      <c r="G11" s="93"/>
      <c r="H11" s="96"/>
      <c r="I11" s="76"/>
      <c r="J11" s="76"/>
      <c r="K11" s="97"/>
      <c r="L11" s="97"/>
      <c r="M11" s="93"/>
      <c r="N11" s="93"/>
      <c r="O11" s="93"/>
      <c r="P11" s="93"/>
      <c r="Q11" s="93"/>
      <c r="R11" s="93"/>
      <c r="S11" s="93"/>
      <c r="T11" s="93"/>
      <c r="U11" s="93"/>
      <c r="V11" s="93"/>
    </row>
    <row r="12" spans="1:22" ht="29" x14ac:dyDescent="0.35">
      <c r="A12"/>
      <c r="B12" s="94"/>
      <c r="C12" s="94" t="s">
        <v>148</v>
      </c>
      <c r="D12" s="94" t="s">
        <v>210</v>
      </c>
      <c r="E12" s="94" t="s">
        <v>211</v>
      </c>
      <c r="F12" s="94" t="s">
        <v>212</v>
      </c>
      <c r="G12"/>
      <c r="H12" s="98"/>
      <c r="I12" s="99"/>
      <c r="J12" s="100"/>
      <c r="K12" s="101"/>
      <c r="L12" s="97"/>
      <c r="M12"/>
      <c r="N12"/>
      <c r="O12"/>
      <c r="P12"/>
      <c r="Q12"/>
      <c r="R12"/>
      <c r="S12"/>
      <c r="T12"/>
      <c r="U12"/>
      <c r="V12"/>
    </row>
    <row r="13" spans="1:22" ht="29" x14ac:dyDescent="0.35">
      <c r="A13"/>
      <c r="B13" s="94" t="s">
        <v>237</v>
      </c>
      <c r="C13" s="72">
        <f>$F$5</f>
        <v>0</v>
      </c>
      <c r="D13" s="72">
        <f>$F$6</f>
        <v>0</v>
      </c>
      <c r="E13" s="72">
        <f>$F$7</f>
        <v>0</v>
      </c>
      <c r="F13" s="72">
        <f>$F$8</f>
        <v>0</v>
      </c>
      <c r="G13"/>
      <c r="H13" s="102"/>
      <c r="I13" s="76"/>
      <c r="J13" s="76"/>
      <c r="K13" s="76"/>
      <c r="L13" s="76"/>
      <c r="M13"/>
      <c r="N13"/>
      <c r="O13"/>
      <c r="P13"/>
      <c r="Q13"/>
      <c r="R13"/>
      <c r="S13"/>
      <c r="T13"/>
      <c r="U13"/>
      <c r="V13"/>
    </row>
    <row r="14" spans="1:22" x14ac:dyDescent="0.35">
      <c r="A14"/>
      <c r="B14" s="94" t="s">
        <v>157</v>
      </c>
      <c r="C14" s="72">
        <f>$L$5</f>
        <v>0</v>
      </c>
      <c r="D14" s="72">
        <f>$L$6</f>
        <v>0</v>
      </c>
      <c r="E14" s="72">
        <f>$L$7</f>
        <v>0</v>
      </c>
      <c r="F14" s="72">
        <f>$L$8</f>
        <v>0</v>
      </c>
      <c r="G14"/>
      <c r="H14" s="76"/>
      <c r="I14" s="76"/>
      <c r="J14" s="76"/>
      <c r="K14" s="76"/>
      <c r="L14" s="76"/>
      <c r="M14"/>
      <c r="N14"/>
      <c r="O14"/>
      <c r="P14"/>
      <c r="Q14"/>
      <c r="R14"/>
      <c r="S14"/>
      <c r="T14"/>
      <c r="U14"/>
      <c r="V14"/>
    </row>
    <row r="15" spans="1:22" x14ac:dyDescent="0.35">
      <c r="A15"/>
      <c r="B15" s="94" t="s">
        <v>425</v>
      </c>
      <c r="C15" s="72">
        <v>0</v>
      </c>
      <c r="D15" s="72">
        <v>0</v>
      </c>
      <c r="E15" s="72">
        <v>0</v>
      </c>
      <c r="F15" s="72">
        <v>0</v>
      </c>
      <c r="G15"/>
      <c r="H15" s="76"/>
      <c r="I15" s="76"/>
      <c r="J15" s="76"/>
      <c r="K15" s="76"/>
      <c r="L15" s="76"/>
      <c r="M15"/>
      <c r="N15"/>
      <c r="O15"/>
      <c r="P15"/>
      <c r="Q15"/>
      <c r="R15"/>
      <c r="S15"/>
      <c r="T15"/>
      <c r="U15"/>
      <c r="V15"/>
    </row>
    <row r="16" spans="1:22" x14ac:dyDescent="0.35">
      <c r="A16"/>
      <c r="B16" s="94" t="s">
        <v>356</v>
      </c>
      <c r="C16" s="72">
        <f>C13+C14</f>
        <v>0</v>
      </c>
      <c r="D16" s="72">
        <f t="shared" ref="D16:F16" si="4">D13+D14</f>
        <v>0</v>
      </c>
      <c r="E16" s="72">
        <f t="shared" si="4"/>
        <v>0</v>
      </c>
      <c r="F16" s="72">
        <f t="shared" si="4"/>
        <v>0</v>
      </c>
      <c r="G16"/>
      <c r="H16" s="76"/>
      <c r="I16" s="76"/>
      <c r="J16" s="76"/>
      <c r="K16" s="76"/>
      <c r="L16" s="76"/>
      <c r="M16"/>
      <c r="N16"/>
      <c r="O16"/>
      <c r="P16"/>
      <c r="Q16"/>
      <c r="R16"/>
      <c r="S16"/>
      <c r="T16"/>
      <c r="U16"/>
      <c r="V16"/>
    </row>
    <row r="17" spans="1:22" x14ac:dyDescent="0.35">
      <c r="A17"/>
      <c r="B17" s="103"/>
      <c r="C17" s="73"/>
      <c r="D17" s="73"/>
      <c r="E17" s="73"/>
      <c r="F17" s="73"/>
      <c r="G17"/>
      <c r="H17" s="76"/>
      <c r="I17" s="76"/>
      <c r="J17" s="76"/>
      <c r="K17" s="76"/>
      <c r="L17" s="76"/>
      <c r="M17"/>
      <c r="N17"/>
      <c r="O17"/>
      <c r="P17"/>
      <c r="Q17"/>
      <c r="R17"/>
      <c r="S17"/>
      <c r="T17"/>
      <c r="U17"/>
      <c r="V17"/>
    </row>
    <row r="18" spans="1:22" s="90" customFormat="1" ht="101.5" x14ac:dyDescent="0.35">
      <c r="A18" s="93"/>
      <c r="B18" s="94" t="s">
        <v>147</v>
      </c>
      <c r="C18" s="95" t="s">
        <v>227</v>
      </c>
      <c r="D18" s="94" t="s">
        <v>209</v>
      </c>
      <c r="E18" s="94" t="s">
        <v>392</v>
      </c>
      <c r="F18" s="94" t="s">
        <v>234</v>
      </c>
      <c r="G18" s="93"/>
      <c r="H18" s="94" t="s">
        <v>147</v>
      </c>
      <c r="I18" s="95" t="s">
        <v>226</v>
      </c>
      <c r="J18" s="94" t="s">
        <v>209</v>
      </c>
      <c r="K18" s="94" t="s">
        <v>429</v>
      </c>
      <c r="L18" s="94" t="s">
        <v>235</v>
      </c>
      <c r="M18" s="93"/>
      <c r="N18" s="94" t="s">
        <v>147</v>
      </c>
      <c r="O18" s="95" t="s">
        <v>247</v>
      </c>
      <c r="P18" s="94" t="s">
        <v>209</v>
      </c>
      <c r="Q18" s="94" t="s">
        <v>429</v>
      </c>
      <c r="R18" s="94" t="s">
        <v>235</v>
      </c>
      <c r="S18" s="93"/>
      <c r="T18" s="93"/>
      <c r="U18" s="94" t="s">
        <v>337</v>
      </c>
      <c r="V18" s="94" t="s">
        <v>336</v>
      </c>
    </row>
    <row r="19" spans="1:22" x14ac:dyDescent="0.35">
      <c r="A19"/>
      <c r="B19" s="92" t="s">
        <v>151</v>
      </c>
      <c r="C19" s="68">
        <f>(SUMIFS('Raw Crash data'!AG:AG,'Raw Crash data'!Q:Q,$U$5)+SUMIFS('Raw Crash data'!AG:AG,'Raw Crash data'!Q:Q,$U$6))</f>
        <v>0</v>
      </c>
      <c r="D19" s="70" t="s">
        <v>397</v>
      </c>
      <c r="E19" s="70" t="s">
        <v>397</v>
      </c>
      <c r="F19" s="70" t="s">
        <v>397</v>
      </c>
      <c r="G19"/>
      <c r="H19" s="92" t="s">
        <v>151</v>
      </c>
      <c r="I19" s="68">
        <f>(SUMIFS('Raw Crash data'!AG:AG,'Raw Crash data'!Q:Q,$V$5)+SUMIFS('Raw Crash data'!AG:AG,'Raw Crash data'!Q:Q,$V$6))</f>
        <v>0</v>
      </c>
      <c r="J19" s="70" t="s">
        <v>397</v>
      </c>
      <c r="K19" s="70" t="s">
        <v>397</v>
      </c>
      <c r="L19" s="70" t="s">
        <v>397</v>
      </c>
      <c r="M19"/>
      <c r="N19" s="92" t="s">
        <v>151</v>
      </c>
      <c r="O19" s="68">
        <f t="shared" si="0"/>
        <v>0</v>
      </c>
      <c r="P19" s="70" t="s">
        <v>397</v>
      </c>
      <c r="Q19" s="70" t="s">
        <v>397</v>
      </c>
      <c r="R19" s="70" t="s">
        <v>397</v>
      </c>
      <c r="S19"/>
      <c r="T19"/>
      <c r="U19"/>
      <c r="V19"/>
    </row>
    <row r="20" spans="1:22" x14ac:dyDescent="0.35">
      <c r="A20"/>
      <c r="B20" s="92" t="s">
        <v>204</v>
      </c>
      <c r="C20" s="68">
        <f>(SUMIFS('Raw Crash data'!AH:AH,'Raw Crash data'!Q:Q,$U$5)+SUMIFS('Raw Crash data'!AH:AH,'Raw Crash data'!Q:Q,$U$6))</f>
        <v>0</v>
      </c>
      <c r="D20" s="70" t="s">
        <v>397</v>
      </c>
      <c r="E20" s="70" t="s">
        <v>397</v>
      </c>
      <c r="F20" s="70" t="s">
        <v>397</v>
      </c>
      <c r="G20"/>
      <c r="H20" s="92" t="s">
        <v>204</v>
      </c>
      <c r="I20" s="68">
        <f>(SUMIFS('Raw Crash data'!AH:AH,'Raw Crash data'!Q:Q,$V$5)+SUMIFS('Raw Crash data'!AH:AH,'Raw Crash data'!Q:Q,$V$6))</f>
        <v>0</v>
      </c>
      <c r="J20" s="70" t="s">
        <v>397</v>
      </c>
      <c r="K20" s="70" t="s">
        <v>397</v>
      </c>
      <c r="L20" s="70" t="s">
        <v>397</v>
      </c>
      <c r="M20"/>
      <c r="N20" s="92" t="s">
        <v>204</v>
      </c>
      <c r="O20" s="68">
        <f t="shared" si="0"/>
        <v>0</v>
      </c>
      <c r="P20" s="70" t="s">
        <v>397</v>
      </c>
      <c r="Q20" s="70" t="s">
        <v>397</v>
      </c>
      <c r="R20" s="70" t="s">
        <v>397</v>
      </c>
      <c r="S20"/>
      <c r="T20"/>
      <c r="U20"/>
      <c r="V20"/>
    </row>
    <row r="21" spans="1:22" x14ac:dyDescent="0.35">
      <c r="A21"/>
      <c r="B21" s="92" t="s">
        <v>203</v>
      </c>
      <c r="C21" s="68">
        <f>(SUMIFS('Raw Crash data'!AI:AI,'Raw Crash data'!Q:Q,$U$5)+SUMIFS('Raw Crash data'!AI:AI,'Raw Crash data'!Q:Q,$U$6))</f>
        <v>0</v>
      </c>
      <c r="D21" s="70" t="s">
        <v>397</v>
      </c>
      <c r="E21" s="70" t="s">
        <v>397</v>
      </c>
      <c r="F21" s="70" t="s">
        <v>397</v>
      </c>
      <c r="G21"/>
      <c r="H21" s="92" t="s">
        <v>203</v>
      </c>
      <c r="I21" s="68">
        <f>(SUMIFS('Raw Crash data'!AI:AI,'Raw Crash data'!Q:Q,$V$5)+SUMIFS('Raw Crash data'!AI:AI,'Raw Crash data'!Q:Q,$V$6))</f>
        <v>0</v>
      </c>
      <c r="J21" s="70" t="s">
        <v>397</v>
      </c>
      <c r="K21" s="70" t="s">
        <v>397</v>
      </c>
      <c r="L21" s="70" t="s">
        <v>397</v>
      </c>
      <c r="M21"/>
      <c r="N21" s="92" t="s">
        <v>203</v>
      </c>
      <c r="O21" s="68">
        <f t="shared" si="0"/>
        <v>0</v>
      </c>
      <c r="P21" s="70" t="s">
        <v>397</v>
      </c>
      <c r="Q21" s="70" t="s">
        <v>397</v>
      </c>
      <c r="R21" s="70" t="s">
        <v>397</v>
      </c>
      <c r="S21"/>
      <c r="T21"/>
      <c r="U21"/>
      <c r="V21"/>
    </row>
    <row r="22" spans="1:22" x14ac:dyDescent="0.35">
      <c r="A22"/>
      <c r="B22" s="92" t="s">
        <v>205</v>
      </c>
      <c r="C22" s="68">
        <f>(SUMIFS('Raw Crash data'!AJ:AJ,'Raw Crash data'!Q:Q,$U$5)+SUMIFS('Raw Crash data'!AJ:AJ,'Raw Crash data'!Q:Q,$U$6))</f>
        <v>0</v>
      </c>
      <c r="D22" s="70" t="s">
        <v>397</v>
      </c>
      <c r="E22" s="70" t="s">
        <v>397</v>
      </c>
      <c r="F22" s="70" t="s">
        <v>397</v>
      </c>
      <c r="G22"/>
      <c r="H22" s="92" t="s">
        <v>205</v>
      </c>
      <c r="I22" s="68">
        <f>(SUMIFS('Raw Crash data'!AJ:AJ,'Raw Crash data'!Q:Q,$V$5)+SUMIFS('Raw Crash data'!AJ:AJ,'Raw Crash data'!Q:Q,$V$6))</f>
        <v>0</v>
      </c>
      <c r="J22" s="70" t="s">
        <v>397</v>
      </c>
      <c r="K22" s="70" t="s">
        <v>397</v>
      </c>
      <c r="L22" s="70" t="s">
        <v>397</v>
      </c>
      <c r="M22"/>
      <c r="N22" s="92" t="s">
        <v>205</v>
      </c>
      <c r="O22" s="68">
        <f t="shared" si="0"/>
        <v>0</v>
      </c>
      <c r="P22" s="70" t="s">
        <v>397</v>
      </c>
      <c r="Q22" s="70" t="s">
        <v>397</v>
      </c>
      <c r="R22" s="70" t="s">
        <v>397</v>
      </c>
      <c r="S22"/>
      <c r="T22"/>
      <c r="U22"/>
      <c r="V22"/>
    </row>
    <row r="23" spans="1:22" x14ac:dyDescent="0.35">
      <c r="A23"/>
      <c r="B23" s="92" t="s">
        <v>152</v>
      </c>
      <c r="C23" s="68">
        <f>(SUMIFS('Raw Crash data'!AN:AN,'Raw Crash data'!Q:Q,$U$5)+SUMIFS('Raw Crash data'!AN:AN,'Raw Crash data'!Q:Q,$U$6))</f>
        <v>0</v>
      </c>
      <c r="D23" s="70" t="s">
        <v>397</v>
      </c>
      <c r="E23" s="70" t="s">
        <v>397</v>
      </c>
      <c r="F23" s="70" t="s">
        <v>397</v>
      </c>
      <c r="G23"/>
      <c r="H23" s="92" t="s">
        <v>152</v>
      </c>
      <c r="I23" s="68">
        <f>(SUMIFS('Raw Crash data'!AN:AN,'Raw Crash data'!Q:Q,$V$5)+SUMIFS('Raw Crash data'!AN:AN,'Raw Crash data'!Q:Q,$V$6))</f>
        <v>0</v>
      </c>
      <c r="J23" s="70" t="s">
        <v>397</v>
      </c>
      <c r="K23" s="70" t="s">
        <v>397</v>
      </c>
      <c r="L23" s="70" t="s">
        <v>397</v>
      </c>
      <c r="M23"/>
      <c r="N23" s="92" t="s">
        <v>152</v>
      </c>
      <c r="O23" s="68">
        <f t="shared" si="0"/>
        <v>0</v>
      </c>
      <c r="P23" s="70" t="s">
        <v>397</v>
      </c>
      <c r="Q23" s="70" t="s">
        <v>397</v>
      </c>
      <c r="R23" s="70" t="s">
        <v>397</v>
      </c>
      <c r="S23"/>
      <c r="T23"/>
      <c r="U23"/>
      <c r="V23"/>
    </row>
    <row r="24" spans="1:22" x14ac:dyDescent="0.35">
      <c r="A24"/>
      <c r="B24" s="92" t="s">
        <v>206</v>
      </c>
      <c r="C24" s="68">
        <f>(SUMIFS('Raw Crash data'!AO:AO,'Raw Crash data'!Q:Q,$U$5)+SUMIFS('Raw Crash data'!AO:AO,'Raw Crash data'!Q:Q,$U$6))</f>
        <v>0</v>
      </c>
      <c r="D24" s="70" t="s">
        <v>397</v>
      </c>
      <c r="E24" s="70" t="s">
        <v>397</v>
      </c>
      <c r="F24" s="70" t="s">
        <v>397</v>
      </c>
      <c r="G24"/>
      <c r="H24" s="92" t="s">
        <v>206</v>
      </c>
      <c r="I24" s="68">
        <f>(SUMIFS('Raw Crash data'!AO:AO,'Raw Crash data'!Q:Q,$V$5)+SUMIFS('Raw Crash data'!AO:AO,'Raw Crash data'!Q:Q,$V$6))</f>
        <v>0</v>
      </c>
      <c r="J24" s="70" t="s">
        <v>397</v>
      </c>
      <c r="K24" s="70" t="s">
        <v>397</v>
      </c>
      <c r="L24" s="70" t="s">
        <v>397</v>
      </c>
      <c r="M24"/>
      <c r="N24" s="92" t="s">
        <v>206</v>
      </c>
      <c r="O24" s="68">
        <f t="shared" si="0"/>
        <v>0</v>
      </c>
      <c r="P24" s="70" t="s">
        <v>397</v>
      </c>
      <c r="Q24" s="70" t="s">
        <v>397</v>
      </c>
      <c r="R24" s="70" t="s">
        <v>397</v>
      </c>
      <c r="S24"/>
      <c r="T24"/>
      <c r="U24"/>
      <c r="V24"/>
    </row>
    <row r="25" spans="1:22" x14ac:dyDescent="0.35">
      <c r="A25"/>
      <c r="B25" s="92" t="s">
        <v>207</v>
      </c>
      <c r="C25" s="68">
        <f>(SUMIFS('Raw Crash data'!AP:AP,'Raw Crash data'!Q:Q,$U$5)+SUMIFS('Raw Crash data'!AP:AP,'Raw Crash data'!Q:Q,$U$6))</f>
        <v>0</v>
      </c>
      <c r="D25" s="70" t="s">
        <v>397</v>
      </c>
      <c r="E25" s="70" t="s">
        <v>397</v>
      </c>
      <c r="F25" s="70" t="s">
        <v>397</v>
      </c>
      <c r="G25"/>
      <c r="H25" s="92" t="s">
        <v>207</v>
      </c>
      <c r="I25" s="68">
        <f>(SUMIFS('Raw Crash data'!AP:AP,'Raw Crash data'!Q:Q,$V$5)+SUMIFS('Raw Crash data'!AP:AP,'Raw Crash data'!Q:Q,$V$6))</f>
        <v>0</v>
      </c>
      <c r="J25" s="70" t="s">
        <v>397</v>
      </c>
      <c r="K25" s="70" t="s">
        <v>397</v>
      </c>
      <c r="L25" s="70" t="s">
        <v>397</v>
      </c>
      <c r="M25"/>
      <c r="N25" s="92" t="s">
        <v>207</v>
      </c>
      <c r="O25" s="68">
        <f t="shared" si="0"/>
        <v>0</v>
      </c>
      <c r="P25" s="70" t="s">
        <v>397</v>
      </c>
      <c r="Q25" s="70" t="s">
        <v>397</v>
      </c>
      <c r="R25" s="70" t="s">
        <v>397</v>
      </c>
      <c r="S25"/>
      <c r="T25"/>
      <c r="U25"/>
      <c r="V25"/>
    </row>
    <row r="26" spans="1:22" x14ac:dyDescent="0.35">
      <c r="A26"/>
      <c r="B26" s="92" t="s">
        <v>208</v>
      </c>
      <c r="C26" s="68">
        <f>(SUMIFS('Raw Crash data'!AQ:AQ,'Raw Crash data'!Q:Q,$U$5)+SUMIFS('Raw Crash data'!AQ:AQ,'Raw Crash data'!Q:Q,$U$6))</f>
        <v>0</v>
      </c>
      <c r="D26" s="70" t="s">
        <v>397</v>
      </c>
      <c r="E26" s="70" t="s">
        <v>397</v>
      </c>
      <c r="F26" s="70" t="s">
        <v>397</v>
      </c>
      <c r="G26"/>
      <c r="H26" s="92" t="s">
        <v>208</v>
      </c>
      <c r="I26" s="68">
        <f>(SUMIFS('Raw Crash data'!AQ:AQ,'Raw Crash data'!Q:Q,$V$5)+SUMIFS('Raw Crash data'!AQ:AQ,'Raw Crash data'!Q:Q,$V$6))</f>
        <v>0</v>
      </c>
      <c r="J26" s="70" t="s">
        <v>397</v>
      </c>
      <c r="K26" s="70" t="s">
        <v>397</v>
      </c>
      <c r="L26" s="70" t="s">
        <v>397</v>
      </c>
      <c r="M26"/>
      <c r="N26" s="92" t="s">
        <v>208</v>
      </c>
      <c r="O26" s="68">
        <f t="shared" si="0"/>
        <v>0</v>
      </c>
      <c r="P26" s="70" t="s">
        <v>397</v>
      </c>
      <c r="Q26" s="70" t="s">
        <v>397</v>
      </c>
      <c r="R26" s="70" t="s">
        <v>397</v>
      </c>
      <c r="S26"/>
      <c r="T26"/>
      <c r="U26"/>
      <c r="V26"/>
    </row>
    <row r="27" spans="1:22" x14ac:dyDescent="0.35">
      <c r="A27"/>
      <c r="B27" s="92" t="s">
        <v>393</v>
      </c>
      <c r="C27" s="68">
        <f>C19+C23</f>
        <v>0</v>
      </c>
      <c r="D27" s="70">
        <f>C27/5</f>
        <v>0</v>
      </c>
      <c r="E27" s="71">
        <f>($D27*1000000)/(365*5*'Inputs &amp; Outputs'!$C$42)</f>
        <v>0</v>
      </c>
      <c r="F27" s="71">
        <f>$E27*(('Inputs &amp; Outputs'!$C$43*365)/1000000)</f>
        <v>0</v>
      </c>
      <c r="G27"/>
      <c r="H27" s="92" t="s">
        <v>148</v>
      </c>
      <c r="I27" s="68">
        <f>I19+I23</f>
        <v>0</v>
      </c>
      <c r="J27" s="70">
        <f>I27/5</f>
        <v>0</v>
      </c>
      <c r="K27" s="71">
        <f>(($I27*1000000)/(365*5*'Inputs &amp; Outputs'!$C$42))</f>
        <v>0</v>
      </c>
      <c r="L27" s="71">
        <f>$K27*(('Inputs &amp; Outputs'!C42*365)/1000000)</f>
        <v>0</v>
      </c>
      <c r="M27"/>
      <c r="N27" s="92" t="s">
        <v>148</v>
      </c>
      <c r="O27" s="68">
        <f t="shared" si="0"/>
        <v>0</v>
      </c>
      <c r="P27" s="70">
        <f>O27/5</f>
        <v>0</v>
      </c>
      <c r="Q27" s="71">
        <f>(($O27*1000000)/(365*5*'Inputs &amp; Outputs'!$C$42))</f>
        <v>0</v>
      </c>
      <c r="R27" s="71">
        <f>$Q27*((365*'Inputs &amp; Outputs'!$C$43)/1000000)</f>
        <v>0</v>
      </c>
      <c r="S27"/>
      <c r="T27"/>
      <c r="U27"/>
      <c r="V27"/>
    </row>
    <row r="28" spans="1:22" x14ac:dyDescent="0.35">
      <c r="A28"/>
      <c r="B28" s="92" t="s">
        <v>395</v>
      </c>
      <c r="C28" s="68">
        <f t="shared" ref="C28:C30" si="5">C20+C24</f>
        <v>0</v>
      </c>
      <c r="D28" s="70">
        <f>C28/5</f>
        <v>0</v>
      </c>
      <c r="E28" s="71">
        <f>($D28*1000000)/(365*5*'Inputs &amp; Outputs'!$C$42)</f>
        <v>0</v>
      </c>
      <c r="F28" s="71">
        <f>$E28*(('Inputs &amp; Outputs'!$C$43*365)/1000000)</f>
        <v>0</v>
      </c>
      <c r="G28"/>
      <c r="H28" s="92" t="s">
        <v>149</v>
      </c>
      <c r="I28" s="68">
        <f t="shared" ref="I28:I30" si="6">I20+I24</f>
        <v>0</v>
      </c>
      <c r="J28" s="70">
        <f>I28/5</f>
        <v>0</v>
      </c>
      <c r="K28" s="71">
        <f>(($I28*1000000)/(365*5*'Inputs &amp; Outputs'!$C$42))</f>
        <v>0</v>
      </c>
      <c r="L28" s="71">
        <f>$K28*(('Inputs &amp; Outputs'!C43*365)/1000000)</f>
        <v>0</v>
      </c>
      <c r="M28"/>
      <c r="N28" s="92" t="s">
        <v>149</v>
      </c>
      <c r="O28" s="68">
        <f t="shared" si="0"/>
        <v>0</v>
      </c>
      <c r="P28" s="70">
        <f>O28/5</f>
        <v>0</v>
      </c>
      <c r="Q28" s="71">
        <f>(($O28*1000000)/(365*5*'Inputs &amp; Outputs'!$C$42))</f>
        <v>0</v>
      </c>
      <c r="R28" s="71">
        <f>$Q28*((365*'Inputs &amp; Outputs'!$C$43)/1000000)</f>
        <v>0</v>
      </c>
      <c r="S28"/>
      <c r="T28"/>
      <c r="U28"/>
      <c r="V28"/>
    </row>
    <row r="29" spans="1:22" x14ac:dyDescent="0.35">
      <c r="A29"/>
      <c r="B29" s="92" t="s">
        <v>394</v>
      </c>
      <c r="C29" s="68">
        <f t="shared" si="5"/>
        <v>0</v>
      </c>
      <c r="D29" s="70">
        <f>C29/5</f>
        <v>0</v>
      </c>
      <c r="E29" s="71">
        <f>($D29*1000000)/(365*5*'Inputs &amp; Outputs'!$C$42)</f>
        <v>0</v>
      </c>
      <c r="F29" s="71">
        <f>$E29*(('Inputs &amp; Outputs'!$C$43*365)/1000000)</f>
        <v>0</v>
      </c>
      <c r="G29"/>
      <c r="H29" s="92" t="s">
        <v>149</v>
      </c>
      <c r="I29" s="68">
        <f t="shared" si="6"/>
        <v>0</v>
      </c>
      <c r="J29" s="70">
        <f>I29/5</f>
        <v>0</v>
      </c>
      <c r="K29" s="71">
        <f>(($I29*1000000)/(365*5*'Inputs &amp; Outputs'!$C$42))</f>
        <v>0</v>
      </c>
      <c r="L29" s="71">
        <f>$K29*(('Inputs &amp; Outputs'!C44*365)/1000000)</f>
        <v>0</v>
      </c>
      <c r="M29"/>
      <c r="N29" s="92" t="s">
        <v>149</v>
      </c>
      <c r="O29" s="68">
        <f t="shared" si="0"/>
        <v>0</v>
      </c>
      <c r="P29" s="70">
        <f>O29/5</f>
        <v>0</v>
      </c>
      <c r="Q29" s="71">
        <f>(($O29*1000000)/(365*5*'Inputs &amp; Outputs'!$C$42))</f>
        <v>0</v>
      </c>
      <c r="R29" s="71">
        <f>$Q29*((365*'Inputs &amp; Outputs'!$C$43)/1000000)</f>
        <v>0</v>
      </c>
      <c r="S29"/>
      <c r="T29"/>
      <c r="U29"/>
      <c r="V29"/>
    </row>
    <row r="30" spans="1:22" x14ac:dyDescent="0.35">
      <c r="A30"/>
      <c r="B30" s="92" t="s">
        <v>396</v>
      </c>
      <c r="C30" s="68">
        <f t="shared" si="5"/>
        <v>0</v>
      </c>
      <c r="D30" s="70">
        <f>C30/5</f>
        <v>0</v>
      </c>
      <c r="E30" s="71">
        <f>($D30*1000000)/(365*5*'Inputs &amp; Outputs'!$C$42)</f>
        <v>0</v>
      </c>
      <c r="F30" s="71">
        <f>$E30*(('Inputs &amp; Outputs'!$C$43*365)/1000000)</f>
        <v>0</v>
      </c>
      <c r="G30"/>
      <c r="H30" s="92" t="s">
        <v>149</v>
      </c>
      <c r="I30" s="68">
        <f t="shared" si="6"/>
        <v>0</v>
      </c>
      <c r="J30" s="70">
        <f>I30/5</f>
        <v>0</v>
      </c>
      <c r="K30" s="71">
        <f>(($I30*1000000)/(365*5*'Inputs &amp; Outputs'!$C$42))</f>
        <v>0</v>
      </c>
      <c r="L30" s="71">
        <f>$K30*(('Inputs &amp; Outputs'!C45*365)/1000000)</f>
        <v>0</v>
      </c>
      <c r="M30"/>
      <c r="N30" s="92" t="s">
        <v>149</v>
      </c>
      <c r="O30" s="68">
        <f t="shared" si="0"/>
        <v>0</v>
      </c>
      <c r="P30" s="70">
        <f>O30/5</f>
        <v>0</v>
      </c>
      <c r="Q30" s="71">
        <f>(($O30*1000000)/(365*5*'Inputs &amp; Outputs'!$C$42))</f>
        <v>0</v>
      </c>
      <c r="R30" s="71">
        <f>$Q30*((365*'Inputs &amp; Outputs'!$C$43)/1000000)</f>
        <v>0</v>
      </c>
      <c r="S30"/>
      <c r="T30"/>
      <c r="U30"/>
      <c r="V30"/>
    </row>
    <row r="31" spans="1:22" x14ac:dyDescent="0.35">
      <c r="A31"/>
      <c r="B31"/>
      <c r="C31"/>
      <c r="D31"/>
      <c r="E31" s="74"/>
      <c r="F31" s="74"/>
      <c r="G31"/>
      <c r="H31"/>
      <c r="I31"/>
      <c r="J31"/>
      <c r="K31" s="74"/>
      <c r="L31" s="74"/>
      <c r="M31"/>
      <c r="N31"/>
      <c r="O31"/>
      <c r="P31"/>
      <c r="Q31"/>
      <c r="R31"/>
      <c r="S31"/>
      <c r="T31"/>
      <c r="U31"/>
      <c r="V31"/>
    </row>
    <row r="32" spans="1:22" s="90" customFormat="1" ht="15" customHeight="1" x14ac:dyDescent="0.35">
      <c r="A32" s="93"/>
      <c r="B32" s="203" t="s">
        <v>236</v>
      </c>
      <c r="C32" s="203"/>
      <c r="D32" s="203"/>
      <c r="E32" s="203"/>
      <c r="F32" s="203"/>
      <c r="G32" s="93"/>
      <c r="H32" s="100"/>
      <c r="I32" s="76"/>
      <c r="J32" s="76"/>
      <c r="K32" s="97"/>
      <c r="L32" s="97"/>
      <c r="M32" s="93"/>
      <c r="N32" s="93"/>
      <c r="O32" s="93"/>
      <c r="P32" s="93"/>
      <c r="Q32" s="93"/>
      <c r="R32" s="93"/>
      <c r="S32" s="93"/>
      <c r="T32" s="93"/>
      <c r="U32" s="93"/>
      <c r="V32" s="93"/>
    </row>
    <row r="33" spans="1:22" ht="29" x14ac:dyDescent="0.35">
      <c r="A33"/>
      <c r="B33" s="94"/>
      <c r="C33" s="94" t="s">
        <v>148</v>
      </c>
      <c r="D33" s="94" t="s">
        <v>210</v>
      </c>
      <c r="E33" s="94" t="s">
        <v>211</v>
      </c>
      <c r="F33" s="94" t="s">
        <v>212</v>
      </c>
      <c r="G33"/>
      <c r="H33" s="98"/>
      <c r="I33" s="99"/>
      <c r="J33" s="100"/>
      <c r="K33" s="101"/>
      <c r="L33" s="97"/>
      <c r="M33"/>
      <c r="N33"/>
      <c r="O33"/>
      <c r="P33"/>
      <c r="Q33"/>
      <c r="R33"/>
      <c r="S33"/>
      <c r="T33"/>
      <c r="U33"/>
      <c r="V33"/>
    </row>
    <row r="34" spans="1:22" x14ac:dyDescent="0.35">
      <c r="A34"/>
      <c r="B34" s="94" t="s">
        <v>159</v>
      </c>
      <c r="C34" s="72">
        <f>F27+L27</f>
        <v>0</v>
      </c>
      <c r="D34" s="72">
        <f>F28+L28</f>
        <v>0</v>
      </c>
      <c r="E34" s="72">
        <f>F29*L29</f>
        <v>0</v>
      </c>
      <c r="F34" s="72">
        <f>F30*L30</f>
        <v>0</v>
      </c>
      <c r="G34"/>
      <c r="H34" s="76"/>
      <c r="I34" s="76"/>
      <c r="J34" s="76"/>
      <c r="K34" s="76"/>
      <c r="L34" s="76"/>
      <c r="M34"/>
      <c r="N34"/>
      <c r="O34"/>
      <c r="P34"/>
      <c r="Q34"/>
      <c r="R34"/>
      <c r="S34"/>
      <c r="T34"/>
      <c r="U34"/>
      <c r="V34"/>
    </row>
    <row r="35" spans="1:22" x14ac:dyDescent="0.35">
      <c r="A35"/>
      <c r="B35" s="94" t="s">
        <v>425</v>
      </c>
      <c r="C35" s="72">
        <v>0</v>
      </c>
      <c r="D35" s="72">
        <v>0</v>
      </c>
      <c r="E35" s="72">
        <v>0</v>
      </c>
      <c r="F35" s="72">
        <v>0</v>
      </c>
      <c r="G35"/>
      <c r="H35" s="98"/>
      <c r="I35" s="99"/>
      <c r="J35" s="76"/>
      <c r="K35" s="98"/>
      <c r="L35" s="76"/>
      <c r="M35"/>
      <c r="N35"/>
      <c r="O35"/>
      <c r="P35"/>
      <c r="Q35"/>
      <c r="R35"/>
      <c r="S35"/>
      <c r="T35"/>
      <c r="U35"/>
      <c r="V35"/>
    </row>
    <row r="36" spans="1:22" x14ac:dyDescent="0.35">
      <c r="A36"/>
      <c r="B36"/>
      <c r="C36"/>
      <c r="D36"/>
      <c r="E36"/>
      <c r="F36"/>
      <c r="G36"/>
      <c r="H36" s="102"/>
      <c r="I36" s="76"/>
      <c r="J36" s="76"/>
      <c r="K36" s="102"/>
      <c r="L36" s="76"/>
      <c r="M36"/>
      <c r="N36"/>
      <c r="O36"/>
      <c r="P36"/>
      <c r="Q36"/>
      <c r="R36"/>
      <c r="S36"/>
      <c r="T36"/>
      <c r="U36"/>
      <c r="V36"/>
    </row>
    <row r="37" spans="1:22" x14ac:dyDescent="0.35">
      <c r="A37"/>
      <c r="B37"/>
      <c r="C37"/>
      <c r="D37" s="60"/>
      <c r="E37" s="104"/>
      <c r="F37"/>
      <c r="G37"/>
      <c r="H37" s="76"/>
      <c r="I37" s="76"/>
      <c r="J37" s="76"/>
      <c r="K37" s="76"/>
      <c r="L37" s="76"/>
      <c r="M37"/>
      <c r="N37"/>
      <c r="O37"/>
      <c r="P37"/>
      <c r="Q37"/>
      <c r="R37"/>
      <c r="S37"/>
      <c r="T37"/>
      <c r="U37"/>
      <c r="V37"/>
    </row>
    <row r="38" spans="1:22" x14ac:dyDescent="0.35">
      <c r="A38"/>
      <c r="B38"/>
      <c r="C38" s="105"/>
      <c r="D38"/>
      <c r="E38"/>
      <c r="F38"/>
      <c r="G38"/>
      <c r="H38"/>
      <c r="I38"/>
      <c r="J38"/>
      <c r="K38"/>
      <c r="L38"/>
      <c r="M38"/>
      <c r="N38"/>
      <c r="O38"/>
      <c r="P38"/>
      <c r="Q38"/>
      <c r="R38"/>
      <c r="S38"/>
      <c r="T38"/>
      <c r="U38"/>
      <c r="V38"/>
    </row>
    <row r="39" spans="1:22" x14ac:dyDescent="0.35">
      <c r="A39"/>
      <c r="B39"/>
      <c r="C39"/>
      <c r="D39"/>
      <c r="E39"/>
      <c r="F39"/>
      <c r="G39"/>
      <c r="H39"/>
      <c r="I39"/>
      <c r="J39"/>
      <c r="K39"/>
      <c r="L39"/>
      <c r="M39"/>
      <c r="N39"/>
      <c r="O39"/>
      <c r="P39"/>
      <c r="Q39"/>
      <c r="R39"/>
      <c r="S39"/>
      <c r="T39"/>
      <c r="U39"/>
      <c r="V39"/>
    </row>
    <row r="42" spans="1:22" x14ac:dyDescent="0.35">
      <c r="C42" s="65"/>
      <c r="D42" s="66"/>
      <c r="E42" s="67"/>
      <c r="F42" s="67"/>
    </row>
    <row r="44" spans="1:22" x14ac:dyDescent="0.35">
      <c r="C44" s="65"/>
      <c r="E44" s="91"/>
      <c r="F44" s="91"/>
    </row>
  </sheetData>
  <mergeCells count="7">
    <mergeCell ref="N3:R3"/>
    <mergeCell ref="B3:F3"/>
    <mergeCell ref="H3:L3"/>
    <mergeCell ref="B32:F32"/>
    <mergeCell ref="C1:D1"/>
    <mergeCell ref="F1:H1"/>
    <mergeCell ref="B11:F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8"/>
    <pageSetUpPr fitToPage="1"/>
  </sheetPr>
  <dimension ref="A1:Y54"/>
  <sheetViews>
    <sheetView topLeftCell="A26" zoomScale="85" zoomScaleNormal="85" workbookViewId="0">
      <selection activeCell="F43" sqref="F43"/>
    </sheetView>
  </sheetViews>
  <sheetFormatPr defaultColWidth="9.08984375" defaultRowHeight="14.5" x14ac:dyDescent="0.35"/>
  <cols>
    <col min="1" max="1" width="26.6328125" style="77" customWidth="1"/>
    <col min="2" max="2" width="13.90625" style="77" customWidth="1"/>
    <col min="3" max="3" width="5.36328125" style="77" customWidth="1"/>
    <col min="4" max="4" width="29.08984375" style="77" customWidth="1"/>
    <col min="5" max="5" width="28.6328125" style="77" customWidth="1"/>
    <col min="6" max="6" width="29.36328125" style="77" customWidth="1"/>
    <col min="7" max="7" width="5.54296875" style="77" customWidth="1"/>
    <col min="8" max="8" width="5.6328125" style="77" customWidth="1"/>
    <col min="9" max="9" width="7.08984375" style="77" customWidth="1"/>
    <col min="10" max="10" width="9.36328125" style="77" customWidth="1"/>
    <col min="11" max="11" width="13.90625" style="77" customWidth="1"/>
    <col min="12" max="12" width="10.08984375" style="82" customWidth="1"/>
    <col min="13" max="13" width="16.90625" style="83" hidden="1" customWidth="1"/>
    <col min="14" max="14" width="7.90625" style="77" customWidth="1"/>
    <col min="15" max="15" width="17.36328125" style="77" customWidth="1"/>
    <col min="16" max="16" width="10.36328125" style="77" customWidth="1"/>
    <col min="17" max="17" width="19.08984375" style="77" customWidth="1"/>
    <col min="18" max="18" width="10.36328125" style="77" customWidth="1"/>
    <col min="19" max="19" width="19.08984375" style="77" customWidth="1"/>
    <col min="20" max="20" width="10.36328125" style="77" customWidth="1"/>
    <col min="21" max="21" width="17.54296875" style="77" customWidth="1"/>
    <col min="22" max="22" width="10.36328125" style="77" customWidth="1"/>
    <col min="23" max="23" width="14.453125" style="77" customWidth="1"/>
    <col min="24" max="24" width="20.36328125" style="77" customWidth="1"/>
    <col min="25" max="16384" width="9.08984375" style="77"/>
  </cols>
  <sheetData>
    <row r="1" spans="1:25" x14ac:dyDescent="0.35">
      <c r="A1"/>
      <c r="B1"/>
      <c r="C1"/>
      <c r="D1"/>
      <c r="E1"/>
      <c r="F1"/>
      <c r="G1"/>
      <c r="H1"/>
      <c r="I1" s="215" t="s">
        <v>269</v>
      </c>
      <c r="J1" s="216"/>
      <c r="K1" s="216"/>
      <c r="L1" s="216"/>
      <c r="M1" s="216"/>
      <c r="N1" s="216"/>
      <c r="O1" s="216"/>
      <c r="P1" s="216"/>
      <c r="Q1" s="216"/>
      <c r="R1" s="216"/>
      <c r="S1" s="216"/>
      <c r="T1" s="216"/>
      <c r="U1" s="216"/>
      <c r="V1" s="216"/>
      <c r="W1" s="216"/>
      <c r="X1" s="217"/>
      <c r="Y1"/>
    </row>
    <row r="2" spans="1:25" x14ac:dyDescent="0.35">
      <c r="A2"/>
      <c r="B2"/>
      <c r="C2"/>
      <c r="D2"/>
      <c r="E2"/>
      <c r="F2"/>
      <c r="G2"/>
      <c r="H2"/>
      <c r="I2" s="218" t="s">
        <v>13</v>
      </c>
      <c r="J2" s="218" t="s">
        <v>80</v>
      </c>
      <c r="K2" s="207" t="s">
        <v>383</v>
      </c>
      <c r="L2" s="220" t="s">
        <v>59</v>
      </c>
      <c r="M2" s="144"/>
      <c r="N2" s="207" t="s">
        <v>60</v>
      </c>
      <c r="O2" s="207" t="s">
        <v>351</v>
      </c>
      <c r="P2" s="207" t="s">
        <v>352</v>
      </c>
      <c r="Q2" s="207" t="s">
        <v>353</v>
      </c>
      <c r="R2" s="207" t="s">
        <v>354</v>
      </c>
      <c r="S2" s="207" t="s">
        <v>389</v>
      </c>
      <c r="T2" s="207" t="s">
        <v>390</v>
      </c>
      <c r="U2" s="207" t="s">
        <v>402</v>
      </c>
      <c r="V2" s="207" t="s">
        <v>401</v>
      </c>
      <c r="W2" s="207" t="s">
        <v>196</v>
      </c>
      <c r="X2" s="207" t="s">
        <v>81</v>
      </c>
      <c r="Y2"/>
    </row>
    <row r="3" spans="1:25" x14ac:dyDescent="0.35">
      <c r="A3" s="145" t="s">
        <v>1</v>
      </c>
      <c r="B3" s="146"/>
      <c r="C3" s="147"/>
      <c r="D3" s="148" t="s">
        <v>240</v>
      </c>
      <c r="E3" s="149">
        <v>2021</v>
      </c>
      <c r="F3" s="148" t="s">
        <v>241</v>
      </c>
      <c r="G3" s="74"/>
      <c r="H3" s="74"/>
      <c r="I3" s="219"/>
      <c r="J3" s="219"/>
      <c r="K3" s="207"/>
      <c r="L3" s="220"/>
      <c r="M3" s="150" t="s">
        <v>14</v>
      </c>
      <c r="N3" s="207"/>
      <c r="O3" s="207"/>
      <c r="P3" s="207"/>
      <c r="Q3" s="207"/>
      <c r="R3" s="207"/>
      <c r="S3" s="207"/>
      <c r="T3" s="207"/>
      <c r="U3" s="207"/>
      <c r="V3" s="207"/>
      <c r="W3" s="207"/>
      <c r="X3" s="207"/>
      <c r="Y3"/>
    </row>
    <row r="4" spans="1:25" ht="15.5" x14ac:dyDescent="0.35">
      <c r="A4" s="151" t="s">
        <v>2</v>
      </c>
      <c r="B4" s="47">
        <v>2021</v>
      </c>
      <c r="C4" s="147"/>
      <c r="D4" s="75" t="s">
        <v>244</v>
      </c>
      <c r="E4" s="152">
        <f>'Inputs &amp; Outputs'!$C$40</f>
        <v>24443</v>
      </c>
      <c r="F4" s="152">
        <f>VLOOKUP(Year_Open_to_Traffic?,Calculations!I4:J36,2,Calculations!J4:J36)</f>
        <v>29289.063637497038</v>
      </c>
      <c r="G4" s="74"/>
      <c r="H4" s="153"/>
      <c r="I4" s="154">
        <v>2021</v>
      </c>
      <c r="J4" s="155">
        <f>'Inputs &amp; Outputs'!$C$40</f>
        <v>24443</v>
      </c>
      <c r="K4" s="155">
        <f>'Inputs &amp; Outputs'!C42</f>
        <v>8</v>
      </c>
      <c r="L4" s="156" t="s">
        <v>62</v>
      </c>
      <c r="M4" s="157">
        <f>MIN(B15,1)</f>
        <v>1</v>
      </c>
      <c r="N4" s="154">
        <f>-(ROUNDUP(M4,0)-2)</f>
        <v>1</v>
      </c>
      <c r="O4" s="158">
        <f>IF($I4=Year_Open_to_Traffic?,Calculations!$E$50,0)</f>
        <v>0</v>
      </c>
      <c r="P4" s="155">
        <f t="shared" ref="P4:P36" si="0">IF(AND($I4&gt;=Year_Open_to_Traffic?,$I4&lt;Year_Open_to_Traffic?+Years_to_include_in_BCA_Analysis1),1,0)</f>
        <v>0</v>
      </c>
      <c r="Q4" s="158">
        <f>IF($I4=Year_Open_to_Traffic?,$E$51,0)</f>
        <v>0</v>
      </c>
      <c r="R4" s="155">
        <f t="shared" ref="R4:R36" si="1">IF(AND($I4&gt;=Year_Open_to_Traffic?,$I4&lt;Year_Open_to_Traffic?+Years_to_include_in_BCA_Analysis2),1,0)</f>
        <v>0</v>
      </c>
      <c r="S4" s="158">
        <f>IF($I4=Year_Open_to_Traffic?,$E$52,0)</f>
        <v>0</v>
      </c>
      <c r="T4" s="155">
        <f t="shared" ref="T4:T36" si="2">IF(AND($I4&gt;=Year_Open_to_Traffic?,$I4&lt;Year_Open_to_Traffic?+Years_to_include_in_BCA_Analysis3),1,0)</f>
        <v>0</v>
      </c>
      <c r="U4" s="158">
        <f>IF($I4=Year_Open_to_Traffic?,$E$53,0)</f>
        <v>0</v>
      </c>
      <c r="V4" s="155">
        <f t="shared" ref="V4:V36" si="3">IF(AND($I4&gt;=Year_Open_to_Traffic?,$I4&lt;Year_Open_to_Traffic?+$B$8),1,0)</f>
        <v>0</v>
      </c>
      <c r="W4" s="158">
        <f>((O4*P4)+(Q4*R4)+(S4*T4)+(U4*V4))/10^3</f>
        <v>0</v>
      </c>
      <c r="X4" s="159">
        <f>W4/(1+Real_Discount_Rate)^(Calculations!I4-'Assumed Values'!$C$5)</f>
        <v>0</v>
      </c>
      <c r="Y4"/>
    </row>
    <row r="5" spans="1:25" ht="29" x14ac:dyDescent="0.35">
      <c r="A5" s="151" t="s">
        <v>355</v>
      </c>
      <c r="B5" s="151">
        <f>Service_Life1</f>
        <v>30</v>
      </c>
      <c r="C5" s="147"/>
      <c r="D5" s="75" t="s">
        <v>242</v>
      </c>
      <c r="E5" s="152">
        <f>'Inputs &amp; Outputs'!$C$40*'Inputs &amp; Outputs'!$C$11</f>
        <v>4888.6000000000004</v>
      </c>
      <c r="F5" s="152">
        <f>$F$4*'Inputs &amp; Outputs'!$C$11</f>
        <v>5857.8127274994076</v>
      </c>
      <c r="G5" s="74"/>
      <c r="H5" s="153"/>
      <c r="I5" s="160">
        <f t="shared" ref="I5:I36" si="4">I4+1</f>
        <v>2022</v>
      </c>
      <c r="J5" s="161">
        <f>J4+J4*L5</f>
        <v>24939.192899999998</v>
      </c>
      <c r="K5" s="161">
        <f>K4+K4*L5</f>
        <v>8.1623999999999999</v>
      </c>
      <c r="L5" s="162">
        <f t="shared" ref="L5:L12" si="5">_2030_2030_Demand_Growth</f>
        <v>2.0299999999999999E-2</v>
      </c>
      <c r="M5" s="163">
        <f t="shared" ref="M5:M11" si="6">M4*(1+IFERROR(_2021_2030_V_C_Growth,_2021_2045_V_C_Growth))</f>
        <v>1</v>
      </c>
      <c r="N5" s="164">
        <f t="shared" ref="N5:N36" si="7">-(ROUNDUP(M5,0)-2)</f>
        <v>1</v>
      </c>
      <c r="O5" s="158">
        <f>IF($I5=Year_Open_to_Traffic?,Calculations!$E$50,Calculations!O4+(Calculations!O4*Calculations!$L5*N5))</f>
        <v>0</v>
      </c>
      <c r="P5" s="155">
        <f t="shared" si="0"/>
        <v>0</v>
      </c>
      <c r="Q5" s="158">
        <f>IF(I5=Year_Open_to_Traffic?,$E$51,Calculations!Q4+(Calculations!Q4*Calculations!$L5*R5))</f>
        <v>0</v>
      </c>
      <c r="R5" s="155">
        <f t="shared" si="1"/>
        <v>0</v>
      </c>
      <c r="S5" s="158">
        <f>IF($I5=Year_Open_to_Traffic?,$E$52,Calculations!S4+(Calculations!S4*Calculations!$L5*T5))</f>
        <v>0</v>
      </c>
      <c r="T5" s="155">
        <f t="shared" si="2"/>
        <v>0</v>
      </c>
      <c r="U5" s="158">
        <f>IF($I5=Year_Open_to_Traffic?,$E$53,Calculations!U4+(Calculations!U4*Calculations!$L5*V5))</f>
        <v>0</v>
      </c>
      <c r="V5" s="155">
        <f t="shared" si="3"/>
        <v>0</v>
      </c>
      <c r="W5" s="158">
        <f t="shared" ref="W5:W36" si="8">((O5*P5)+(Q5*R5)+(S5*T5)+(U5*V5))/10^3</f>
        <v>0</v>
      </c>
      <c r="X5" s="159">
        <f>W5/(1+Real_Discount_Rate)^(Calculations!I5-'Assumed Values'!$C$5)</f>
        <v>0</v>
      </c>
      <c r="Y5"/>
    </row>
    <row r="6" spans="1:25" ht="29" x14ac:dyDescent="0.35">
      <c r="A6" s="151" t="s">
        <v>384</v>
      </c>
      <c r="B6" s="151">
        <f>Service_Life2</f>
        <v>0</v>
      </c>
      <c r="C6" s="147"/>
      <c r="D6" s="75" t="s">
        <v>243</v>
      </c>
      <c r="E6" s="152">
        <f>E5*B9</f>
        <v>1784339.0000000002</v>
      </c>
      <c r="F6" s="152">
        <f>$F$5*$B$9</f>
        <v>2138101.6455372837</v>
      </c>
      <c r="G6" s="74"/>
      <c r="H6" s="153"/>
      <c r="I6" s="154">
        <f t="shared" si="4"/>
        <v>2023</v>
      </c>
      <c r="J6" s="161">
        <f t="shared" ref="J6:J36" si="9">J5+J5*L6</f>
        <v>25445.458515869999</v>
      </c>
      <c r="K6" s="161">
        <f t="shared" ref="K6:K36" si="10">K5+K5*L6</f>
        <v>8.3280967199999996</v>
      </c>
      <c r="L6" s="162">
        <f t="shared" si="5"/>
        <v>2.0299999999999999E-2</v>
      </c>
      <c r="M6" s="163">
        <f t="shared" si="6"/>
        <v>1</v>
      </c>
      <c r="N6" s="164">
        <f t="shared" si="7"/>
        <v>1</v>
      </c>
      <c r="O6" s="158">
        <f>IF(I6=Year_Open_to_Traffic?,Calculations!$E$50,Calculations!O5+(Calculations!O5*Calculations!$L6*N6))</f>
        <v>0</v>
      </c>
      <c r="P6" s="155">
        <f t="shared" si="0"/>
        <v>0</v>
      </c>
      <c r="Q6" s="158">
        <f>IF(I6=Year_Open_to_Traffic?,$E$51,Calculations!Q5+(Calculations!Q5*Calculations!$L6*R6))</f>
        <v>0</v>
      </c>
      <c r="R6" s="155">
        <f t="shared" si="1"/>
        <v>0</v>
      </c>
      <c r="S6" s="158">
        <f>IF($I6=Year_Open_to_Traffic?,$E$52,Calculations!S5+(Calculations!S5*Calculations!$L6*T6))</f>
        <v>0</v>
      </c>
      <c r="T6" s="155">
        <f t="shared" si="2"/>
        <v>0</v>
      </c>
      <c r="U6" s="158">
        <f>IF($I6=Year_Open_to_Traffic?,$E$53,Calculations!U5+(Calculations!U5*Calculations!$L6*V6))</f>
        <v>0</v>
      </c>
      <c r="V6" s="155">
        <f t="shared" si="3"/>
        <v>0</v>
      </c>
      <c r="W6" s="158">
        <f t="shared" si="8"/>
        <v>0</v>
      </c>
      <c r="X6" s="159">
        <f>W6/(1+Real_Discount_Rate)^(Calculations!I6-'Assumed Values'!$C$5)</f>
        <v>0</v>
      </c>
      <c r="Y6"/>
    </row>
    <row r="7" spans="1:25" ht="29" x14ac:dyDescent="0.35">
      <c r="A7" s="151" t="s">
        <v>385</v>
      </c>
      <c r="B7" s="151">
        <f>Service_Life3</f>
        <v>0</v>
      </c>
      <c r="C7" s="147"/>
      <c r="D7" s="147"/>
      <c r="E7" s="147"/>
      <c r="F7" s="147"/>
      <c r="G7" s="74"/>
      <c r="H7" s="153"/>
      <c r="I7" s="160">
        <f t="shared" si="4"/>
        <v>2024</v>
      </c>
      <c r="J7" s="161">
        <f t="shared" si="9"/>
        <v>25962.001323742159</v>
      </c>
      <c r="K7" s="161">
        <f t="shared" si="10"/>
        <v>8.4971570834159991</v>
      </c>
      <c r="L7" s="162">
        <f t="shared" si="5"/>
        <v>2.0299999999999999E-2</v>
      </c>
      <c r="M7" s="163">
        <f t="shared" si="6"/>
        <v>1</v>
      </c>
      <c r="N7" s="164">
        <f t="shared" si="7"/>
        <v>1</v>
      </c>
      <c r="O7" s="158">
        <f>IF(I7=Year_Open_to_Traffic?,Calculations!$E$50,Calculations!O6+(Calculations!O6*Calculations!$L7*N7))</f>
        <v>0</v>
      </c>
      <c r="P7" s="155">
        <f t="shared" si="0"/>
        <v>0</v>
      </c>
      <c r="Q7" s="158">
        <f>IF(I7=Year_Open_to_Traffic?,$E$51,Calculations!Q6+(Calculations!Q6*Calculations!$L7*R7))</f>
        <v>0</v>
      </c>
      <c r="R7" s="155">
        <f t="shared" si="1"/>
        <v>0</v>
      </c>
      <c r="S7" s="158">
        <f>IF($I7=Year_Open_to_Traffic?,$E$52,Calculations!S6+(Calculations!S6*Calculations!$L7*T7))</f>
        <v>0</v>
      </c>
      <c r="T7" s="155">
        <f t="shared" si="2"/>
        <v>0</v>
      </c>
      <c r="U7" s="158">
        <f>IF($I7=Year_Open_to_Traffic?,$E$53,Calculations!U6+(Calculations!U6*Calculations!$L7*V7))</f>
        <v>0</v>
      </c>
      <c r="V7" s="155">
        <f t="shared" si="3"/>
        <v>0</v>
      </c>
      <c r="W7" s="158">
        <f t="shared" si="8"/>
        <v>0</v>
      </c>
      <c r="X7" s="159">
        <f>W7/(1+Real_Discount_Rate)^(Calculations!I7-'Assumed Values'!$C$5)</f>
        <v>0</v>
      </c>
      <c r="Y7"/>
    </row>
    <row r="8" spans="1:25" ht="30" customHeight="1" x14ac:dyDescent="0.35">
      <c r="A8" s="151" t="s">
        <v>403</v>
      </c>
      <c r="B8" s="151">
        <f>'Inputs &amp; Outputs'!$C$36</f>
        <v>10</v>
      </c>
      <c r="C8" s="147"/>
      <c r="D8" s="212"/>
      <c r="E8" s="208" t="s">
        <v>344</v>
      </c>
      <c r="F8" s="209" t="s">
        <v>341</v>
      </c>
      <c r="G8" s="74"/>
      <c r="H8" s="153"/>
      <c r="I8" s="154">
        <f t="shared" si="4"/>
        <v>2025</v>
      </c>
      <c r="J8" s="161">
        <f t="shared" si="9"/>
        <v>26489.029950614124</v>
      </c>
      <c r="K8" s="161">
        <f t="shared" si="10"/>
        <v>8.669649372209344</v>
      </c>
      <c r="L8" s="162">
        <f t="shared" si="5"/>
        <v>2.0299999999999999E-2</v>
      </c>
      <c r="M8" s="163">
        <f t="shared" si="6"/>
        <v>1</v>
      </c>
      <c r="N8" s="164">
        <f t="shared" si="7"/>
        <v>1</v>
      </c>
      <c r="O8" s="158">
        <f>IF(I8=Year_Open_to_Traffic?,Calculations!$E$50,Calculations!O7+(Calculations!O7*Calculations!$L8*N8))</f>
        <v>0</v>
      </c>
      <c r="P8" s="155">
        <f t="shared" si="0"/>
        <v>0</v>
      </c>
      <c r="Q8" s="158">
        <f>IF(I8=Year_Open_to_Traffic?,$E$51,Calculations!Q7+(Calculations!Q7*Calculations!$L8*R8))</f>
        <v>0</v>
      </c>
      <c r="R8" s="155">
        <f t="shared" si="1"/>
        <v>0</v>
      </c>
      <c r="S8" s="158">
        <f>IF($I8=Year_Open_to_Traffic?,$E$52,Calculations!S7+(Calculations!S7*Calculations!$L8*T8))</f>
        <v>0</v>
      </c>
      <c r="T8" s="155">
        <f t="shared" si="2"/>
        <v>0</v>
      </c>
      <c r="U8" s="158">
        <f>IF($I8=Year_Open_to_Traffic?,$E$53,Calculations!U7+(Calculations!U7*Calculations!$L8*V8))</f>
        <v>0</v>
      </c>
      <c r="V8" s="155">
        <f t="shared" si="3"/>
        <v>0</v>
      </c>
      <c r="W8" s="158">
        <f t="shared" si="8"/>
        <v>0</v>
      </c>
      <c r="X8" s="159">
        <f>W8/(1+Real_Discount_Rate)^(Calculations!I8-'Assumed Values'!$C$5)</f>
        <v>0</v>
      </c>
      <c r="Y8"/>
    </row>
    <row r="9" spans="1:25" ht="29" x14ac:dyDescent="0.35">
      <c r="A9" s="165" t="s">
        <v>245</v>
      </c>
      <c r="B9" s="151">
        <v>365</v>
      </c>
      <c r="C9" s="147"/>
      <c r="D9" s="212"/>
      <c r="E9" s="208"/>
      <c r="F9" s="210"/>
      <c r="G9" s="74"/>
      <c r="H9" s="153"/>
      <c r="I9" s="160">
        <f t="shared" si="4"/>
        <v>2026</v>
      </c>
      <c r="J9" s="161">
        <f t="shared" si="9"/>
        <v>27026.757258611589</v>
      </c>
      <c r="K9" s="161">
        <f t="shared" si="10"/>
        <v>8.8456432544651928</v>
      </c>
      <c r="L9" s="162">
        <f t="shared" si="5"/>
        <v>2.0299999999999999E-2</v>
      </c>
      <c r="M9" s="163">
        <f t="shared" si="6"/>
        <v>1</v>
      </c>
      <c r="N9" s="164">
        <f t="shared" si="7"/>
        <v>1</v>
      </c>
      <c r="O9" s="158">
        <f>IF(I9=Year_Open_to_Traffic?,Calculations!$E$50,Calculations!O8+(Calculations!O8*Calculations!$L9*N9))</f>
        <v>0</v>
      </c>
      <c r="P9" s="155">
        <f t="shared" si="0"/>
        <v>0</v>
      </c>
      <c r="Q9" s="158">
        <f>IF(I9=Year_Open_to_Traffic?,$E$51,Calculations!Q8+(Calculations!Q8*Calculations!$L9*R9))</f>
        <v>0</v>
      </c>
      <c r="R9" s="155">
        <f t="shared" si="1"/>
        <v>0</v>
      </c>
      <c r="S9" s="158">
        <f>IF($I9=Year_Open_to_Traffic?,$E$52,Calculations!S8+(Calculations!S8*Calculations!$L9*T9))</f>
        <v>0</v>
      </c>
      <c r="T9" s="155">
        <f t="shared" si="2"/>
        <v>0</v>
      </c>
      <c r="U9" s="158">
        <f>IF($I9=Year_Open_to_Traffic?,$E$53,Calculations!U8+(Calculations!U8*Calculations!$L9*V9))</f>
        <v>0</v>
      </c>
      <c r="V9" s="155">
        <f t="shared" si="3"/>
        <v>0</v>
      </c>
      <c r="W9" s="158">
        <f t="shared" si="8"/>
        <v>0</v>
      </c>
      <c r="X9" s="159">
        <f>W9/(1+Real_Discount_Rate)^(Calculations!I9-'Assumed Values'!$C$5)</f>
        <v>0</v>
      </c>
      <c r="Y9"/>
    </row>
    <row r="10" spans="1:25" ht="15.5" x14ac:dyDescent="0.35">
      <c r="A10" s="147"/>
      <c r="B10" s="147"/>
      <c r="C10" s="147"/>
      <c r="D10" s="212"/>
      <c r="E10" s="208"/>
      <c r="F10" s="211"/>
      <c r="G10" s="74"/>
      <c r="H10" s="153"/>
      <c r="I10" s="154">
        <f t="shared" si="4"/>
        <v>2027</v>
      </c>
      <c r="J10" s="161">
        <f t="shared" si="9"/>
        <v>27575.400430961403</v>
      </c>
      <c r="K10" s="161">
        <f t="shared" si="10"/>
        <v>9.0252098125308358</v>
      </c>
      <c r="L10" s="162">
        <f t="shared" si="5"/>
        <v>2.0299999999999999E-2</v>
      </c>
      <c r="M10" s="163">
        <f t="shared" si="6"/>
        <v>1</v>
      </c>
      <c r="N10" s="164">
        <f t="shared" si="7"/>
        <v>1</v>
      </c>
      <c r="O10" s="158">
        <f>IF(I10=Year_Open_to_Traffic?,Calculations!$E$50,Calculations!O9+(Calculations!O9*Calculations!$L10*N10))</f>
        <v>0</v>
      </c>
      <c r="P10" s="155">
        <f t="shared" si="0"/>
        <v>0</v>
      </c>
      <c r="Q10" s="158">
        <f>IF(I10=Year_Open_to_Traffic?,$E$51,Calculations!Q9+(Calculations!Q9*Calculations!$L10*R10))</f>
        <v>0</v>
      </c>
      <c r="R10" s="155">
        <f t="shared" si="1"/>
        <v>0</v>
      </c>
      <c r="S10" s="158">
        <f>IF($I10=Year_Open_to_Traffic?,$E$52,Calculations!S9+(Calculations!S9*Calculations!$L10*T10))</f>
        <v>0</v>
      </c>
      <c r="T10" s="155">
        <f t="shared" si="2"/>
        <v>0</v>
      </c>
      <c r="U10" s="158">
        <f>IF($I10=Year_Open_to_Traffic?,$E$53,Calculations!U9+(Calculations!U9*Calculations!$L10*V10))</f>
        <v>0</v>
      </c>
      <c r="V10" s="155">
        <f t="shared" si="3"/>
        <v>0</v>
      </c>
      <c r="W10" s="158">
        <f t="shared" si="8"/>
        <v>0</v>
      </c>
      <c r="X10" s="159">
        <f>W10/(1+Real_Discount_Rate)^(Calculations!I10-'Assumed Values'!$C$5)</f>
        <v>0</v>
      </c>
      <c r="Y10"/>
    </row>
    <row r="11" spans="1:25" ht="15.5" x14ac:dyDescent="0.35">
      <c r="A11" s="213" t="s">
        <v>404</v>
      </c>
      <c r="B11" s="213"/>
      <c r="C11" s="147"/>
      <c r="D11" s="166" t="s">
        <v>148</v>
      </c>
      <c r="E11" s="167">
        <f>VLOOKUP('Inputs &amp; Outputs'!$C$19,'Preventable Crash data'!$B$11:$F$16,2,FALSE)</f>
        <v>0</v>
      </c>
      <c r="F11" s="167">
        <f>E11*Appropriate_Crash_Reduction_Factor1</f>
        <v>0</v>
      </c>
      <c r="G11" s="74"/>
      <c r="H11" s="153"/>
      <c r="I11" s="160">
        <f t="shared" si="4"/>
        <v>2028</v>
      </c>
      <c r="J11" s="161">
        <f t="shared" si="9"/>
        <v>28135.181059709917</v>
      </c>
      <c r="K11" s="161">
        <f t="shared" si="10"/>
        <v>9.2084215717252125</v>
      </c>
      <c r="L11" s="162">
        <f t="shared" si="5"/>
        <v>2.0299999999999999E-2</v>
      </c>
      <c r="M11" s="163">
        <f t="shared" si="6"/>
        <v>1</v>
      </c>
      <c r="N11" s="164">
        <f t="shared" si="7"/>
        <v>1</v>
      </c>
      <c r="O11" s="158">
        <f>IF(I11=Year_Open_to_Traffic?,Calculations!$E$50,Calculations!O10+(Calculations!O10*Calculations!$L11*N11))</f>
        <v>0</v>
      </c>
      <c r="P11" s="155">
        <f t="shared" si="0"/>
        <v>0</v>
      </c>
      <c r="Q11" s="158">
        <f>IF(I11=Year_Open_to_Traffic?,$E$51,Calculations!Q10+(Calculations!Q10*Calculations!$L11*R11))</f>
        <v>0</v>
      </c>
      <c r="R11" s="155">
        <f t="shared" si="1"/>
        <v>0</v>
      </c>
      <c r="S11" s="158">
        <f>IF($I11=Year_Open_to_Traffic?,$E$52,Calculations!S10+(Calculations!S10*Calculations!$L11*T11))</f>
        <v>0</v>
      </c>
      <c r="T11" s="155">
        <f t="shared" si="2"/>
        <v>0</v>
      </c>
      <c r="U11" s="158">
        <f>IF($I11=Year_Open_to_Traffic?,$E$53,Calculations!U10+(Calculations!U10*Calculations!$L11*V11))</f>
        <v>0</v>
      </c>
      <c r="V11" s="155">
        <f t="shared" si="3"/>
        <v>0</v>
      </c>
      <c r="W11" s="158">
        <f t="shared" si="8"/>
        <v>0</v>
      </c>
      <c r="X11" s="159">
        <f>W11/(1+Real_Discount_Rate)^(Calculations!I11-'Assumed Values'!$C$5)</f>
        <v>0</v>
      </c>
      <c r="Y11"/>
    </row>
    <row r="12" spans="1:25" ht="15.5" x14ac:dyDescent="0.35">
      <c r="A12" s="151" t="s">
        <v>267</v>
      </c>
      <c r="B12" s="168">
        <f>IF('Growth Rates'!$C$16&lt;&gt;0,'Growth Rates'!$C$16,VLOOKUP('Inputs &amp; Outputs'!$C$6,'Growth Rates'!#REF!,2,FALSE))</f>
        <v>2.0299999999999999E-2</v>
      </c>
      <c r="C12" s="147"/>
      <c r="D12" s="166" t="s">
        <v>210</v>
      </c>
      <c r="E12" s="167">
        <f>VLOOKUP('Inputs &amp; Outputs'!$C$19,'Preventable Crash data'!$B$11:$F$16,3,FALSE)</f>
        <v>0</v>
      </c>
      <c r="F12" s="167">
        <f>E12*Appropriate_Crash_Reduction_Factor1</f>
        <v>0</v>
      </c>
      <c r="G12" s="74"/>
      <c r="H12" s="153"/>
      <c r="I12" s="154">
        <f t="shared" si="4"/>
        <v>2029</v>
      </c>
      <c r="J12" s="161">
        <f t="shared" si="9"/>
        <v>28706.32523522203</v>
      </c>
      <c r="K12" s="161">
        <f t="shared" si="10"/>
        <v>9.3953525296312339</v>
      </c>
      <c r="L12" s="162">
        <f t="shared" si="5"/>
        <v>2.0299999999999999E-2</v>
      </c>
      <c r="M12" s="163">
        <f t="shared" ref="M12:M36" si="11">M11*(1+IFERROR(_2030_2045_V_C_Growth,_2021_2045_V_C_Growth))</f>
        <v>1</v>
      </c>
      <c r="N12" s="164">
        <f t="shared" si="7"/>
        <v>1</v>
      </c>
      <c r="O12" s="158">
        <f>IF(I12=Year_Open_to_Traffic?,Calculations!$E$50,Calculations!O11+(Calculations!O11*Calculations!$L12*N12))</f>
        <v>0</v>
      </c>
      <c r="P12" s="155">
        <f t="shared" si="0"/>
        <v>0</v>
      </c>
      <c r="Q12" s="158">
        <f>IF(I12=Year_Open_to_Traffic?,$E$51,Calculations!Q11+(Calculations!Q11*Calculations!$L12*R12))</f>
        <v>0</v>
      </c>
      <c r="R12" s="155">
        <f t="shared" si="1"/>
        <v>0</v>
      </c>
      <c r="S12" s="158">
        <f>IF($I12=Year_Open_to_Traffic?,$E$52,Calculations!S11+(Calculations!S11*Calculations!$L12*T12))</f>
        <v>0</v>
      </c>
      <c r="T12" s="155">
        <f t="shared" si="2"/>
        <v>0</v>
      </c>
      <c r="U12" s="158">
        <f>IF($I12=Year_Open_to_Traffic?,$E$53,Calculations!U11+(Calculations!U11*Calculations!$L12*V12))</f>
        <v>0</v>
      </c>
      <c r="V12" s="155">
        <f t="shared" si="3"/>
        <v>0</v>
      </c>
      <c r="W12" s="158">
        <f t="shared" si="8"/>
        <v>0</v>
      </c>
      <c r="X12" s="159">
        <f>W12/(1+Real_Discount_Rate)^(Calculations!I12-'Assumed Values'!$C$5)</f>
        <v>0</v>
      </c>
      <c r="Y12"/>
    </row>
    <row r="13" spans="1:25" ht="39.65" customHeight="1" x14ac:dyDescent="0.35">
      <c r="A13" s="151" t="s">
        <v>178</v>
      </c>
      <c r="B13" s="168">
        <f>IF('Growth Rates'!$C$16&lt;&gt;0,'Growth Rates'!$C$16,VLOOKUP('Inputs &amp; Outputs'!$C$6,'Growth Rates'!B1:D8,3,FALSE))</f>
        <v>2.0299999999999999E-2</v>
      </c>
      <c r="C13" s="147"/>
      <c r="D13" s="166" t="s">
        <v>211</v>
      </c>
      <c r="E13" s="167">
        <f>VLOOKUP('Inputs &amp; Outputs'!$C$19,'Preventable Crash data'!$B$11:$F$16,4,FALSE)</f>
        <v>0</v>
      </c>
      <c r="F13" s="167">
        <f>E13*Appropriate_Crash_Reduction_Factor1</f>
        <v>0</v>
      </c>
      <c r="G13" s="74"/>
      <c r="H13" s="153"/>
      <c r="I13" s="160">
        <f t="shared" si="4"/>
        <v>2030</v>
      </c>
      <c r="J13" s="161">
        <f t="shared" si="9"/>
        <v>29289.063637497038</v>
      </c>
      <c r="K13" s="161">
        <f t="shared" si="10"/>
        <v>9.586078185982748</v>
      </c>
      <c r="L13" s="162">
        <f t="shared" ref="L13:L33" si="12">_2030_2045_Demand_Growth</f>
        <v>2.0299999999999999E-2</v>
      </c>
      <c r="M13" s="163">
        <f t="shared" si="11"/>
        <v>1</v>
      </c>
      <c r="N13" s="164">
        <f t="shared" si="7"/>
        <v>1</v>
      </c>
      <c r="O13" s="158">
        <f>IF(I13=Year_Open_to_Traffic?,Calculations!$E$50,Calculations!O12+(Calculations!O12*Calculations!$L13*N13))</f>
        <v>0</v>
      </c>
      <c r="P13" s="155">
        <f t="shared" si="0"/>
        <v>1</v>
      </c>
      <c r="Q13" s="158">
        <f>IF(I13=Year_Open_to_Traffic?,$E$51,Calculations!Q12+(Calculations!Q12*Calculations!$L13*R13))</f>
        <v>0</v>
      </c>
      <c r="R13" s="155">
        <f t="shared" si="1"/>
        <v>0</v>
      </c>
      <c r="S13" s="158">
        <f>IF($I13=Year_Open_to_Traffic?,$E$52,Calculations!S12+(Calculations!S12*Calculations!$L13*T13))</f>
        <v>0</v>
      </c>
      <c r="T13" s="155">
        <f t="shared" si="2"/>
        <v>0</v>
      </c>
      <c r="U13" s="158">
        <f>IF($I13=Year_Open_to_Traffic?,$E$53,Calculations!U12+(Calculations!U12*Calculations!$L13*V13))</f>
        <v>0</v>
      </c>
      <c r="V13" s="155">
        <f t="shared" si="3"/>
        <v>1</v>
      </c>
      <c r="W13" s="158">
        <f t="shared" si="8"/>
        <v>0</v>
      </c>
      <c r="X13" s="159">
        <f>W13/(1+Real_Discount_Rate)^(Calculations!I13-'Assumed Values'!$C$5)</f>
        <v>0</v>
      </c>
      <c r="Y13"/>
    </row>
    <row r="14" spans="1:25" ht="15.5" x14ac:dyDescent="0.35">
      <c r="A14" s="147"/>
      <c r="B14" s="169"/>
      <c r="C14" s="147"/>
      <c r="D14" s="166" t="s">
        <v>212</v>
      </c>
      <c r="E14" s="167">
        <f>VLOOKUP('Inputs &amp; Outputs'!$C$19,'Preventable Crash data'!$B$11:$F$16,5,FALSE)</f>
        <v>0</v>
      </c>
      <c r="F14" s="167">
        <f>Calculations!E14*Appropriate_Crash_Reduction_Factor1</f>
        <v>0</v>
      </c>
      <c r="G14" s="74"/>
      <c r="H14" s="153"/>
      <c r="I14" s="154">
        <f>I13+1</f>
        <v>2031</v>
      </c>
      <c r="J14" s="161">
        <f t="shared" si="9"/>
        <v>29883.63162933823</v>
      </c>
      <c r="K14" s="161">
        <f t="shared" si="10"/>
        <v>9.7806755731581969</v>
      </c>
      <c r="L14" s="162">
        <f t="shared" si="12"/>
        <v>2.0299999999999999E-2</v>
      </c>
      <c r="M14" s="163">
        <f>M13*(1+IFERROR(_2030_2045_V_C_Growth,_2021_2045_V_C_Growth))</f>
        <v>1</v>
      </c>
      <c r="N14" s="164">
        <f t="shared" si="7"/>
        <v>1</v>
      </c>
      <c r="O14" s="158">
        <f>IF(I14=Year_Open_to_Traffic?,Calculations!$E$50,Calculations!O13+(Calculations!O13*Calculations!$L14*N14))</f>
        <v>0</v>
      </c>
      <c r="P14" s="155">
        <f t="shared" si="0"/>
        <v>1</v>
      </c>
      <c r="Q14" s="158">
        <f>IF(I14=Year_Open_to_Traffic?,$E$51,Calculations!Q13+(Calculations!Q13*Calculations!$L14*R14))</f>
        <v>0</v>
      </c>
      <c r="R14" s="155">
        <f t="shared" si="1"/>
        <v>0</v>
      </c>
      <c r="S14" s="158">
        <f>IF($I14=Year_Open_to_Traffic?,$E$52,Calculations!S13+(Calculations!S13*Calculations!$L14*T14))</f>
        <v>0</v>
      </c>
      <c r="T14" s="155">
        <f t="shared" si="2"/>
        <v>0</v>
      </c>
      <c r="U14" s="158">
        <f>IF($I14=Year_Open_to_Traffic?,$E$53,Calculations!U13+(Calculations!U13*Calculations!$L14*V14))</f>
        <v>0</v>
      </c>
      <c r="V14" s="155">
        <f t="shared" si="3"/>
        <v>1</v>
      </c>
      <c r="W14" s="158">
        <f t="shared" si="8"/>
        <v>0</v>
      </c>
      <c r="X14" s="159">
        <f>W14/(1+Real_Discount_Rate)^(Calculations!I14-'Assumed Values'!$C$5)</f>
        <v>0</v>
      </c>
      <c r="Y14"/>
    </row>
    <row r="15" spans="1:25" ht="15.5" x14ac:dyDescent="0.35">
      <c r="A15" s="147"/>
      <c r="B15" s="170"/>
      <c r="C15" s="147"/>
      <c r="D15" s="147"/>
      <c r="E15" s="147"/>
      <c r="F15" s="147"/>
      <c r="G15" s="74"/>
      <c r="H15" s="153"/>
      <c r="I15" s="160">
        <f>I14+1</f>
        <v>2032</v>
      </c>
      <c r="J15" s="161">
        <f t="shared" si="9"/>
        <v>30490.269351413797</v>
      </c>
      <c r="K15" s="161">
        <f t="shared" si="10"/>
        <v>9.9792232872933084</v>
      </c>
      <c r="L15" s="162">
        <f t="shared" si="12"/>
        <v>2.0299999999999999E-2</v>
      </c>
      <c r="M15" s="163">
        <f>M14*(1+IFERROR(_2030_2045_V_C_Growth,_2021_2045_V_C_Growth))</f>
        <v>1</v>
      </c>
      <c r="N15" s="164">
        <f t="shared" si="7"/>
        <v>1</v>
      </c>
      <c r="O15" s="158">
        <f>IF(I15=Year_Open_to_Traffic?,Calculations!$E$50,Calculations!O14+(Calculations!O14*Calculations!$L15*N15))</f>
        <v>0</v>
      </c>
      <c r="P15" s="155">
        <f t="shared" si="0"/>
        <v>1</v>
      </c>
      <c r="Q15" s="158">
        <f>IF(I15=Year_Open_to_Traffic?,$E$51,Calculations!Q14+(Calculations!Q14*Calculations!$L15*R15))</f>
        <v>0</v>
      </c>
      <c r="R15" s="155">
        <f t="shared" si="1"/>
        <v>0</v>
      </c>
      <c r="S15" s="158">
        <f>IF($I15=Year_Open_to_Traffic?,$E$52,Calculations!S14+(Calculations!S14*Calculations!$L15*T15))</f>
        <v>0</v>
      </c>
      <c r="T15" s="155">
        <f t="shared" si="2"/>
        <v>0</v>
      </c>
      <c r="U15" s="158">
        <f>IF($I15=Year_Open_to_Traffic?,$E$53,Calculations!U14+(Calculations!U14*Calculations!$L15*V15))</f>
        <v>0</v>
      </c>
      <c r="V15" s="155">
        <f t="shared" si="3"/>
        <v>1</v>
      </c>
      <c r="W15" s="158">
        <f t="shared" si="8"/>
        <v>0</v>
      </c>
      <c r="X15" s="159">
        <f>W15/(1+Real_Discount_Rate)^(Calculations!I15-'Assumed Values'!$C$5)</f>
        <v>0</v>
      </c>
      <c r="Y15"/>
    </row>
    <row r="16" spans="1:25" ht="15.5" x14ac:dyDescent="0.35">
      <c r="A16" s="147"/>
      <c r="B16" s="171"/>
      <c r="C16" s="147"/>
      <c r="D16" s="172"/>
      <c r="E16" s="173"/>
      <c r="F16" s="172"/>
      <c r="G16" s="74"/>
      <c r="H16" s="153"/>
      <c r="I16" s="154">
        <f t="shared" si="4"/>
        <v>2033</v>
      </c>
      <c r="J16" s="161">
        <f t="shared" si="9"/>
        <v>31109.221819247497</v>
      </c>
      <c r="K16" s="161">
        <f t="shared" si="10"/>
        <v>10.181801520025363</v>
      </c>
      <c r="L16" s="162">
        <f t="shared" si="12"/>
        <v>2.0299999999999999E-2</v>
      </c>
      <c r="M16" s="163">
        <f t="shared" si="11"/>
        <v>1</v>
      </c>
      <c r="N16" s="164">
        <f t="shared" si="7"/>
        <v>1</v>
      </c>
      <c r="O16" s="158">
        <f>IF(I16=Year_Open_to_Traffic?,Calculations!$E$50,Calculations!O15+(Calculations!O15*Calculations!$L16*N16))</f>
        <v>0</v>
      </c>
      <c r="P16" s="155">
        <f t="shared" si="0"/>
        <v>1</v>
      </c>
      <c r="Q16" s="158">
        <f>IF(I16=Year_Open_to_Traffic?,$E$51,Calculations!Q15+(Calculations!Q15*Calculations!$L16*R16))</f>
        <v>0</v>
      </c>
      <c r="R16" s="155">
        <f t="shared" si="1"/>
        <v>0</v>
      </c>
      <c r="S16" s="158">
        <f>IF($I16=Year_Open_to_Traffic?,$E$52,Calculations!S15+(Calculations!S15*Calculations!$L16*T16))</f>
        <v>0</v>
      </c>
      <c r="T16" s="155">
        <f t="shared" si="2"/>
        <v>0</v>
      </c>
      <c r="U16" s="158">
        <f>IF($I16=Year_Open_to_Traffic?,$E$53,Calculations!U15+(Calculations!U15*Calculations!$L16*V16))</f>
        <v>0</v>
      </c>
      <c r="V16" s="155">
        <f t="shared" si="3"/>
        <v>1</v>
      </c>
      <c r="W16" s="158">
        <f t="shared" si="8"/>
        <v>0</v>
      </c>
      <c r="X16" s="159">
        <f>W16/(1+Real_Discount_Rate)^(Calculations!I16-'Assumed Values'!$C$5)</f>
        <v>0</v>
      </c>
      <c r="Y16"/>
    </row>
    <row r="17" spans="1:25" ht="15.5" x14ac:dyDescent="0.35">
      <c r="A17" s="147"/>
      <c r="B17" s="170"/>
      <c r="C17" s="147"/>
      <c r="D17" s="147"/>
      <c r="E17" s="174"/>
      <c r="F17" s="174"/>
      <c r="G17" s="74"/>
      <c r="H17" s="153"/>
      <c r="I17" s="160">
        <f t="shared" si="4"/>
        <v>2034</v>
      </c>
      <c r="J17" s="161">
        <f t="shared" si="9"/>
        <v>31740.739022178223</v>
      </c>
      <c r="K17" s="161">
        <f t="shared" si="10"/>
        <v>10.388492090881877</v>
      </c>
      <c r="L17" s="162">
        <f t="shared" si="12"/>
        <v>2.0299999999999999E-2</v>
      </c>
      <c r="M17" s="163">
        <f t="shared" si="11"/>
        <v>1</v>
      </c>
      <c r="N17" s="164">
        <f t="shared" si="7"/>
        <v>1</v>
      </c>
      <c r="O17" s="158">
        <f>IF(I17=Year_Open_to_Traffic?,Calculations!$E$50,Calculations!O16+(Calculations!O16*Calculations!$L17*N17))</f>
        <v>0</v>
      </c>
      <c r="P17" s="155">
        <f t="shared" si="0"/>
        <v>1</v>
      </c>
      <c r="Q17" s="158">
        <f>IF(I17=Year_Open_to_Traffic?,$E$51,Calculations!Q16+(Calculations!Q16*Calculations!$L17*R17))</f>
        <v>0</v>
      </c>
      <c r="R17" s="155">
        <f t="shared" si="1"/>
        <v>0</v>
      </c>
      <c r="S17" s="158">
        <f>IF($I17=Year_Open_to_Traffic?,$E$52,Calculations!S16+(Calculations!S16*Calculations!$L17*T17))</f>
        <v>0</v>
      </c>
      <c r="T17" s="155">
        <f t="shared" si="2"/>
        <v>0</v>
      </c>
      <c r="U17" s="158">
        <f>IF($I17=Year_Open_to_Traffic?,$E$53,Calculations!U16+(Calculations!U16*Calculations!$L17*V17))</f>
        <v>0</v>
      </c>
      <c r="V17" s="155">
        <f t="shared" si="3"/>
        <v>1</v>
      </c>
      <c r="W17" s="158">
        <f t="shared" si="8"/>
        <v>0</v>
      </c>
      <c r="X17" s="159">
        <f>W17/(1+Real_Discount_Rate)^(Calculations!I17-'Assumed Values'!$C$5)</f>
        <v>0</v>
      </c>
      <c r="Y17"/>
    </row>
    <row r="18" spans="1:25" ht="15.5" x14ac:dyDescent="0.35">
      <c r="A18" s="147"/>
      <c r="B18" s="169"/>
      <c r="C18" s="147"/>
      <c r="D18" s="212"/>
      <c r="E18" s="208" t="s">
        <v>343</v>
      </c>
      <c r="F18" s="208" t="s">
        <v>345</v>
      </c>
      <c r="G18" s="74"/>
      <c r="H18" s="153"/>
      <c r="I18" s="154">
        <f t="shared" si="4"/>
        <v>2035</v>
      </c>
      <c r="J18" s="161">
        <f t="shared" si="9"/>
        <v>32385.076024328442</v>
      </c>
      <c r="K18" s="161">
        <f t="shared" si="10"/>
        <v>10.599378480326779</v>
      </c>
      <c r="L18" s="162">
        <f t="shared" si="12"/>
        <v>2.0299999999999999E-2</v>
      </c>
      <c r="M18" s="163">
        <f t="shared" si="11"/>
        <v>1</v>
      </c>
      <c r="N18" s="164">
        <f t="shared" si="7"/>
        <v>1</v>
      </c>
      <c r="O18" s="158">
        <f>IF(I18=Year_Open_to_Traffic?,Calculations!$E$50,Calculations!O17+(Calculations!O17*Calculations!$L18*N18))</f>
        <v>0</v>
      </c>
      <c r="P18" s="155">
        <f t="shared" si="0"/>
        <v>1</v>
      </c>
      <c r="Q18" s="158">
        <f>IF(I18=Year_Open_to_Traffic?,$E$51,Calculations!Q17+(Calculations!Q17*Calculations!$L18*R18))</f>
        <v>0</v>
      </c>
      <c r="R18" s="155">
        <f t="shared" si="1"/>
        <v>0</v>
      </c>
      <c r="S18" s="158">
        <f>IF($I18=Year_Open_to_Traffic?,$E$52,Calculations!S17+(Calculations!S17*Calculations!$L18*T18))</f>
        <v>0</v>
      </c>
      <c r="T18" s="155">
        <f t="shared" si="2"/>
        <v>0</v>
      </c>
      <c r="U18" s="158">
        <f>IF($I18=Year_Open_to_Traffic?,$E$53,Calculations!U17+(Calculations!U17*Calculations!$L18*V18))</f>
        <v>0</v>
      </c>
      <c r="V18" s="155">
        <f t="shared" si="3"/>
        <v>1</v>
      </c>
      <c r="W18" s="158">
        <f t="shared" si="8"/>
        <v>0</v>
      </c>
      <c r="X18" s="159">
        <f>W18/(1+Real_Discount_Rate)^(Calculations!I18-'Assumed Values'!$C$5)</f>
        <v>0</v>
      </c>
      <c r="Y18"/>
    </row>
    <row r="19" spans="1:25" ht="15.5" x14ac:dyDescent="0.35">
      <c r="A19" s="147"/>
      <c r="B19" s="169"/>
      <c r="C19" s="147"/>
      <c r="D19" s="212"/>
      <c r="E19" s="208"/>
      <c r="F19" s="208"/>
      <c r="G19" s="74"/>
      <c r="H19" s="153"/>
      <c r="I19" s="160">
        <f t="shared" si="4"/>
        <v>2036</v>
      </c>
      <c r="J19" s="161">
        <f t="shared" si="9"/>
        <v>33042.493067622308</v>
      </c>
      <c r="K19" s="161">
        <f t="shared" si="10"/>
        <v>10.814545863477413</v>
      </c>
      <c r="L19" s="162">
        <f t="shared" si="12"/>
        <v>2.0299999999999999E-2</v>
      </c>
      <c r="M19" s="163">
        <f t="shared" si="11"/>
        <v>1</v>
      </c>
      <c r="N19" s="164">
        <f t="shared" si="7"/>
        <v>1</v>
      </c>
      <c r="O19" s="158">
        <f>IF(I19=Year_Open_to_Traffic?,Calculations!$E$50,Calculations!O18+(Calculations!O18*Calculations!$L19*N19))</f>
        <v>0</v>
      </c>
      <c r="P19" s="155">
        <f t="shared" si="0"/>
        <v>1</v>
      </c>
      <c r="Q19" s="158">
        <f>IF(I19=Year_Open_to_Traffic?,$E$51,Calculations!Q18+(Calculations!Q18*Calculations!$L19*R19))</f>
        <v>0</v>
      </c>
      <c r="R19" s="155">
        <f t="shared" si="1"/>
        <v>0</v>
      </c>
      <c r="S19" s="158">
        <f>IF($I19=Year_Open_to_Traffic?,$E$52,Calculations!S18+(Calculations!S18*Calculations!$L19*T19))</f>
        <v>0</v>
      </c>
      <c r="T19" s="155">
        <f t="shared" si="2"/>
        <v>0</v>
      </c>
      <c r="U19" s="158">
        <f>IF($I19=Year_Open_to_Traffic?,$E$53,Calculations!U18+(Calculations!U18*Calculations!$L19*V19))</f>
        <v>0</v>
      </c>
      <c r="V19" s="155">
        <f t="shared" si="3"/>
        <v>1</v>
      </c>
      <c r="W19" s="158">
        <f t="shared" si="8"/>
        <v>0</v>
      </c>
      <c r="X19" s="159">
        <f>W19/(1+Real_Discount_Rate)^(Calculations!I19-'Assumed Values'!$C$5)</f>
        <v>0</v>
      </c>
      <c r="Y19"/>
    </row>
    <row r="20" spans="1:25" ht="15.5" x14ac:dyDescent="0.35">
      <c r="A20" s="147"/>
      <c r="B20" s="169"/>
      <c r="C20" s="147"/>
      <c r="D20" s="212"/>
      <c r="E20" s="208"/>
      <c r="F20" s="208"/>
      <c r="G20" s="74"/>
      <c r="H20" s="153"/>
      <c r="I20" s="154">
        <f t="shared" si="4"/>
        <v>2037</v>
      </c>
      <c r="J20" s="161">
        <f t="shared" si="9"/>
        <v>33713.255676895038</v>
      </c>
      <c r="K20" s="161">
        <f t="shared" si="10"/>
        <v>11.034081144506004</v>
      </c>
      <c r="L20" s="162">
        <f t="shared" si="12"/>
        <v>2.0299999999999999E-2</v>
      </c>
      <c r="M20" s="163">
        <f t="shared" si="11"/>
        <v>1</v>
      </c>
      <c r="N20" s="164">
        <f t="shared" si="7"/>
        <v>1</v>
      </c>
      <c r="O20" s="158">
        <f>IF(I20=Year_Open_to_Traffic?,Calculations!$E$50,Calculations!O19+(Calculations!O19*Calculations!$L20*N20))</f>
        <v>0</v>
      </c>
      <c r="P20" s="155">
        <f t="shared" si="0"/>
        <v>1</v>
      </c>
      <c r="Q20" s="158">
        <f>IF(I20=Year_Open_to_Traffic?,$E$51,Calculations!Q19+(Calculations!Q19*Calculations!$L20*R20))</f>
        <v>0</v>
      </c>
      <c r="R20" s="155">
        <f t="shared" si="1"/>
        <v>0</v>
      </c>
      <c r="S20" s="158">
        <f>IF($I20=Year_Open_to_Traffic?,$E$52,Calculations!S19+(Calculations!S19*Calculations!$L20*T20))</f>
        <v>0</v>
      </c>
      <c r="T20" s="155">
        <f t="shared" si="2"/>
        <v>0</v>
      </c>
      <c r="U20" s="158">
        <f>IF($I20=Year_Open_to_Traffic?,$E$53,Calculations!U19+(Calculations!U19*Calculations!$L20*V20))</f>
        <v>0</v>
      </c>
      <c r="V20" s="155">
        <f t="shared" si="3"/>
        <v>1</v>
      </c>
      <c r="W20" s="158">
        <f t="shared" si="8"/>
        <v>0</v>
      </c>
      <c r="X20" s="159">
        <f>W20/(1+Real_Discount_Rate)^(Calculations!I20-'Assumed Values'!$C$5)</f>
        <v>0</v>
      </c>
      <c r="Y20"/>
    </row>
    <row r="21" spans="1:25" ht="29" x14ac:dyDescent="0.35">
      <c r="A21" s="148" t="s">
        <v>213</v>
      </c>
      <c r="B21" s="148" t="s">
        <v>268</v>
      </c>
      <c r="C21" s="147"/>
      <c r="D21" s="166" t="s">
        <v>148</v>
      </c>
      <c r="E21" s="167">
        <f>IF('Inputs &amp; Outputs'!$C$24='Inputs &amp; Outputs'!$C$19,$E$11-$F$11,VLOOKUP('Inputs &amp; Outputs'!$C$24,'Preventable Crash data'!$B$11:$F$16,2,FALSE))</f>
        <v>0</v>
      </c>
      <c r="F21" s="167">
        <f>E21*Appropriate_Crash_Reduction_Factor2</f>
        <v>0</v>
      </c>
      <c r="G21" s="74"/>
      <c r="H21" s="153"/>
      <c r="I21" s="160">
        <f>I20+1</f>
        <v>2038</v>
      </c>
      <c r="J21" s="161">
        <f t="shared" si="9"/>
        <v>34397.634767136005</v>
      </c>
      <c r="K21" s="161">
        <f t="shared" si="10"/>
        <v>11.258072991739477</v>
      </c>
      <c r="L21" s="162">
        <f t="shared" si="12"/>
        <v>2.0299999999999999E-2</v>
      </c>
      <c r="M21" s="163">
        <f>M20*(1+IFERROR(_2030_2045_V_C_Growth,_2021_2045_V_C_Growth))</f>
        <v>1</v>
      </c>
      <c r="N21" s="164">
        <f t="shared" si="7"/>
        <v>1</v>
      </c>
      <c r="O21" s="158">
        <f>IF(I21=Year_Open_to_Traffic?,Calculations!$E$50,Calculations!O20+(Calculations!O20*Calculations!$L21*N21))</f>
        <v>0</v>
      </c>
      <c r="P21" s="155">
        <f t="shared" si="0"/>
        <v>1</v>
      </c>
      <c r="Q21" s="158">
        <f>IF(I21=Year_Open_to_Traffic?,$E$51,Calculations!Q20+(Calculations!Q20*Calculations!$L21*R21))</f>
        <v>0</v>
      </c>
      <c r="R21" s="155">
        <f t="shared" si="1"/>
        <v>0</v>
      </c>
      <c r="S21" s="158">
        <f>IF($I21=Year_Open_to_Traffic?,$E$52,Calculations!S20+(Calculations!S20*Calculations!$L21*T21))</f>
        <v>0</v>
      </c>
      <c r="T21" s="155">
        <f t="shared" si="2"/>
        <v>0</v>
      </c>
      <c r="U21" s="158">
        <f>IF($I21=Year_Open_to_Traffic?,$E$53,Calculations!U20+(Calculations!U20*Calculations!$L21*V21))</f>
        <v>0</v>
      </c>
      <c r="V21" s="155">
        <f t="shared" si="3"/>
        <v>1</v>
      </c>
      <c r="W21" s="158">
        <f t="shared" si="8"/>
        <v>0</v>
      </c>
      <c r="X21" s="159">
        <f>W21/(1+Real_Discount_Rate)^(Calculations!I21-'Assumed Values'!$C$5)</f>
        <v>0</v>
      </c>
      <c r="Y21"/>
    </row>
    <row r="22" spans="1:25" ht="15.5" x14ac:dyDescent="0.35">
      <c r="A22" s="142" t="s">
        <v>223</v>
      </c>
      <c r="B22" s="58">
        <f>'Value of Statistical Life'!E9</f>
        <v>11800000</v>
      </c>
      <c r="C22" s="147"/>
      <c r="D22" s="166" t="s">
        <v>210</v>
      </c>
      <c r="E22" s="167">
        <f>IF('Inputs &amp; Outputs'!$C$24='Inputs &amp; Outputs'!$C$19,$E$12-$F$12,VLOOKUP('Inputs &amp; Outputs'!$C$24,'Preventable Crash data'!$B$11:$F$16,3,FALSE))</f>
        <v>0</v>
      </c>
      <c r="F22" s="167">
        <f>E22*Appropriate_Crash_Reduction_Factor2</f>
        <v>0</v>
      </c>
      <c r="G22" s="74"/>
      <c r="H22" s="153"/>
      <c r="I22" s="154">
        <f>I21+1</f>
        <v>2039</v>
      </c>
      <c r="J22" s="161">
        <f t="shared" si="9"/>
        <v>35095.906752908864</v>
      </c>
      <c r="K22" s="161">
        <f t="shared" si="10"/>
        <v>11.486611873471787</v>
      </c>
      <c r="L22" s="162">
        <f t="shared" si="12"/>
        <v>2.0299999999999999E-2</v>
      </c>
      <c r="M22" s="163">
        <f t="shared" si="11"/>
        <v>1</v>
      </c>
      <c r="N22" s="164">
        <f t="shared" si="7"/>
        <v>1</v>
      </c>
      <c r="O22" s="158">
        <f>IF(I22=Year_Open_to_Traffic?,Calculations!$E$50,Calculations!O21+(Calculations!O21*Calculations!$L22*N22))</f>
        <v>0</v>
      </c>
      <c r="P22" s="155">
        <f t="shared" si="0"/>
        <v>1</v>
      </c>
      <c r="Q22" s="158">
        <f>IF(I22=Year_Open_to_Traffic?,$E$51,Calculations!Q21+(Calculations!Q21*Calculations!$L22*R22))</f>
        <v>0</v>
      </c>
      <c r="R22" s="155">
        <f t="shared" si="1"/>
        <v>0</v>
      </c>
      <c r="S22" s="158">
        <f>IF($I22=Year_Open_to_Traffic?,$E$52,Calculations!S21+(Calculations!S21*Calculations!$L22*T22))</f>
        <v>0</v>
      </c>
      <c r="T22" s="155">
        <f t="shared" si="2"/>
        <v>0</v>
      </c>
      <c r="U22" s="158">
        <f>IF($I22=Year_Open_to_Traffic?,$E$53,Calculations!U21+(Calculations!U21*Calculations!$L22*V22))</f>
        <v>0</v>
      </c>
      <c r="V22" s="155">
        <f t="shared" si="3"/>
        <v>1</v>
      </c>
      <c r="W22" s="158">
        <f t="shared" si="8"/>
        <v>0</v>
      </c>
      <c r="X22" s="159">
        <f>W22/(1+Real_Discount_Rate)^(Calculations!I22-'Assumed Values'!$C$5)</f>
        <v>0</v>
      </c>
      <c r="Y22"/>
    </row>
    <row r="23" spans="1:25" ht="32.4" customHeight="1" x14ac:dyDescent="0.35">
      <c r="A23" s="142" t="s">
        <v>222</v>
      </c>
      <c r="B23" s="58">
        <f>'Value of Statistical Life'!E8</f>
        <v>564300</v>
      </c>
      <c r="C23" s="147"/>
      <c r="D23" s="166" t="s">
        <v>211</v>
      </c>
      <c r="E23" s="167">
        <f>IF('Inputs &amp; Outputs'!$C$24='Inputs &amp; Outputs'!$C$19,$E$13-$F$13,VLOOKUP('Inputs &amp; Outputs'!$C$24,'Preventable Crash data'!$B$11:$F$16,4,FALSE))</f>
        <v>0</v>
      </c>
      <c r="F23" s="167">
        <f>E23*Appropriate_Crash_Reduction_Factor2</f>
        <v>0</v>
      </c>
      <c r="G23" s="74"/>
      <c r="H23" s="153"/>
      <c r="I23" s="160">
        <f t="shared" si="4"/>
        <v>2040</v>
      </c>
      <c r="J23" s="161">
        <f t="shared" si="9"/>
        <v>35808.353659992914</v>
      </c>
      <c r="K23" s="161">
        <f t="shared" si="10"/>
        <v>11.719790094503265</v>
      </c>
      <c r="L23" s="162">
        <f t="shared" si="12"/>
        <v>2.0299999999999999E-2</v>
      </c>
      <c r="M23" s="163">
        <f t="shared" si="11"/>
        <v>1</v>
      </c>
      <c r="N23" s="164">
        <f t="shared" si="7"/>
        <v>1</v>
      </c>
      <c r="O23" s="158">
        <f>IF(I23=Year_Open_to_Traffic?,Calculations!$E$50,Calculations!O22+(Calculations!O22*Calculations!$L23*N23))</f>
        <v>0</v>
      </c>
      <c r="P23" s="155">
        <f t="shared" si="0"/>
        <v>1</v>
      </c>
      <c r="Q23" s="158">
        <f>IF(I23=Year_Open_to_Traffic?,$E$51,Calculations!Q22+(Calculations!Q22*Calculations!$L23*R23))</f>
        <v>0</v>
      </c>
      <c r="R23" s="155">
        <f t="shared" si="1"/>
        <v>0</v>
      </c>
      <c r="S23" s="158">
        <f>IF($I23=Year_Open_to_Traffic?,$E$52,Calculations!S22+(Calculations!S22*Calculations!$L23*T23))</f>
        <v>0</v>
      </c>
      <c r="T23" s="155">
        <f t="shared" si="2"/>
        <v>0</v>
      </c>
      <c r="U23" s="158">
        <f>IF($I23=Year_Open_to_Traffic?,$E$53,Calculations!U22+(Calculations!U22*Calculations!$L23*V23))</f>
        <v>0</v>
      </c>
      <c r="V23" s="155">
        <f t="shared" si="3"/>
        <v>0</v>
      </c>
      <c r="W23" s="158">
        <f t="shared" si="8"/>
        <v>0</v>
      </c>
      <c r="X23" s="159">
        <f>W23/(1+Real_Discount_Rate)^(Calculations!I23-'Assumed Values'!$C$5)</f>
        <v>0</v>
      </c>
      <c r="Y23"/>
    </row>
    <row r="24" spans="1:25" ht="29" x14ac:dyDescent="0.35">
      <c r="A24" s="141" t="s">
        <v>233</v>
      </c>
      <c r="B24" s="58">
        <f>'Value of Statistical Life'!E7</f>
        <v>153700</v>
      </c>
      <c r="C24" s="147"/>
      <c r="D24" s="166" t="s">
        <v>212</v>
      </c>
      <c r="E24" s="167">
        <f>IF('Inputs &amp; Outputs'!$C$24='Inputs &amp; Outputs'!$C$19,$E$14-$F$14,VLOOKUP('Inputs &amp; Outputs'!$C$24,'Preventable Crash data'!$B$11:$F$16,5,FALSE))</f>
        <v>0</v>
      </c>
      <c r="F24" s="167">
        <f>Calculations!E24*Appropriate_Crash_Reduction_Factor2</f>
        <v>0</v>
      </c>
      <c r="G24" s="74"/>
      <c r="H24" s="153"/>
      <c r="I24" s="154">
        <f t="shared" si="4"/>
        <v>2041</v>
      </c>
      <c r="J24" s="161">
        <f t="shared" si="9"/>
        <v>36535.263239290769</v>
      </c>
      <c r="K24" s="161">
        <f t="shared" si="10"/>
        <v>11.957701833421682</v>
      </c>
      <c r="L24" s="162">
        <f t="shared" si="12"/>
        <v>2.0299999999999999E-2</v>
      </c>
      <c r="M24" s="163">
        <f t="shared" si="11"/>
        <v>1</v>
      </c>
      <c r="N24" s="164">
        <f t="shared" si="7"/>
        <v>1</v>
      </c>
      <c r="O24" s="158">
        <f>IF(I24=Year_Open_to_Traffic?,Calculations!$E$50,Calculations!O23+(Calculations!O23*Calculations!$L24*N24))</f>
        <v>0</v>
      </c>
      <c r="P24" s="155">
        <f t="shared" si="0"/>
        <v>1</v>
      </c>
      <c r="Q24" s="158">
        <f>IF(I24=Year_Open_to_Traffic?,$E$51,Calculations!Q23+(Calculations!Q23*Calculations!$L24*R24))</f>
        <v>0</v>
      </c>
      <c r="R24" s="155">
        <f t="shared" si="1"/>
        <v>0</v>
      </c>
      <c r="S24" s="158">
        <f>IF($I24=Year_Open_to_Traffic?,$E$52,Calculations!S23+(Calculations!S23*Calculations!$L24*T24))</f>
        <v>0</v>
      </c>
      <c r="T24" s="155">
        <f t="shared" si="2"/>
        <v>0</v>
      </c>
      <c r="U24" s="158">
        <f>IF($I24=Year_Open_to_Traffic?,$E$53,Calculations!U23+(Calculations!U23*Calculations!$L24*V24))</f>
        <v>0</v>
      </c>
      <c r="V24" s="155">
        <f t="shared" si="3"/>
        <v>0</v>
      </c>
      <c r="W24" s="158">
        <f t="shared" si="8"/>
        <v>0</v>
      </c>
      <c r="X24" s="159">
        <f>W24/(1+Real_Discount_Rate)^(Calculations!I24-'Assumed Values'!$C$5)</f>
        <v>0</v>
      </c>
      <c r="Y24"/>
    </row>
    <row r="25" spans="1:25" ht="15.5" x14ac:dyDescent="0.35">
      <c r="A25" s="142" t="s">
        <v>221</v>
      </c>
      <c r="B25" s="58">
        <f>'Value of Statistical Life'!E6</f>
        <v>78500</v>
      </c>
      <c r="C25" s="147"/>
      <c r="D25" s="175"/>
      <c r="E25" s="175"/>
      <c r="F25" s="175"/>
      <c r="G25" s="74"/>
      <c r="H25" s="153"/>
      <c r="I25" s="160">
        <f t="shared" si="4"/>
        <v>2042</v>
      </c>
      <c r="J25" s="161">
        <f t="shared" si="9"/>
        <v>37276.929083048373</v>
      </c>
      <c r="K25" s="161">
        <f t="shared" si="10"/>
        <v>12.200443180640143</v>
      </c>
      <c r="L25" s="162">
        <f t="shared" si="12"/>
        <v>2.0299999999999999E-2</v>
      </c>
      <c r="M25" s="163">
        <f t="shared" si="11"/>
        <v>1</v>
      </c>
      <c r="N25" s="164">
        <f t="shared" si="7"/>
        <v>1</v>
      </c>
      <c r="O25" s="158">
        <f>IF(I25=Year_Open_to_Traffic?,Calculations!$E$50,Calculations!O24+(Calculations!O24*Calculations!$L25*N25))</f>
        <v>0</v>
      </c>
      <c r="P25" s="155">
        <f t="shared" si="0"/>
        <v>1</v>
      </c>
      <c r="Q25" s="158">
        <f>IF(I25=Year_Open_to_Traffic?,$E$51,Calculations!Q24+(Calculations!Q24*Calculations!$L25*R25))</f>
        <v>0</v>
      </c>
      <c r="R25" s="155">
        <f t="shared" si="1"/>
        <v>0</v>
      </c>
      <c r="S25" s="158">
        <f>IF($I25=Year_Open_to_Traffic?,$E$52,Calculations!S24+(Calculations!S24*Calculations!$L25*T25))</f>
        <v>0</v>
      </c>
      <c r="T25" s="155">
        <f t="shared" si="2"/>
        <v>0</v>
      </c>
      <c r="U25" s="158">
        <f>IF($I25=Year_Open_to_Traffic?,$E$53,Calculations!U24+(Calculations!U24*Calculations!$L25*V25))</f>
        <v>0</v>
      </c>
      <c r="V25" s="155">
        <f t="shared" si="3"/>
        <v>0</v>
      </c>
      <c r="W25" s="158">
        <f t="shared" si="8"/>
        <v>0</v>
      </c>
      <c r="X25" s="159">
        <f>W25/(1+Real_Discount_Rate)^(Calculations!I25-'Assumed Values'!$C$5)</f>
        <v>0</v>
      </c>
      <c r="Y25"/>
    </row>
    <row r="26" spans="1:25" ht="15.5" x14ac:dyDescent="0.35">
      <c r="A26" s="142" t="s">
        <v>220</v>
      </c>
      <c r="B26" s="58">
        <f>'Value of Statistical Life'!E5</f>
        <v>4000</v>
      </c>
      <c r="C26" s="147"/>
      <c r="D26" s="175"/>
      <c r="E26" s="175"/>
      <c r="F26" s="175"/>
      <c r="G26" s="74"/>
      <c r="H26" s="153"/>
      <c r="I26" s="154">
        <f t="shared" si="4"/>
        <v>2043</v>
      </c>
      <c r="J26" s="161">
        <f t="shared" si="9"/>
        <v>38033.650743434257</v>
      </c>
      <c r="K26" s="161">
        <f t="shared" si="10"/>
        <v>12.448112177207138</v>
      </c>
      <c r="L26" s="162">
        <f t="shared" si="12"/>
        <v>2.0299999999999999E-2</v>
      </c>
      <c r="M26" s="163">
        <f t="shared" si="11"/>
        <v>1</v>
      </c>
      <c r="N26" s="164">
        <f t="shared" si="7"/>
        <v>1</v>
      </c>
      <c r="O26" s="158">
        <f>IF(I26=Year_Open_to_Traffic?,Calculations!$E$50,Calculations!O25+(Calculations!O25*Calculations!$L26*N26))</f>
        <v>0</v>
      </c>
      <c r="P26" s="155">
        <f t="shared" si="0"/>
        <v>1</v>
      </c>
      <c r="Q26" s="158">
        <f>IF(I26=Year_Open_to_Traffic?,$E$51,Calculations!Q25+(Calculations!Q25*Calculations!$L26*R26))</f>
        <v>0</v>
      </c>
      <c r="R26" s="155">
        <f t="shared" si="1"/>
        <v>0</v>
      </c>
      <c r="S26" s="158">
        <f>IF($I26=Year_Open_to_Traffic?,$E$52,Calculations!S25+(Calculations!S25*Calculations!$L26*T26))</f>
        <v>0</v>
      </c>
      <c r="T26" s="155">
        <f t="shared" si="2"/>
        <v>0</v>
      </c>
      <c r="U26" s="158">
        <f>IF($I26=Year_Open_to_Traffic?,$E$53,Calculations!U25+(Calculations!U25*Calculations!$L26*V26))</f>
        <v>0</v>
      </c>
      <c r="V26" s="155">
        <f t="shared" si="3"/>
        <v>0</v>
      </c>
      <c r="W26" s="158">
        <f t="shared" si="8"/>
        <v>0</v>
      </c>
      <c r="X26" s="159">
        <f>W26/(1+Real_Discount_Rate)^(Calculations!I26-'Assumed Values'!$C$5)</f>
        <v>0</v>
      </c>
      <c r="Y26"/>
    </row>
    <row r="27" spans="1:25" ht="15.5" x14ac:dyDescent="0.35">
      <c r="A27"/>
      <c r="B27"/>
      <c r="C27"/>
      <c r="D27"/>
      <c r="E27"/>
      <c r="F27"/>
      <c r="G27" s="176"/>
      <c r="H27" s="153"/>
      <c r="I27" s="160">
        <f t="shared" si="4"/>
        <v>2044</v>
      </c>
      <c r="J27" s="161">
        <f t="shared" si="9"/>
        <v>38805.73385352597</v>
      </c>
      <c r="K27" s="161">
        <f t="shared" si="10"/>
        <v>12.700808854404443</v>
      </c>
      <c r="L27" s="162">
        <f t="shared" si="12"/>
        <v>2.0299999999999999E-2</v>
      </c>
      <c r="M27" s="163">
        <f t="shared" si="11"/>
        <v>1</v>
      </c>
      <c r="N27" s="164">
        <f t="shared" si="7"/>
        <v>1</v>
      </c>
      <c r="O27" s="158">
        <f>IF(I27=Year_Open_to_Traffic?,Calculations!$E$50,Calculations!O26+(Calculations!O26*Calculations!$L27*N27))</f>
        <v>0</v>
      </c>
      <c r="P27" s="155">
        <f t="shared" si="0"/>
        <v>1</v>
      </c>
      <c r="Q27" s="158">
        <f>IF(I27=Year_Open_to_Traffic?,$E$51,Calculations!Q26+(Calculations!Q26*Calculations!$L27*R27))</f>
        <v>0</v>
      </c>
      <c r="R27" s="155">
        <f t="shared" si="1"/>
        <v>0</v>
      </c>
      <c r="S27" s="158">
        <f>IF($I27=Year_Open_to_Traffic?,$E$52,Calculations!S26+(Calculations!S26*Calculations!$L27*T27))</f>
        <v>0</v>
      </c>
      <c r="T27" s="155">
        <f t="shared" si="2"/>
        <v>0</v>
      </c>
      <c r="U27" s="158">
        <f>IF($I27=Year_Open_to_Traffic?,$E$53,Calculations!U26+(Calculations!U26*Calculations!$L27*V27))</f>
        <v>0</v>
      </c>
      <c r="V27" s="155">
        <f t="shared" si="3"/>
        <v>0</v>
      </c>
      <c r="W27" s="158">
        <f t="shared" si="8"/>
        <v>0</v>
      </c>
      <c r="X27" s="159">
        <f>W27/(1+Real_Discount_Rate)^(Calculations!I27-'Assumed Values'!$C$5)</f>
        <v>0</v>
      </c>
      <c r="Y27"/>
    </row>
    <row r="28" spans="1:25" ht="15.75" customHeight="1" x14ac:dyDescent="0.35">
      <c r="A28"/>
      <c r="B28"/>
      <c r="C28"/>
      <c r="D28" s="212"/>
      <c r="E28" s="208" t="s">
        <v>342</v>
      </c>
      <c r="F28" s="208" t="s">
        <v>346</v>
      </c>
      <c r="G28" s="176"/>
      <c r="H28" s="153"/>
      <c r="I28" s="154">
        <f t="shared" si="4"/>
        <v>2045</v>
      </c>
      <c r="J28" s="161">
        <f t="shared" si="9"/>
        <v>39593.490250752548</v>
      </c>
      <c r="K28" s="161">
        <f t="shared" si="10"/>
        <v>12.958635274148852</v>
      </c>
      <c r="L28" s="162">
        <f t="shared" si="12"/>
        <v>2.0299999999999999E-2</v>
      </c>
      <c r="M28" s="163">
        <f t="shared" si="11"/>
        <v>1</v>
      </c>
      <c r="N28" s="164">
        <f t="shared" si="7"/>
        <v>1</v>
      </c>
      <c r="O28" s="158">
        <f>IF(I28=Year_Open_to_Traffic?,Calculations!$E$50,Calculations!O27+(Calculations!O27*Calculations!$L28*N28))</f>
        <v>0</v>
      </c>
      <c r="P28" s="155">
        <f t="shared" si="0"/>
        <v>1</v>
      </c>
      <c r="Q28" s="158">
        <f>IF(I28=Year_Open_to_Traffic?,$E$51,Calculations!Q27+(Calculations!Q27*Calculations!$L28*R28))</f>
        <v>0</v>
      </c>
      <c r="R28" s="155">
        <f t="shared" si="1"/>
        <v>0</v>
      </c>
      <c r="S28" s="158">
        <f>IF($I28=Year_Open_to_Traffic?,$E$52,Calculations!S27+(Calculations!S27*Calculations!$L28*T28))</f>
        <v>0</v>
      </c>
      <c r="T28" s="155">
        <f t="shared" si="2"/>
        <v>0</v>
      </c>
      <c r="U28" s="158">
        <f>IF($I28=Year_Open_to_Traffic?,$E$53,Calculations!U27+(Calculations!U27*Calculations!$L28*V28))</f>
        <v>0</v>
      </c>
      <c r="V28" s="155">
        <f t="shared" si="3"/>
        <v>0</v>
      </c>
      <c r="W28" s="158">
        <f t="shared" si="8"/>
        <v>0</v>
      </c>
      <c r="X28" s="159">
        <f>W28/(1+Real_Discount_Rate)^(Calculations!I28-'Assumed Values'!$C$5)</f>
        <v>0</v>
      </c>
      <c r="Y28"/>
    </row>
    <row r="29" spans="1:25" s="80" customFormat="1" ht="15.5" x14ac:dyDescent="0.35">
      <c r="A29" s="76"/>
      <c r="B29" s="76"/>
      <c r="C29" s="76"/>
      <c r="D29" s="212"/>
      <c r="E29" s="208"/>
      <c r="F29" s="208"/>
      <c r="G29" s="177"/>
      <c r="H29" s="178"/>
      <c r="I29" s="179">
        <f t="shared" si="4"/>
        <v>2046</v>
      </c>
      <c r="J29" s="161">
        <f t="shared" si="9"/>
        <v>40397.238102842821</v>
      </c>
      <c r="K29" s="161">
        <f t="shared" si="10"/>
        <v>13.221695570214074</v>
      </c>
      <c r="L29" s="162">
        <f t="shared" si="12"/>
        <v>2.0299999999999999E-2</v>
      </c>
      <c r="M29" s="180">
        <f t="shared" si="11"/>
        <v>1</v>
      </c>
      <c r="N29" s="181">
        <f t="shared" si="7"/>
        <v>1</v>
      </c>
      <c r="O29" s="158">
        <f>IF(I29=Year_Open_to_Traffic?,Calculations!$E$50,Calculations!O28+(Calculations!O28*Calculations!$L29*N29))</f>
        <v>0</v>
      </c>
      <c r="P29" s="155">
        <f t="shared" si="0"/>
        <v>1</v>
      </c>
      <c r="Q29" s="158">
        <f>IF(I29=Year_Open_to_Traffic?,$E$51,Calculations!Q28+(Calculations!Q28*Calculations!$L29*R29))</f>
        <v>0</v>
      </c>
      <c r="R29" s="155">
        <f t="shared" si="1"/>
        <v>0</v>
      </c>
      <c r="S29" s="158">
        <f>IF($I29=Year_Open_to_Traffic?,$E$52,Calculations!S28+(Calculations!S28*Calculations!$L29*T29))</f>
        <v>0</v>
      </c>
      <c r="T29" s="155">
        <f t="shared" si="2"/>
        <v>0</v>
      </c>
      <c r="U29" s="158">
        <f>IF($I29=Year_Open_to_Traffic?,$E$53,Calculations!U28+(Calculations!U28*Calculations!$L29*V29))</f>
        <v>0</v>
      </c>
      <c r="V29" s="155">
        <f t="shared" si="3"/>
        <v>0</v>
      </c>
      <c r="W29" s="158">
        <f t="shared" si="8"/>
        <v>0</v>
      </c>
      <c r="X29" s="182">
        <f>W29/(1+Real_Discount_Rate)^(Calculations!I29-'Assumed Values'!$C$5)</f>
        <v>0</v>
      </c>
      <c r="Y29" s="76"/>
    </row>
    <row r="30" spans="1:25" ht="15.5" x14ac:dyDescent="0.35">
      <c r="A30"/>
      <c r="B30"/>
      <c r="C30"/>
      <c r="D30" s="212"/>
      <c r="E30" s="208"/>
      <c r="F30" s="208"/>
      <c r="G30" s="176"/>
      <c r="H30" s="153"/>
      <c r="I30" s="160">
        <f t="shared" si="4"/>
        <v>2047</v>
      </c>
      <c r="J30" s="161">
        <f t="shared" si="9"/>
        <v>41217.302036330533</v>
      </c>
      <c r="K30" s="161">
        <f t="shared" si="10"/>
        <v>13.490095990289419</v>
      </c>
      <c r="L30" s="162">
        <f t="shared" si="12"/>
        <v>2.0299999999999999E-2</v>
      </c>
      <c r="M30" s="163">
        <f t="shared" si="11"/>
        <v>1</v>
      </c>
      <c r="N30" s="164">
        <f t="shared" si="7"/>
        <v>1</v>
      </c>
      <c r="O30" s="158">
        <f>IF(I30=Year_Open_to_Traffic?,Calculations!$E$50,Calculations!O29+(Calculations!O29*Calculations!$L30*N30))</f>
        <v>0</v>
      </c>
      <c r="P30" s="155">
        <f t="shared" si="0"/>
        <v>1</v>
      </c>
      <c r="Q30" s="158">
        <f>IF(I30=Year_Open_to_Traffic?,$E$51,Calculations!Q29+(Calculations!Q29*Calculations!$L30*R30))</f>
        <v>0</v>
      </c>
      <c r="R30" s="155">
        <f t="shared" si="1"/>
        <v>0</v>
      </c>
      <c r="S30" s="158">
        <f>IF($I30=Year_Open_to_Traffic?,$E$52,Calculations!S29+(Calculations!S29*Calculations!$L30*T30))</f>
        <v>0</v>
      </c>
      <c r="T30" s="155">
        <f t="shared" si="2"/>
        <v>0</v>
      </c>
      <c r="U30" s="158">
        <f>IF($I30=Year_Open_to_Traffic?,$E$53,Calculations!U29+(Calculations!U29*Calculations!$L30*V30))</f>
        <v>0</v>
      </c>
      <c r="V30" s="155">
        <f t="shared" si="3"/>
        <v>0</v>
      </c>
      <c r="W30" s="158">
        <f t="shared" si="8"/>
        <v>0</v>
      </c>
      <c r="X30" s="159">
        <f>W30/(1+Real_Discount_Rate)^(Calculations!I30-'Assumed Values'!$C$5)</f>
        <v>0</v>
      </c>
      <c r="Y30"/>
    </row>
    <row r="31" spans="1:25" ht="15.5" x14ac:dyDescent="0.35">
      <c r="A31"/>
      <c r="B31"/>
      <c r="C31"/>
      <c r="D31" s="166" t="s">
        <v>148</v>
      </c>
      <c r="E31" s="183">
        <f>IF('Inputs &amp; Outputs'!$C$29='Inputs &amp; Outputs'!$C$24,Calculations!$E$21-Calculations!$F$21,IF('Inputs &amp; Outputs'!$C$29='Inputs &amp; Outputs'!$C$19,Calculations!$E$11-Calculations!$F$11,VLOOKUP('Inputs &amp; Outputs'!$C$29,'Preventable Crash data'!$B$11:$F$16,2,FALSE)))</f>
        <v>0</v>
      </c>
      <c r="F31" s="167">
        <f>E31*Appropriate_Crash_Reduction_Factor3</f>
        <v>0</v>
      </c>
      <c r="G31" s="176"/>
      <c r="H31" s="153"/>
      <c r="I31" s="160">
        <f t="shared" si="4"/>
        <v>2048</v>
      </c>
      <c r="J31" s="161">
        <f t="shared" si="9"/>
        <v>42054.013267668044</v>
      </c>
      <c r="K31" s="161">
        <f t="shared" si="10"/>
        <v>13.763944938892294</v>
      </c>
      <c r="L31" s="162">
        <f t="shared" si="12"/>
        <v>2.0299999999999999E-2</v>
      </c>
      <c r="M31" s="163">
        <f t="shared" si="11"/>
        <v>1</v>
      </c>
      <c r="N31" s="164">
        <f t="shared" si="7"/>
        <v>1</v>
      </c>
      <c r="O31" s="158">
        <f>IF(I31=Year_Open_to_Traffic?,Calculations!$E$50,Calculations!O30+(Calculations!O30*Calculations!$L31*N31))</f>
        <v>0</v>
      </c>
      <c r="P31" s="155">
        <f t="shared" si="0"/>
        <v>1</v>
      </c>
      <c r="Q31" s="158">
        <f>IF(I31=Year_Open_to_Traffic?,$E$51,Calculations!Q30+(Calculations!Q30*Calculations!$L31*R31))</f>
        <v>0</v>
      </c>
      <c r="R31" s="155">
        <f t="shared" si="1"/>
        <v>0</v>
      </c>
      <c r="S31" s="158">
        <f>IF($I31=Year_Open_to_Traffic?,$E$52,Calculations!S30+(Calculations!S30*Calculations!$L31*T31))</f>
        <v>0</v>
      </c>
      <c r="T31" s="155">
        <f t="shared" si="2"/>
        <v>0</v>
      </c>
      <c r="U31" s="158">
        <f>IF($I31=Year_Open_to_Traffic?,$E$53,Calculations!U30+(Calculations!U30*Calculations!$L31*V31))</f>
        <v>0</v>
      </c>
      <c r="V31" s="155">
        <f t="shared" si="3"/>
        <v>0</v>
      </c>
      <c r="W31" s="158">
        <f t="shared" si="8"/>
        <v>0</v>
      </c>
      <c r="X31" s="159">
        <f>W31/(1+Real_Discount_Rate)^(Calculations!I31-'Assumed Values'!$C$5)</f>
        <v>0</v>
      </c>
      <c r="Y31"/>
    </row>
    <row r="32" spans="1:25" ht="15.5" x14ac:dyDescent="0.35">
      <c r="A32"/>
      <c r="B32"/>
      <c r="C32"/>
      <c r="D32" s="166" t="s">
        <v>210</v>
      </c>
      <c r="E32" s="183">
        <f>IF('Inputs &amp; Outputs'!$C$29='Inputs &amp; Outputs'!$C$24,Calculations!$E$22-Calculations!$F$22,IF('Inputs &amp; Outputs'!$C$29='Inputs &amp; Outputs'!$C$19,Calculations!$E$12-Calculations!$F$12,VLOOKUP('Inputs &amp; Outputs'!$C$29,'Preventable Crash data'!$B$11:$F$16,3,FALSE)))</f>
        <v>0</v>
      </c>
      <c r="F32" s="167">
        <f>E32*Appropriate_Crash_Reduction_Factor3</f>
        <v>0</v>
      </c>
      <c r="G32" s="176"/>
      <c r="H32" s="153"/>
      <c r="I32" s="160">
        <f t="shared" si="4"/>
        <v>2049</v>
      </c>
      <c r="J32" s="161">
        <f t="shared" si="9"/>
        <v>42907.709737001707</v>
      </c>
      <c r="K32" s="161">
        <f t="shared" si="10"/>
        <v>14.043353021151807</v>
      </c>
      <c r="L32" s="162">
        <f t="shared" si="12"/>
        <v>2.0299999999999999E-2</v>
      </c>
      <c r="M32" s="163">
        <f t="shared" si="11"/>
        <v>1</v>
      </c>
      <c r="N32" s="164">
        <f t="shared" si="7"/>
        <v>1</v>
      </c>
      <c r="O32" s="158">
        <f>IF(I32=Year_Open_to_Traffic?,Calculations!$E$50,Calculations!O31+(Calculations!O31*Calculations!$L32*N32))</f>
        <v>0</v>
      </c>
      <c r="P32" s="155">
        <f t="shared" si="0"/>
        <v>1</v>
      </c>
      <c r="Q32" s="158">
        <f>IF(I32=Year_Open_to_Traffic?,$E$51,Calculations!Q31+(Calculations!Q31*Calculations!$L32*R32))</f>
        <v>0</v>
      </c>
      <c r="R32" s="155">
        <f t="shared" si="1"/>
        <v>0</v>
      </c>
      <c r="S32" s="158">
        <f>IF($I32=Year_Open_to_Traffic?,$E$52,Calculations!S31+(Calculations!S31*Calculations!$L32*T32))</f>
        <v>0</v>
      </c>
      <c r="T32" s="155">
        <f t="shared" si="2"/>
        <v>0</v>
      </c>
      <c r="U32" s="158">
        <f>IF($I32=Year_Open_to_Traffic?,$E$53,Calculations!U31+(Calculations!U31*Calculations!$L32*V32))</f>
        <v>0</v>
      </c>
      <c r="V32" s="155">
        <f t="shared" si="3"/>
        <v>0</v>
      </c>
      <c r="W32" s="158">
        <f t="shared" si="8"/>
        <v>0</v>
      </c>
      <c r="X32" s="159">
        <f>W32/(1+Real_Discount_Rate)^(Calculations!I32-'Assumed Values'!$C$5)</f>
        <v>0</v>
      </c>
      <c r="Y32"/>
    </row>
    <row r="33" spans="1:25" ht="30" customHeight="1" x14ac:dyDescent="0.35">
      <c r="A33"/>
      <c r="B33"/>
      <c r="C33"/>
      <c r="D33" s="166" t="s">
        <v>211</v>
      </c>
      <c r="E33" s="183">
        <f>IF('Inputs &amp; Outputs'!$C$29='Inputs &amp; Outputs'!$C$24,Calculations!$E$23-Calculations!$F$23,IF('Inputs &amp; Outputs'!$C$29='Inputs &amp; Outputs'!$C$19,Calculations!$E$13-Calculations!$F$13,VLOOKUP('Inputs &amp; Outputs'!$C$29,'Preventable Crash data'!$B$11:$F$16,4,FALSE)))</f>
        <v>0</v>
      </c>
      <c r="F33" s="167">
        <f>E33*Appropriate_Crash_Reduction_Factor3</f>
        <v>0</v>
      </c>
      <c r="G33" s="176"/>
      <c r="H33" s="153"/>
      <c r="I33" s="160">
        <f t="shared" si="4"/>
        <v>2050</v>
      </c>
      <c r="J33" s="161">
        <f t="shared" si="9"/>
        <v>43778.736244662839</v>
      </c>
      <c r="K33" s="161">
        <f t="shared" si="10"/>
        <v>14.328433087481189</v>
      </c>
      <c r="L33" s="162">
        <f t="shared" si="12"/>
        <v>2.0299999999999999E-2</v>
      </c>
      <c r="M33" s="163">
        <f t="shared" si="11"/>
        <v>1</v>
      </c>
      <c r="N33" s="164">
        <f t="shared" si="7"/>
        <v>1</v>
      </c>
      <c r="O33" s="158">
        <f>IF(I33=Year_Open_to_Traffic?,Calculations!$E$50,Calculations!O32+(Calculations!O32*Calculations!$L33*N33))</f>
        <v>0</v>
      </c>
      <c r="P33" s="155">
        <f t="shared" si="0"/>
        <v>1</v>
      </c>
      <c r="Q33" s="158">
        <f>IF(I33=Year_Open_to_Traffic?,$E$51,Calculations!Q32+(Calculations!Q32*Calculations!$L33*R33))</f>
        <v>0</v>
      </c>
      <c r="R33" s="155">
        <f t="shared" si="1"/>
        <v>0</v>
      </c>
      <c r="S33" s="158">
        <f>IF($I33=Year_Open_to_Traffic?,$E$52,Calculations!S32+(Calculations!S32*Calculations!$L33*T33))</f>
        <v>0</v>
      </c>
      <c r="T33" s="155">
        <f t="shared" si="2"/>
        <v>0</v>
      </c>
      <c r="U33" s="158">
        <f>IF($I33=Year_Open_to_Traffic?,$E$53,Calculations!U32+(Calculations!U32*Calculations!$L33*V33))</f>
        <v>0</v>
      </c>
      <c r="V33" s="155">
        <f t="shared" si="3"/>
        <v>0</v>
      </c>
      <c r="W33" s="158">
        <f t="shared" si="8"/>
        <v>0</v>
      </c>
      <c r="X33" s="159">
        <f>W33/(1+Real_Discount_Rate)^(Calculations!I33-'Assumed Values'!$C$5)</f>
        <v>0</v>
      </c>
      <c r="Y33"/>
    </row>
    <row r="34" spans="1:25" ht="15.5" x14ac:dyDescent="0.35">
      <c r="A34" s="74"/>
      <c r="B34" s="74"/>
      <c r="C34" s="74"/>
      <c r="D34" s="166" t="s">
        <v>212</v>
      </c>
      <c r="E34" s="183">
        <f>IF('Inputs &amp; Outputs'!$C$29='Inputs &amp; Outputs'!$C$24,Calculations!$E$24-Calculations!$F$24,IF('Inputs &amp; Outputs'!$C$29='Inputs &amp; Outputs'!$C$19,Calculations!$E$14-Calculations!$F$14,VLOOKUP('Inputs &amp; Outputs'!$C$29,'Preventable Crash data'!$B$11:$F$16,5,FALSE)))</f>
        <v>0</v>
      </c>
      <c r="F34" s="167">
        <f>E34*Appropriate_Crash_Reduction_Factor3</f>
        <v>0</v>
      </c>
      <c r="G34" s="74"/>
      <c r="H34" s="153"/>
      <c r="I34" s="160">
        <f t="shared" si="4"/>
        <v>2051</v>
      </c>
      <c r="J34" s="161">
        <f t="shared" si="9"/>
        <v>44667.444590429492</v>
      </c>
      <c r="K34" s="161">
        <f t="shared" si="10"/>
        <v>14.619300279157057</v>
      </c>
      <c r="L34" s="162">
        <f t="shared" ref="L34:L36" si="13">_2030_2045_Demand_Growth</f>
        <v>2.0299999999999999E-2</v>
      </c>
      <c r="M34" s="163">
        <f t="shared" si="11"/>
        <v>1</v>
      </c>
      <c r="N34" s="164">
        <f t="shared" si="7"/>
        <v>1</v>
      </c>
      <c r="O34" s="158">
        <f>IF(I34=Year_Open_to_Traffic?,Calculations!$E$50,Calculations!O33+(Calculations!O33*Calculations!$L34*N34))</f>
        <v>0</v>
      </c>
      <c r="P34" s="155">
        <f t="shared" si="0"/>
        <v>1</v>
      </c>
      <c r="Q34" s="158">
        <f>IF(I34=Year_Open_to_Traffic?,$E$51,Calculations!Q33+(Calculations!Q33*Calculations!$L34*R34))</f>
        <v>0</v>
      </c>
      <c r="R34" s="155">
        <f t="shared" si="1"/>
        <v>0</v>
      </c>
      <c r="S34" s="158">
        <f>IF($I34=Year_Open_to_Traffic?,$E$52,Calculations!S33+(Calculations!S33*Calculations!$L34*T34))</f>
        <v>0</v>
      </c>
      <c r="T34" s="155">
        <f t="shared" si="2"/>
        <v>0</v>
      </c>
      <c r="U34" s="158">
        <f>IF($I34=Year_Open_to_Traffic?,$E$53,Calculations!U33+(Calculations!U33*Calculations!$L34*V34))</f>
        <v>0</v>
      </c>
      <c r="V34" s="155">
        <f t="shared" si="3"/>
        <v>0</v>
      </c>
      <c r="W34" s="158">
        <f t="shared" si="8"/>
        <v>0</v>
      </c>
      <c r="X34" s="159">
        <f>W34/(1+Real_Discount_Rate)^(Calculations!I34-'Assumed Values'!$C$5)</f>
        <v>0</v>
      </c>
      <c r="Y34"/>
    </row>
    <row r="35" spans="1:25" ht="15.5" x14ac:dyDescent="0.35">
      <c r="A35" s="74"/>
      <c r="B35" s="74"/>
      <c r="C35" s="74"/>
      <c r="D35" s="74"/>
      <c r="E35" s="74"/>
      <c r="F35" s="74"/>
      <c r="G35" s="74"/>
      <c r="H35" s="153"/>
      <c r="I35" s="160">
        <f t="shared" si="4"/>
        <v>2052</v>
      </c>
      <c r="J35" s="161">
        <f t="shared" si="9"/>
        <v>45574.193715615213</v>
      </c>
      <c r="K35" s="161">
        <f t="shared" si="10"/>
        <v>14.916072074823946</v>
      </c>
      <c r="L35" s="162">
        <f t="shared" si="13"/>
        <v>2.0299999999999999E-2</v>
      </c>
      <c r="M35" s="163">
        <f t="shared" si="11"/>
        <v>1</v>
      </c>
      <c r="N35" s="164">
        <f t="shared" si="7"/>
        <v>1</v>
      </c>
      <c r="O35" s="158">
        <f>IF(I35=Year_Open_to_Traffic?,Calculations!$E$50,Calculations!O34+(Calculations!O34*Calculations!$L35*N35))</f>
        <v>0</v>
      </c>
      <c r="P35" s="155">
        <f t="shared" si="0"/>
        <v>1</v>
      </c>
      <c r="Q35" s="158">
        <f>IF(I35=Year_Open_to_Traffic?,$E$51,Calculations!Q34+(Calculations!Q34*Calculations!$L35*R35))</f>
        <v>0</v>
      </c>
      <c r="R35" s="155">
        <f t="shared" si="1"/>
        <v>0</v>
      </c>
      <c r="S35" s="158">
        <f>IF($I35=Year_Open_to_Traffic?,$E$52,Calculations!S34+(Calculations!S34*Calculations!$L35*T35))</f>
        <v>0</v>
      </c>
      <c r="T35" s="155">
        <f t="shared" si="2"/>
        <v>0</v>
      </c>
      <c r="U35" s="158">
        <f>IF($I35=Year_Open_to_Traffic?,$E$53,Calculations!U34+(Calculations!U34*Calculations!$L35*V35))</f>
        <v>0</v>
      </c>
      <c r="V35" s="155">
        <f t="shared" si="3"/>
        <v>0</v>
      </c>
      <c r="W35" s="158">
        <f t="shared" si="8"/>
        <v>0</v>
      </c>
      <c r="X35" s="159">
        <f>W35/(1+Real_Discount_Rate)^(Calculations!I35-'Assumed Values'!$C$5)</f>
        <v>0</v>
      </c>
      <c r="Y35"/>
    </row>
    <row r="36" spans="1:25" ht="15.5" x14ac:dyDescent="0.35">
      <c r="A36" s="74"/>
      <c r="B36" s="74"/>
      <c r="C36" s="74"/>
      <c r="D36" s="74"/>
      <c r="E36" s="74"/>
      <c r="F36" s="184"/>
      <c r="G36" s="74"/>
      <c r="H36" s="153"/>
      <c r="I36" s="160">
        <f t="shared" si="4"/>
        <v>2053</v>
      </c>
      <c r="J36" s="161">
        <f t="shared" si="9"/>
        <v>46499.349848042199</v>
      </c>
      <c r="K36" s="161">
        <f t="shared" si="10"/>
        <v>15.218868337942872</v>
      </c>
      <c r="L36" s="162">
        <f t="shared" si="13"/>
        <v>2.0299999999999999E-2</v>
      </c>
      <c r="M36" s="163">
        <f t="shared" si="11"/>
        <v>1</v>
      </c>
      <c r="N36" s="164">
        <f t="shared" si="7"/>
        <v>1</v>
      </c>
      <c r="O36" s="158">
        <f>IF(I36=Year_Open_to_Traffic?,Calculations!$E$50,Calculations!O35+(Calculations!O35*Calculations!$L36*N36))</f>
        <v>0</v>
      </c>
      <c r="P36" s="155">
        <f t="shared" si="0"/>
        <v>1</v>
      </c>
      <c r="Q36" s="158">
        <f>IF(I36=Year_Open_to_Traffic?,$E$51,Calculations!Q35+(Calculations!Q35*Calculations!$L36*R36))</f>
        <v>0</v>
      </c>
      <c r="R36" s="155">
        <f t="shared" si="1"/>
        <v>0</v>
      </c>
      <c r="S36" s="158">
        <f>IF($I36=Year_Open_to_Traffic?,$E$52,Calculations!S35+(Calculations!S35*Calculations!$L36*T36))</f>
        <v>0</v>
      </c>
      <c r="T36" s="155">
        <f t="shared" si="2"/>
        <v>0</v>
      </c>
      <c r="U36" s="158">
        <f>IF($I36=Year_Open_to_Traffic?,$E$53,Calculations!U35+(Calculations!U35*Calculations!$L36*V36))</f>
        <v>0</v>
      </c>
      <c r="V36" s="155">
        <f t="shared" si="3"/>
        <v>0</v>
      </c>
      <c r="W36" s="158">
        <f t="shared" si="8"/>
        <v>0</v>
      </c>
      <c r="X36" s="159">
        <f>W36/(1+Real_Discount_Rate)^(Calculations!I36-'Assumed Values'!$C$5)</f>
        <v>0</v>
      </c>
      <c r="Y36"/>
    </row>
    <row r="37" spans="1:25" x14ac:dyDescent="0.35">
      <c r="A37" s="74"/>
      <c r="B37" s="74"/>
      <c r="C37" s="74"/>
      <c r="D37" s="74"/>
      <c r="E37" s="74"/>
      <c r="F37" s="184"/>
      <c r="G37" s="74"/>
      <c r="H37" s="74"/>
      <c r="I37" s="46"/>
      <c r="J37" s="46"/>
      <c r="K37" s="46"/>
      <c r="L37" s="185"/>
      <c r="M37" s="186"/>
      <c r="N37" s="46"/>
      <c r="O37" s="187"/>
      <c r="P37" s="46"/>
      <c r="Q37" s="46"/>
      <c r="R37" s="46"/>
      <c r="S37" s="46"/>
      <c r="T37" s="46"/>
      <c r="U37" s="46"/>
      <c r="V37" s="46"/>
      <c r="W37" s="187"/>
      <c r="X37" s="159">
        <f>SUM(X4:X36)</f>
        <v>0</v>
      </c>
      <c r="Y37"/>
    </row>
    <row r="38" spans="1:25" x14ac:dyDescent="0.35">
      <c r="A38"/>
      <c r="B38"/>
      <c r="C38"/>
      <c r="D38" s="212"/>
      <c r="E38" s="208" t="s">
        <v>399</v>
      </c>
      <c r="F38" s="208" t="s">
        <v>398</v>
      </c>
      <c r="G38"/>
      <c r="H38"/>
      <c r="I38"/>
      <c r="J38"/>
      <c r="K38"/>
      <c r="L38" s="188"/>
      <c r="M38" s="189"/>
      <c r="N38"/>
      <c r="O38"/>
      <c r="P38"/>
      <c r="Q38"/>
      <c r="R38"/>
      <c r="S38"/>
      <c r="T38"/>
      <c r="U38"/>
      <c r="V38"/>
      <c r="W38"/>
      <c r="X38"/>
      <c r="Y38"/>
    </row>
    <row r="39" spans="1:25" x14ac:dyDescent="0.35">
      <c r="A39"/>
      <c r="B39"/>
      <c r="C39"/>
      <c r="D39" s="212"/>
      <c r="E39" s="208"/>
      <c r="F39" s="208"/>
      <c r="G39"/>
      <c r="H39"/>
      <c r="I39"/>
      <c r="J39"/>
      <c r="K39"/>
      <c r="L39" s="188"/>
      <c r="M39" s="189"/>
      <c r="N39"/>
      <c r="O39"/>
      <c r="P39"/>
      <c r="Q39"/>
      <c r="R39"/>
      <c r="S39"/>
      <c r="T39"/>
      <c r="U39"/>
      <c r="V39"/>
      <c r="W39"/>
      <c r="X39"/>
      <c r="Y39"/>
    </row>
    <row r="40" spans="1:25" x14ac:dyDescent="0.35">
      <c r="A40"/>
      <c r="B40"/>
      <c r="C40"/>
      <c r="D40" s="212"/>
      <c r="E40" s="208"/>
      <c r="F40" s="208"/>
      <c r="G40"/>
      <c r="H40"/>
      <c r="I40"/>
      <c r="J40"/>
      <c r="K40"/>
      <c r="L40" s="188"/>
      <c r="M40" s="189"/>
      <c r="N40"/>
      <c r="O40"/>
      <c r="P40"/>
      <c r="Q40"/>
      <c r="R40"/>
      <c r="S40"/>
      <c r="T40"/>
      <c r="U40"/>
      <c r="V40"/>
      <c r="W40"/>
      <c r="X40"/>
      <c r="Y40"/>
    </row>
    <row r="41" spans="1:25" x14ac:dyDescent="0.35">
      <c r="D41" s="78" t="s">
        <v>393</v>
      </c>
      <c r="E41" s="81">
        <f>VLOOKUP('Inputs &amp; Outputs'!C34,'Preventable Crash data'!B33:F35,2,FALSE)</f>
        <v>0</v>
      </c>
      <c r="F41" s="79">
        <f>E41*'Inputs &amp; Outputs'!$C$35</f>
        <v>0</v>
      </c>
    </row>
    <row r="42" spans="1:25" x14ac:dyDescent="0.35">
      <c r="D42" s="78" t="s">
        <v>395</v>
      </c>
      <c r="E42" s="81">
        <f>VLOOKUP('Inputs &amp; Outputs'!C34,'Preventable Crash data'!B33:F35,3,FALSE)</f>
        <v>0</v>
      </c>
      <c r="F42" s="79">
        <f>E42*'Inputs &amp; Outputs'!$C$35</f>
        <v>0</v>
      </c>
    </row>
    <row r="43" spans="1:25" ht="29" x14ac:dyDescent="0.35">
      <c r="D43" s="78" t="s">
        <v>394</v>
      </c>
      <c r="E43" s="81">
        <f>VLOOKUP('Inputs &amp; Outputs'!C34,'Preventable Crash data'!B33:F35,4,FALSE)</f>
        <v>0</v>
      </c>
      <c r="F43" s="79">
        <f>E43*'Inputs &amp; Outputs'!$C$35</f>
        <v>0</v>
      </c>
    </row>
    <row r="44" spans="1:25" x14ac:dyDescent="0.35">
      <c r="D44" s="78" t="s">
        <v>396</v>
      </c>
      <c r="E44" s="81">
        <f>VLOOKUP('Inputs &amp; Outputs'!C34,'Preventable Crash data'!B33:F35,5,FALSE)</f>
        <v>0</v>
      </c>
      <c r="F44" s="79">
        <f>E44*'Inputs &amp; Outputs'!$C$35</f>
        <v>0</v>
      </c>
    </row>
    <row r="49" spans="1:6" x14ac:dyDescent="0.35">
      <c r="A49" s="214" t="s">
        <v>145</v>
      </c>
      <c r="B49" s="214"/>
      <c r="C49" s="214"/>
      <c r="D49" s="214"/>
      <c r="E49" s="214"/>
    </row>
    <row r="50" spans="1:6" ht="15" customHeight="1" x14ac:dyDescent="0.35">
      <c r="A50" s="206" t="s">
        <v>347</v>
      </c>
      <c r="B50" s="206"/>
      <c r="C50" s="206"/>
      <c r="D50" s="206"/>
      <c r="E50" s="84">
        <f>(($F$11*$B$22)+($F$12*$B$23)+($F$13*$B$24)+($F$14*$B$25))</f>
        <v>0</v>
      </c>
      <c r="F50" s="85"/>
    </row>
    <row r="51" spans="1:6" x14ac:dyDescent="0.35">
      <c r="A51" s="206" t="s">
        <v>348</v>
      </c>
      <c r="B51" s="206"/>
      <c r="C51" s="206"/>
      <c r="D51" s="206"/>
      <c r="E51" s="86">
        <f>(($F$21*$B$22)+($F$22*$B$23)+($F$23*$B$24)+($F$24*$B$25))</f>
        <v>0</v>
      </c>
    </row>
    <row r="52" spans="1:6" x14ac:dyDescent="0.35">
      <c r="A52" s="206" t="s">
        <v>349</v>
      </c>
      <c r="B52" s="206"/>
      <c r="C52" s="206"/>
      <c r="D52" s="206"/>
      <c r="E52" s="86">
        <f>(($F$31*$B$22)+($F$32*$B$23)+($F$33*$B$24)+($F$34*$B$25))</f>
        <v>0</v>
      </c>
    </row>
    <row r="53" spans="1:6" x14ac:dyDescent="0.35">
      <c r="A53" s="206" t="s">
        <v>400</v>
      </c>
      <c r="B53" s="206"/>
      <c r="C53" s="206"/>
      <c r="D53" s="206"/>
      <c r="E53" s="86">
        <f>($F$41*$B$22)+($F$42*$B$23)+($F$43*$B$24)+($F$44*$B$25)</f>
        <v>0</v>
      </c>
    </row>
    <row r="54" spans="1:6" x14ac:dyDescent="0.35">
      <c r="A54" s="206" t="s">
        <v>350</v>
      </c>
      <c r="B54" s="206"/>
      <c r="C54" s="206"/>
      <c r="D54" s="206"/>
      <c r="E54" s="86">
        <f>SUM(E50:E53)</f>
        <v>0</v>
      </c>
    </row>
  </sheetData>
  <mergeCells count="35">
    <mergeCell ref="I1:X1"/>
    <mergeCell ref="I2:I3"/>
    <mergeCell ref="J2:J3"/>
    <mergeCell ref="L2:L3"/>
    <mergeCell ref="N2:N3"/>
    <mergeCell ref="O2:O3"/>
    <mergeCell ref="P2:P3"/>
    <mergeCell ref="W2:W3"/>
    <mergeCell ref="X2:X3"/>
    <mergeCell ref="Q2:Q3"/>
    <mergeCell ref="R2:R3"/>
    <mergeCell ref="S2:S3"/>
    <mergeCell ref="K2:K3"/>
    <mergeCell ref="T2:T3"/>
    <mergeCell ref="A54:D54"/>
    <mergeCell ref="E8:E10"/>
    <mergeCell ref="F8:F10"/>
    <mergeCell ref="D8:D10"/>
    <mergeCell ref="A11:B11"/>
    <mergeCell ref="D18:D20"/>
    <mergeCell ref="E18:E20"/>
    <mergeCell ref="F18:F20"/>
    <mergeCell ref="D28:D30"/>
    <mergeCell ref="E28:E30"/>
    <mergeCell ref="F28:F30"/>
    <mergeCell ref="A50:D50"/>
    <mergeCell ref="A49:E49"/>
    <mergeCell ref="D38:D40"/>
    <mergeCell ref="E38:E40"/>
    <mergeCell ref="F38:F40"/>
    <mergeCell ref="A53:D53"/>
    <mergeCell ref="U2:U3"/>
    <mergeCell ref="V2:V3"/>
    <mergeCell ref="A51:D51"/>
    <mergeCell ref="A52:D52"/>
  </mergeCells>
  <pageMargins left="0.25" right="0.25" top="0.75" bottom="0.75" header="0.3" footer="0.3"/>
  <pageSetup paperSize="17" scale="4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1"/>
    <pageSetUpPr fitToPage="1"/>
  </sheetPr>
  <dimension ref="B2:G49"/>
  <sheetViews>
    <sheetView zoomScaleNormal="100" workbookViewId="0">
      <selection activeCell="D11" sqref="D11"/>
    </sheetView>
  </sheetViews>
  <sheetFormatPr defaultRowHeight="14.5" x14ac:dyDescent="0.35"/>
  <cols>
    <col min="1" max="1" width="3.453125" customWidth="1"/>
    <col min="2" max="2" width="62.453125" bestFit="1" customWidth="1"/>
    <col min="3" max="3" width="22.6328125" bestFit="1" customWidth="1"/>
    <col min="4" max="4" width="20" bestFit="1" customWidth="1"/>
    <col min="6" max="6" width="16.90625" customWidth="1"/>
    <col min="7" max="7" width="17.6328125" customWidth="1"/>
  </cols>
  <sheetData>
    <row r="2" spans="2:7" x14ac:dyDescent="0.35">
      <c r="B2" s="1" t="s">
        <v>259</v>
      </c>
    </row>
    <row r="4" spans="2:7" x14ac:dyDescent="0.35">
      <c r="B4" s="1" t="s">
        <v>21</v>
      </c>
      <c r="F4" s="61" t="s">
        <v>251</v>
      </c>
      <c r="G4" s="61" t="s">
        <v>250</v>
      </c>
    </row>
    <row r="5" spans="2:7" x14ac:dyDescent="0.35">
      <c r="B5" s="24" t="s">
        <v>24</v>
      </c>
      <c r="C5" s="24">
        <v>2021</v>
      </c>
      <c r="F5" s="40" t="s">
        <v>252</v>
      </c>
      <c r="G5" s="40" t="s">
        <v>258</v>
      </c>
    </row>
    <row r="6" spans="2:7" x14ac:dyDescent="0.35">
      <c r="B6" s="24" t="s">
        <v>25</v>
      </c>
      <c r="C6" s="39">
        <v>7.0000000000000007E-2</v>
      </c>
      <c r="F6" s="40" t="s">
        <v>253</v>
      </c>
      <c r="G6" s="40" t="s">
        <v>249</v>
      </c>
    </row>
    <row r="7" spans="2:7" x14ac:dyDescent="0.35">
      <c r="B7" s="22"/>
      <c r="C7" s="48"/>
      <c r="F7" s="40" t="s">
        <v>254</v>
      </c>
    </row>
    <row r="8" spans="2:7" x14ac:dyDescent="0.35">
      <c r="B8" s="22"/>
      <c r="C8" s="49"/>
      <c r="F8" s="40" t="s">
        <v>255</v>
      </c>
    </row>
    <row r="9" spans="2:7" x14ac:dyDescent="0.35">
      <c r="C9" s="23"/>
      <c r="F9" s="40" t="s">
        <v>248</v>
      </c>
    </row>
    <row r="10" spans="2:7" x14ac:dyDescent="0.35">
      <c r="B10" s="1" t="s">
        <v>56</v>
      </c>
      <c r="C10" s="23"/>
      <c r="F10" s="40" t="s">
        <v>256</v>
      </c>
    </row>
    <row r="11" spans="2:7" x14ac:dyDescent="0.35">
      <c r="B11" s="24" t="s">
        <v>229</v>
      </c>
      <c r="C11" s="58">
        <v>11800000</v>
      </c>
      <c r="F11" s="40" t="s">
        <v>260</v>
      </c>
    </row>
    <row r="12" spans="2:7" x14ac:dyDescent="0.35">
      <c r="B12" s="221" t="s">
        <v>57</v>
      </c>
      <c r="C12" s="222"/>
      <c r="F12" s="40" t="s">
        <v>257</v>
      </c>
    </row>
    <row r="14" spans="2:7" hidden="1" x14ac:dyDescent="0.35">
      <c r="B14" s="1" t="s">
        <v>22</v>
      </c>
      <c r="C14" s="23"/>
    </row>
    <row r="15" spans="2:7" hidden="1" x14ac:dyDescent="0.35">
      <c r="B15" s="24" t="s">
        <v>70</v>
      </c>
      <c r="C15" s="26" t="e">
        <f>#REF!</f>
        <v>#REF!</v>
      </c>
    </row>
    <row r="16" spans="2:7" hidden="1" x14ac:dyDescent="0.35">
      <c r="B16" s="40" t="s">
        <v>61</v>
      </c>
      <c r="C16" s="41">
        <v>1.2E-2</v>
      </c>
    </row>
    <row r="17" spans="2:3" hidden="1" x14ac:dyDescent="0.35"/>
    <row r="18" spans="2:3" hidden="1" x14ac:dyDescent="0.35">
      <c r="B18" s="1" t="s">
        <v>23</v>
      </c>
    </row>
    <row r="19" spans="2:3" hidden="1" x14ac:dyDescent="0.35">
      <c r="B19" s="24" t="s">
        <v>68</v>
      </c>
      <c r="C19" s="43" t="e">
        <f>#REF!</f>
        <v>#REF!</v>
      </c>
    </row>
    <row r="20" spans="2:3" hidden="1" x14ac:dyDescent="0.35">
      <c r="B20" s="24" t="s">
        <v>69</v>
      </c>
      <c r="C20" s="43" t="e">
        <f>#REF!</f>
        <v>#REF!</v>
      </c>
    </row>
    <row r="21" spans="2:3" hidden="1" x14ac:dyDescent="0.35">
      <c r="B21" s="24" t="s">
        <v>28</v>
      </c>
      <c r="C21" s="25">
        <f>(0.267383+0.37942)/2</f>
        <v>0.32340150000000001</v>
      </c>
    </row>
    <row r="22" spans="2:3" hidden="1" x14ac:dyDescent="0.35">
      <c r="B22" s="24" t="s">
        <v>29</v>
      </c>
      <c r="C22" s="25">
        <f>(0.183428+0.198698)/2</f>
        <v>0.19106300000000001</v>
      </c>
    </row>
    <row r="23" spans="2:3" ht="72.5" hidden="1" x14ac:dyDescent="0.35">
      <c r="B23" s="24" t="s">
        <v>26</v>
      </c>
      <c r="C23" s="42" t="s">
        <v>27</v>
      </c>
    </row>
    <row r="24" spans="2:3" hidden="1" x14ac:dyDescent="0.35"/>
    <row r="25" spans="2:3" hidden="1" x14ac:dyDescent="0.35"/>
    <row r="26" spans="2:3" hidden="1" x14ac:dyDescent="0.35"/>
    <row r="27" spans="2:3" hidden="1" x14ac:dyDescent="0.35"/>
    <row r="28" spans="2:3" hidden="1" x14ac:dyDescent="0.35"/>
    <row r="29" spans="2:3" hidden="1" x14ac:dyDescent="0.35"/>
    <row r="30" spans="2:3" hidden="1" x14ac:dyDescent="0.35"/>
    <row r="31" spans="2:3" hidden="1" x14ac:dyDescent="0.35"/>
    <row r="49" spans="4:4" x14ac:dyDescent="0.35">
      <c r="D49" s="50"/>
    </row>
  </sheetData>
  <sheetProtection algorithmName="SHA-512" hashValue="xzihztn7MRVPzHEV49YO8SjK7KLvHrxWNZWV2J8/eUVUO/d0/3ZaWWfwiZzc+I/f3mA5EcEaWSY3zaRmAyQcxQ==" saltValue="cbX8K0XPdZIpQm8P5e/FXg==" spinCount="100000" sheet="1" objects="1" scenarios="1"/>
  <mergeCells count="1">
    <mergeCell ref="B12:C12"/>
  </mergeCells>
  <hyperlinks>
    <hyperlink ref="C23" r:id="rId1" location="page=80" xr:uid="{00000000-0004-0000-0500-000000000000}"/>
  </hyperlinks>
  <pageMargins left="0.25" right="0.25"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1"/>
  </sheetPr>
  <dimension ref="B2:U39"/>
  <sheetViews>
    <sheetView zoomScale="115" zoomScaleNormal="115" workbookViewId="0">
      <selection activeCell="E9" sqref="E9"/>
    </sheetView>
  </sheetViews>
  <sheetFormatPr defaultRowHeight="14.5" x14ac:dyDescent="0.35"/>
  <cols>
    <col min="2" max="2" width="14" customWidth="1"/>
    <col min="3" max="3" width="25" customWidth="1"/>
    <col min="4" max="5" width="23.453125" bestFit="1" customWidth="1"/>
    <col min="6" max="6" width="18.6328125" bestFit="1" customWidth="1"/>
    <col min="7" max="7" width="14.08984375" bestFit="1" customWidth="1"/>
    <col min="8" max="8" width="13.90625" customWidth="1"/>
    <col min="9" max="9" width="14.90625" bestFit="1" customWidth="1"/>
    <col min="10" max="10" width="11" bestFit="1" customWidth="1"/>
    <col min="14" max="14" width="14.54296875" bestFit="1" customWidth="1"/>
  </cols>
  <sheetData>
    <row r="2" spans="2:10" x14ac:dyDescent="0.35">
      <c r="B2" s="2" t="s">
        <v>177</v>
      </c>
    </row>
    <row r="4" spans="2:10" x14ac:dyDescent="0.35">
      <c r="B4" s="224" t="s">
        <v>213</v>
      </c>
      <c r="C4" s="225"/>
      <c r="D4" s="57" t="s">
        <v>219</v>
      </c>
      <c r="E4" s="57" t="s">
        <v>224</v>
      </c>
      <c r="F4" s="1"/>
    </row>
    <row r="5" spans="2:10" x14ac:dyDescent="0.35">
      <c r="B5" s="52">
        <v>0</v>
      </c>
      <c r="C5" s="46" t="s">
        <v>214</v>
      </c>
      <c r="D5" s="58">
        <v>3700</v>
      </c>
      <c r="E5" s="58">
        <v>4000</v>
      </c>
      <c r="F5" s="45"/>
      <c r="H5" s="44"/>
    </row>
    <row r="6" spans="2:10" x14ac:dyDescent="0.35">
      <c r="B6" s="52" t="s">
        <v>79</v>
      </c>
      <c r="C6" s="46" t="s">
        <v>215</v>
      </c>
      <c r="D6" s="58">
        <v>72500</v>
      </c>
      <c r="E6" s="58">
        <v>78500</v>
      </c>
      <c r="F6" s="45"/>
      <c r="H6" s="44"/>
    </row>
    <row r="7" spans="2:10" ht="31.5" customHeight="1" x14ac:dyDescent="0.35">
      <c r="B7" s="52" t="s">
        <v>78</v>
      </c>
      <c r="C7" s="47" t="s">
        <v>216</v>
      </c>
      <c r="D7" s="58">
        <v>142000</v>
      </c>
      <c r="E7" s="58">
        <v>153700</v>
      </c>
      <c r="F7" s="45"/>
      <c r="H7" s="44"/>
    </row>
    <row r="8" spans="2:10" x14ac:dyDescent="0.35">
      <c r="B8" s="52" t="s">
        <v>77</v>
      </c>
      <c r="C8" s="46" t="s">
        <v>217</v>
      </c>
      <c r="D8" s="58">
        <v>521300</v>
      </c>
      <c r="E8" s="58">
        <v>564300</v>
      </c>
      <c r="F8" s="45"/>
      <c r="H8" s="44"/>
    </row>
    <row r="9" spans="2:10" x14ac:dyDescent="0.35">
      <c r="B9" s="52" t="s">
        <v>76</v>
      </c>
      <c r="C9" s="46" t="s">
        <v>218</v>
      </c>
      <c r="D9" s="58">
        <v>10900000</v>
      </c>
      <c r="E9" s="58">
        <v>11800000</v>
      </c>
      <c r="F9" s="45"/>
      <c r="H9" s="44"/>
    </row>
    <row r="11" spans="2:10" x14ac:dyDescent="0.35">
      <c r="B11" s="226" t="s">
        <v>405</v>
      </c>
      <c r="C11" s="227"/>
    </row>
    <row r="12" spans="2:10" x14ac:dyDescent="0.35">
      <c r="B12" s="2"/>
    </row>
    <row r="14" spans="2:10" x14ac:dyDescent="0.35">
      <c r="B14" s="1"/>
      <c r="E14" s="1"/>
      <c r="F14" s="1"/>
      <c r="G14" s="1"/>
      <c r="H14" s="1"/>
      <c r="I14" s="1"/>
    </row>
    <row r="15" spans="2:10" x14ac:dyDescent="0.35">
      <c r="B15" s="1"/>
      <c r="E15" s="54"/>
      <c r="F15" s="54"/>
      <c r="G15" s="54"/>
      <c r="H15" s="54"/>
      <c r="I15" s="54"/>
      <c r="J15" s="55"/>
    </row>
    <row r="16" spans="2:10" x14ac:dyDescent="0.35">
      <c r="B16" s="1"/>
      <c r="E16" s="54"/>
      <c r="F16" s="54"/>
      <c r="G16" s="54"/>
      <c r="H16" s="54"/>
      <c r="I16" s="54"/>
    </row>
    <row r="17" spans="2:9" x14ac:dyDescent="0.35">
      <c r="B17" s="1"/>
      <c r="E17" s="54"/>
      <c r="F17" s="54"/>
      <c r="G17" s="54"/>
      <c r="H17" s="54"/>
      <c r="I17" s="54"/>
    </row>
    <row r="18" spans="2:9" x14ac:dyDescent="0.35">
      <c r="B18" s="1"/>
      <c r="E18" s="54"/>
      <c r="F18" s="54"/>
      <c r="G18" s="54"/>
      <c r="H18" s="54"/>
      <c r="I18" s="54"/>
    </row>
    <row r="19" spans="2:9" x14ac:dyDescent="0.35">
      <c r="B19" s="1"/>
      <c r="E19" s="54"/>
      <c r="F19" s="54"/>
      <c r="G19" s="54"/>
      <c r="H19" s="54"/>
      <c r="I19" s="54"/>
    </row>
    <row r="20" spans="2:9" x14ac:dyDescent="0.35">
      <c r="B20" s="1"/>
      <c r="E20" s="54"/>
      <c r="F20" s="54"/>
      <c r="G20" s="54"/>
      <c r="H20" s="54"/>
      <c r="I20" s="54"/>
    </row>
    <row r="21" spans="2:9" x14ac:dyDescent="0.35">
      <c r="B21" s="1"/>
      <c r="E21" s="54"/>
      <c r="F21" s="54"/>
      <c r="G21" s="54"/>
      <c r="H21" s="54"/>
      <c r="I21" s="54"/>
    </row>
    <row r="22" spans="2:9" x14ac:dyDescent="0.35">
      <c r="B22" s="223"/>
      <c r="C22" s="223"/>
      <c r="D22" s="59"/>
      <c r="E22" s="56"/>
      <c r="F22" s="56"/>
      <c r="G22" s="56"/>
      <c r="H22" s="56"/>
      <c r="I22" s="56"/>
    </row>
    <row r="35" spans="14:21" x14ac:dyDescent="0.35">
      <c r="U35" s="51"/>
    </row>
    <row r="38" spans="14:21" x14ac:dyDescent="0.35">
      <c r="N38" s="44"/>
    </row>
    <row r="39" spans="14:21" x14ac:dyDescent="0.35">
      <c r="N39" s="44"/>
    </row>
  </sheetData>
  <sheetProtection algorithmName="SHA-512" hashValue="Fe/WbmWzzKyr0mYFHdGmr3pn/FD4pgcZ6gCG3w4/9h41f6Zvlev9tRTUgxFG37VgAyBWfUDY1UfX6cge3n4qKg==" saltValue="KK6jhME8nKc5g6KSNkfT3A==" spinCount="100000" sheet="1" objects="1" scenarios="1"/>
  <mergeCells count="3">
    <mergeCell ref="B22:C22"/>
    <mergeCell ref="B4:C4"/>
    <mergeCell ref="B11:C11"/>
  </mergeCells>
  <hyperlinks>
    <hyperlink ref="B11" r:id="rId1" xr:uid="{649BD869-26C7-4464-A5DC-4A48963F40D4}"/>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1"/>
  </sheetPr>
  <dimension ref="A1:H84"/>
  <sheetViews>
    <sheetView topLeftCell="A16" workbookViewId="0">
      <selection activeCell="C21" sqref="C21"/>
    </sheetView>
  </sheetViews>
  <sheetFormatPr defaultColWidth="8.90625" defaultRowHeight="14.5" x14ac:dyDescent="0.35"/>
  <cols>
    <col min="1" max="1" width="8.90625" style="190"/>
    <col min="2" max="2" width="51" style="190" customWidth="1"/>
    <col min="3" max="3" width="12.36328125" style="190" customWidth="1"/>
    <col min="4" max="4" width="21.54296875" style="190" bestFit="1" customWidth="1"/>
    <col min="5" max="5" width="10.90625" style="190" bestFit="1" customWidth="1"/>
    <col min="6" max="6" width="44.54296875" style="191" customWidth="1"/>
    <col min="7" max="7" width="48.6328125" style="192" customWidth="1"/>
    <col min="8" max="16384" width="8.90625" style="190"/>
  </cols>
  <sheetData>
    <row r="1" spans="1:8" x14ac:dyDescent="0.35">
      <c r="A1" s="74"/>
      <c r="B1" s="74" t="s">
        <v>197</v>
      </c>
      <c r="C1" s="74"/>
      <c r="D1" s="74"/>
      <c r="E1" s="74"/>
      <c r="F1" s="97"/>
      <c r="G1" s="147"/>
      <c r="H1" s="74"/>
    </row>
    <row r="2" spans="1:8" x14ac:dyDescent="0.35">
      <c r="A2" s="74"/>
      <c r="B2" s="74"/>
      <c r="C2" s="74"/>
      <c r="D2" s="74"/>
      <c r="E2" s="74"/>
      <c r="F2" s="97"/>
      <c r="G2" s="147"/>
      <c r="H2" s="74"/>
    </row>
    <row r="3" spans="1:8" x14ac:dyDescent="0.35">
      <c r="A3" s="74"/>
      <c r="B3" s="106" t="s">
        <v>85</v>
      </c>
      <c r="C3" s="106" t="s">
        <v>84</v>
      </c>
      <c r="D3" s="106" t="s">
        <v>86</v>
      </c>
      <c r="E3" s="106" t="s">
        <v>146</v>
      </c>
      <c r="F3" s="107" t="s">
        <v>154</v>
      </c>
      <c r="G3" s="108" t="s">
        <v>198</v>
      </c>
      <c r="H3" s="74"/>
    </row>
    <row r="4" spans="1:8" x14ac:dyDescent="0.35">
      <c r="A4" s="74"/>
      <c r="B4" s="46" t="s">
        <v>425</v>
      </c>
      <c r="C4" s="52">
        <v>0</v>
      </c>
      <c r="D4" s="109">
        <v>0</v>
      </c>
      <c r="E4" s="52">
        <v>0</v>
      </c>
      <c r="F4" s="46" t="s">
        <v>425</v>
      </c>
      <c r="G4" s="46" t="s">
        <v>425</v>
      </c>
      <c r="H4" s="74"/>
    </row>
    <row r="5" spans="1:8" ht="29" x14ac:dyDescent="0.35">
      <c r="A5" s="74"/>
      <c r="B5" s="46" t="s">
        <v>128</v>
      </c>
      <c r="C5" s="52">
        <v>101</v>
      </c>
      <c r="D5" s="109">
        <v>0.2</v>
      </c>
      <c r="E5" s="52">
        <v>6</v>
      </c>
      <c r="F5" s="75" t="s">
        <v>237</v>
      </c>
      <c r="G5" s="47" t="s">
        <v>155</v>
      </c>
      <c r="H5" s="74"/>
    </row>
    <row r="6" spans="1:8" x14ac:dyDescent="0.35">
      <c r="A6" s="74"/>
      <c r="B6" s="46" t="s">
        <v>118</v>
      </c>
      <c r="C6" s="52">
        <v>105</v>
      </c>
      <c r="D6" s="110">
        <v>0.14000000000000001</v>
      </c>
      <c r="E6" s="52">
        <v>10</v>
      </c>
      <c r="F6" s="111" t="s">
        <v>156</v>
      </c>
      <c r="G6" s="47" t="s">
        <v>156</v>
      </c>
      <c r="H6" s="74"/>
    </row>
    <row r="7" spans="1:8" ht="29" x14ac:dyDescent="0.35">
      <c r="A7" s="74"/>
      <c r="B7" s="46" t="s">
        <v>127</v>
      </c>
      <c r="C7" s="52">
        <v>107</v>
      </c>
      <c r="D7" s="109">
        <v>0.35</v>
      </c>
      <c r="E7" s="52">
        <v>10</v>
      </c>
      <c r="F7" s="75" t="s">
        <v>157</v>
      </c>
      <c r="G7" s="47" t="s">
        <v>158</v>
      </c>
      <c r="H7" s="74"/>
    </row>
    <row r="8" spans="1:8" ht="29" x14ac:dyDescent="0.35">
      <c r="A8" s="74"/>
      <c r="B8" s="46" t="s">
        <v>103</v>
      </c>
      <c r="C8" s="52">
        <v>108</v>
      </c>
      <c r="D8" s="109">
        <v>0.24</v>
      </c>
      <c r="E8" s="52">
        <v>10</v>
      </c>
      <c r="F8" s="75" t="s">
        <v>157</v>
      </c>
      <c r="G8" s="47" t="s">
        <v>158</v>
      </c>
      <c r="H8" s="74"/>
    </row>
    <row r="9" spans="1:8" x14ac:dyDescent="0.35">
      <c r="A9" s="74"/>
      <c r="B9" s="46" t="s">
        <v>123</v>
      </c>
      <c r="C9" s="52">
        <v>110</v>
      </c>
      <c r="D9" s="109">
        <v>0.34</v>
      </c>
      <c r="E9" s="52">
        <v>10</v>
      </c>
      <c r="F9" s="111" t="s">
        <v>159</v>
      </c>
      <c r="G9" s="47" t="s">
        <v>159</v>
      </c>
      <c r="H9" s="74"/>
    </row>
    <row r="10" spans="1:8" x14ac:dyDescent="0.35">
      <c r="A10" s="74"/>
      <c r="B10" s="46" t="s">
        <v>129</v>
      </c>
      <c r="C10" s="52">
        <v>111</v>
      </c>
      <c r="D10" s="109">
        <v>0.1</v>
      </c>
      <c r="E10" s="52">
        <v>10</v>
      </c>
      <c r="F10" s="75" t="s">
        <v>157</v>
      </c>
      <c r="G10" s="47" t="s">
        <v>160</v>
      </c>
      <c r="H10" s="74"/>
    </row>
    <row r="11" spans="1:8" x14ac:dyDescent="0.35">
      <c r="A11" s="74"/>
      <c r="B11" s="46" t="s">
        <v>115</v>
      </c>
      <c r="C11" s="52">
        <v>113</v>
      </c>
      <c r="D11" s="110">
        <v>0.12</v>
      </c>
      <c r="E11" s="52">
        <v>2</v>
      </c>
      <c r="F11" s="75" t="s">
        <v>237</v>
      </c>
      <c r="G11" s="47" t="s">
        <v>162</v>
      </c>
      <c r="H11" s="74"/>
    </row>
    <row r="12" spans="1:8" x14ac:dyDescent="0.35">
      <c r="A12" s="74"/>
      <c r="B12" s="46" t="s">
        <v>125</v>
      </c>
      <c r="C12" s="52">
        <v>114</v>
      </c>
      <c r="D12" s="109">
        <v>0.2</v>
      </c>
      <c r="E12" s="52">
        <v>5</v>
      </c>
      <c r="F12" s="75" t="s">
        <v>237</v>
      </c>
      <c r="G12" s="47" t="s">
        <v>160</v>
      </c>
      <c r="H12" s="74"/>
    </row>
    <row r="13" spans="1:8" ht="29" x14ac:dyDescent="0.35">
      <c r="A13" s="74"/>
      <c r="B13" s="46" t="s">
        <v>132</v>
      </c>
      <c r="C13" s="52">
        <v>118</v>
      </c>
      <c r="D13" s="109">
        <v>0.25</v>
      </c>
      <c r="E13" s="52">
        <v>10</v>
      </c>
      <c r="F13" s="75" t="s">
        <v>159</v>
      </c>
      <c r="G13" s="47" t="s">
        <v>163</v>
      </c>
      <c r="H13" s="74"/>
    </row>
    <row r="14" spans="1:8" x14ac:dyDescent="0.35">
      <c r="A14" s="74"/>
      <c r="B14" s="47" t="s">
        <v>181</v>
      </c>
      <c r="C14" s="52">
        <v>119</v>
      </c>
      <c r="D14" s="109">
        <v>0.2</v>
      </c>
      <c r="E14" s="52">
        <v>6</v>
      </c>
      <c r="F14" s="75" t="s">
        <v>237</v>
      </c>
      <c r="G14" s="47" t="s">
        <v>164</v>
      </c>
      <c r="H14" s="74"/>
    </row>
    <row r="15" spans="1:8" ht="29" x14ac:dyDescent="0.35">
      <c r="A15" s="74"/>
      <c r="B15" s="47" t="s">
        <v>107</v>
      </c>
      <c r="C15" s="52">
        <v>122</v>
      </c>
      <c r="D15" s="109">
        <v>0.1</v>
      </c>
      <c r="E15" s="52">
        <v>10</v>
      </c>
      <c r="F15" s="111" t="s">
        <v>157</v>
      </c>
      <c r="G15" s="47" t="s">
        <v>157</v>
      </c>
      <c r="H15" s="74"/>
    </row>
    <row r="16" spans="1:8" ht="29" x14ac:dyDescent="0.35">
      <c r="A16" s="74"/>
      <c r="B16" s="47" t="s">
        <v>106</v>
      </c>
      <c r="C16" s="52">
        <v>123</v>
      </c>
      <c r="D16" s="109">
        <v>0.1</v>
      </c>
      <c r="E16" s="52">
        <v>10</v>
      </c>
      <c r="F16" s="75" t="s">
        <v>237</v>
      </c>
      <c r="G16" s="47" t="s">
        <v>165</v>
      </c>
      <c r="H16" s="74"/>
    </row>
    <row r="17" spans="1:8" ht="29" x14ac:dyDescent="0.35">
      <c r="A17" s="74"/>
      <c r="B17" s="47" t="s">
        <v>110</v>
      </c>
      <c r="C17" s="52">
        <v>124</v>
      </c>
      <c r="D17" s="109">
        <v>0.27</v>
      </c>
      <c r="E17" s="52">
        <v>10</v>
      </c>
      <c r="F17" s="111" t="s">
        <v>157</v>
      </c>
      <c r="G17" s="47" t="s">
        <v>157</v>
      </c>
      <c r="H17" s="74"/>
    </row>
    <row r="18" spans="1:8" ht="29" x14ac:dyDescent="0.35">
      <c r="A18" s="74"/>
      <c r="B18" s="46" t="s">
        <v>109</v>
      </c>
      <c r="C18" s="52">
        <v>125</v>
      </c>
      <c r="D18" s="110">
        <v>0.15</v>
      </c>
      <c r="E18" s="52">
        <v>10</v>
      </c>
      <c r="F18" s="75" t="s">
        <v>237</v>
      </c>
      <c r="G18" s="47" t="s">
        <v>168</v>
      </c>
      <c r="H18" s="74"/>
    </row>
    <row r="19" spans="1:8" ht="29" x14ac:dyDescent="0.35">
      <c r="A19" s="74"/>
      <c r="B19" s="47" t="s">
        <v>112</v>
      </c>
      <c r="C19" s="52">
        <v>128</v>
      </c>
      <c r="D19" s="109">
        <v>0.05</v>
      </c>
      <c r="E19" s="52">
        <v>6</v>
      </c>
      <c r="F19" s="111" t="s">
        <v>157</v>
      </c>
      <c r="G19" s="47" t="s">
        <v>157</v>
      </c>
      <c r="H19" s="74"/>
    </row>
    <row r="20" spans="1:8" ht="29" x14ac:dyDescent="0.35">
      <c r="A20" s="74"/>
      <c r="B20" s="47" t="s">
        <v>111</v>
      </c>
      <c r="C20" s="52">
        <v>130</v>
      </c>
      <c r="D20" s="110">
        <v>0.05</v>
      </c>
      <c r="E20" s="52">
        <v>6</v>
      </c>
      <c r="F20" s="75" t="s">
        <v>237</v>
      </c>
      <c r="G20" s="47" t="s">
        <v>165</v>
      </c>
      <c r="H20" s="74"/>
    </row>
    <row r="21" spans="1:8" x14ac:dyDescent="0.35">
      <c r="A21" s="74"/>
      <c r="B21" s="46" t="s">
        <v>101</v>
      </c>
      <c r="C21" s="52">
        <v>131</v>
      </c>
      <c r="D21" s="109">
        <v>0.1</v>
      </c>
      <c r="E21" s="52">
        <v>10</v>
      </c>
      <c r="F21" s="75" t="s">
        <v>159</v>
      </c>
      <c r="G21" s="75" t="s">
        <v>159</v>
      </c>
      <c r="H21" s="74"/>
    </row>
    <row r="22" spans="1:8" x14ac:dyDescent="0.35">
      <c r="A22" s="74"/>
      <c r="B22" s="46" t="s">
        <v>108</v>
      </c>
      <c r="C22" s="52">
        <v>132</v>
      </c>
      <c r="D22" s="109">
        <v>0.1</v>
      </c>
      <c r="E22" s="52">
        <v>10</v>
      </c>
      <c r="F22" s="75" t="s">
        <v>159</v>
      </c>
      <c r="G22" s="75" t="s">
        <v>159</v>
      </c>
      <c r="H22" s="74"/>
    </row>
    <row r="23" spans="1:8" x14ac:dyDescent="0.35">
      <c r="A23" s="74"/>
      <c r="B23" s="46" t="s">
        <v>102</v>
      </c>
      <c r="C23" s="52">
        <v>133</v>
      </c>
      <c r="D23" s="109">
        <v>0.05</v>
      </c>
      <c r="E23" s="52">
        <v>5</v>
      </c>
      <c r="F23" s="75" t="s">
        <v>237</v>
      </c>
      <c r="G23" s="47" t="s">
        <v>160</v>
      </c>
      <c r="H23" s="74"/>
    </row>
    <row r="24" spans="1:8" ht="29" x14ac:dyDescent="0.35">
      <c r="A24" s="74"/>
      <c r="B24" s="46" t="s">
        <v>182</v>
      </c>
      <c r="C24" s="52">
        <v>136</v>
      </c>
      <c r="D24" s="109">
        <v>0.35</v>
      </c>
      <c r="E24" s="52">
        <v>5</v>
      </c>
      <c r="F24" s="75" t="s">
        <v>237</v>
      </c>
      <c r="G24" s="47" t="s">
        <v>165</v>
      </c>
      <c r="H24" s="74"/>
    </row>
    <row r="25" spans="1:8" ht="29" x14ac:dyDescent="0.35">
      <c r="A25" s="74"/>
      <c r="B25" s="46" t="s">
        <v>183</v>
      </c>
      <c r="C25" s="52">
        <v>137</v>
      </c>
      <c r="D25" s="109">
        <v>0.25</v>
      </c>
      <c r="E25" s="52">
        <v>10</v>
      </c>
      <c r="F25" s="75" t="s">
        <v>237</v>
      </c>
      <c r="G25" s="47" t="s">
        <v>165</v>
      </c>
      <c r="H25" s="74"/>
    </row>
    <row r="26" spans="1:8" ht="29" x14ac:dyDescent="0.35">
      <c r="A26" s="74"/>
      <c r="B26" s="46" t="s">
        <v>184</v>
      </c>
      <c r="C26" s="52">
        <v>138</v>
      </c>
      <c r="D26" s="109">
        <v>0.41</v>
      </c>
      <c r="E26" s="52">
        <v>10</v>
      </c>
      <c r="F26" s="111" t="s">
        <v>157</v>
      </c>
      <c r="G26" s="47" t="s">
        <v>186</v>
      </c>
      <c r="H26" s="74"/>
    </row>
    <row r="27" spans="1:8" ht="29" x14ac:dyDescent="0.35">
      <c r="A27" s="74"/>
      <c r="B27" s="46" t="s">
        <v>185</v>
      </c>
      <c r="C27" s="52">
        <v>139</v>
      </c>
      <c r="D27" s="109">
        <v>0.12</v>
      </c>
      <c r="E27" s="52">
        <v>7</v>
      </c>
      <c r="F27" s="75" t="s">
        <v>237</v>
      </c>
      <c r="G27" s="47" t="s">
        <v>165</v>
      </c>
      <c r="H27" s="74"/>
    </row>
    <row r="28" spans="1:8" x14ac:dyDescent="0.35">
      <c r="A28" s="74"/>
      <c r="B28" s="46" t="s">
        <v>119</v>
      </c>
      <c r="C28" s="52">
        <v>201</v>
      </c>
      <c r="D28" s="109">
        <v>0.75</v>
      </c>
      <c r="E28" s="52">
        <v>15</v>
      </c>
      <c r="F28" s="75" t="s">
        <v>237</v>
      </c>
      <c r="G28" s="47" t="s">
        <v>164</v>
      </c>
      <c r="H28" s="74"/>
    </row>
    <row r="29" spans="1:8" ht="43.5" x14ac:dyDescent="0.35">
      <c r="A29" s="74"/>
      <c r="B29" s="46" t="s">
        <v>124</v>
      </c>
      <c r="C29" s="52">
        <v>203</v>
      </c>
      <c r="D29" s="109">
        <v>0.25</v>
      </c>
      <c r="E29" s="52">
        <v>20</v>
      </c>
      <c r="F29" s="75" t="s">
        <v>237</v>
      </c>
      <c r="G29" s="47" t="s">
        <v>166</v>
      </c>
      <c r="H29" s="74"/>
    </row>
    <row r="30" spans="1:8" x14ac:dyDescent="0.35">
      <c r="A30" s="74"/>
      <c r="B30" s="47" t="s">
        <v>98</v>
      </c>
      <c r="C30" s="52">
        <v>204</v>
      </c>
      <c r="D30" s="109">
        <v>0.05</v>
      </c>
      <c r="E30" s="52">
        <v>20</v>
      </c>
      <c r="F30" s="75" t="s">
        <v>237</v>
      </c>
      <c r="G30" s="47" t="s">
        <v>161</v>
      </c>
      <c r="H30" s="74"/>
    </row>
    <row r="31" spans="1:8" x14ac:dyDescent="0.35">
      <c r="A31" s="74"/>
      <c r="B31" s="46" t="s">
        <v>136</v>
      </c>
      <c r="C31" s="52">
        <v>209</v>
      </c>
      <c r="D31" s="110">
        <v>0.5</v>
      </c>
      <c r="E31" s="52">
        <v>20</v>
      </c>
      <c r="F31" s="75" t="s">
        <v>237</v>
      </c>
      <c r="G31" s="47" t="s">
        <v>161</v>
      </c>
      <c r="H31" s="74"/>
    </row>
    <row r="32" spans="1:8" x14ac:dyDescent="0.35">
      <c r="A32" s="74"/>
      <c r="B32" s="46" t="s">
        <v>117</v>
      </c>
      <c r="C32" s="52">
        <v>217</v>
      </c>
      <c r="D32" s="109">
        <v>0.6</v>
      </c>
      <c r="E32" s="52">
        <v>10</v>
      </c>
      <c r="F32" s="111" t="s">
        <v>167</v>
      </c>
      <c r="G32" s="47" t="s">
        <v>167</v>
      </c>
      <c r="H32" s="74"/>
    </row>
    <row r="33" spans="1:8" ht="29" x14ac:dyDescent="0.35">
      <c r="A33" s="74"/>
      <c r="B33" s="46" t="s">
        <v>137</v>
      </c>
      <c r="C33" s="52">
        <v>218</v>
      </c>
      <c r="D33" s="109">
        <v>0.55000000000000004</v>
      </c>
      <c r="E33" s="52">
        <v>20</v>
      </c>
      <c r="F33" s="75" t="s">
        <v>237</v>
      </c>
      <c r="G33" s="47" t="s">
        <v>165</v>
      </c>
      <c r="H33" s="74"/>
    </row>
    <row r="34" spans="1:8" x14ac:dyDescent="0.35">
      <c r="A34" s="74"/>
      <c r="B34" s="46" t="s">
        <v>133</v>
      </c>
      <c r="C34" s="52">
        <v>303</v>
      </c>
      <c r="D34" s="109">
        <v>0.3</v>
      </c>
      <c r="E34" s="52">
        <v>10</v>
      </c>
      <c r="F34" s="75" t="s">
        <v>237</v>
      </c>
      <c r="G34" s="47" t="s">
        <v>169</v>
      </c>
      <c r="H34" s="74"/>
    </row>
    <row r="35" spans="1:8" x14ac:dyDescent="0.35">
      <c r="A35" s="74"/>
      <c r="B35" s="47" t="s">
        <v>134</v>
      </c>
      <c r="C35" s="52">
        <v>304</v>
      </c>
      <c r="D35" s="109">
        <v>0.49</v>
      </c>
      <c r="E35" s="52">
        <v>15</v>
      </c>
      <c r="F35" s="75" t="s">
        <v>237</v>
      </c>
      <c r="G35" s="47" t="s">
        <v>170</v>
      </c>
      <c r="H35" s="74"/>
    </row>
    <row r="36" spans="1:8" x14ac:dyDescent="0.35">
      <c r="A36" s="74"/>
      <c r="B36" s="46" t="s">
        <v>135</v>
      </c>
      <c r="C36" s="52">
        <v>305</v>
      </c>
      <c r="D36" s="110">
        <v>0.13</v>
      </c>
      <c r="E36" s="52">
        <v>15</v>
      </c>
      <c r="F36" s="111" t="s">
        <v>157</v>
      </c>
      <c r="G36" s="47" t="s">
        <v>261</v>
      </c>
      <c r="H36" s="74"/>
    </row>
    <row r="37" spans="1:8" x14ac:dyDescent="0.35">
      <c r="A37" s="74"/>
      <c r="B37" s="46" t="s">
        <v>188</v>
      </c>
      <c r="C37" s="52">
        <v>306</v>
      </c>
      <c r="D37" s="110">
        <v>0.45</v>
      </c>
      <c r="E37" s="52">
        <v>5</v>
      </c>
      <c r="F37" s="75" t="s">
        <v>237</v>
      </c>
      <c r="G37" s="47" t="s">
        <v>187</v>
      </c>
      <c r="H37" s="74"/>
    </row>
    <row r="38" spans="1:8" x14ac:dyDescent="0.35">
      <c r="A38" s="74"/>
      <c r="B38" s="46" t="s">
        <v>189</v>
      </c>
      <c r="C38" s="52">
        <v>307</v>
      </c>
      <c r="D38" s="110">
        <v>0.2</v>
      </c>
      <c r="E38" s="52">
        <v>5</v>
      </c>
      <c r="F38" s="111" t="s">
        <v>157</v>
      </c>
      <c r="G38" s="47" t="s">
        <v>157</v>
      </c>
      <c r="H38" s="74"/>
    </row>
    <row r="39" spans="1:8" ht="29" x14ac:dyDescent="0.35">
      <c r="A39" s="74"/>
      <c r="B39" s="46" t="s">
        <v>121</v>
      </c>
      <c r="C39" s="52">
        <v>401</v>
      </c>
      <c r="D39" s="109">
        <v>0.2</v>
      </c>
      <c r="E39" s="52">
        <v>2</v>
      </c>
      <c r="F39" s="75" t="s">
        <v>237</v>
      </c>
      <c r="G39" s="47" t="s">
        <v>165</v>
      </c>
      <c r="H39" s="74"/>
    </row>
    <row r="40" spans="1:8" x14ac:dyDescent="0.35">
      <c r="A40" s="74"/>
      <c r="B40" s="46" t="s">
        <v>116</v>
      </c>
      <c r="C40" s="52">
        <v>402</v>
      </c>
      <c r="D40" s="109">
        <v>0.25</v>
      </c>
      <c r="E40" s="52">
        <v>2</v>
      </c>
      <c r="F40" s="75" t="s">
        <v>237</v>
      </c>
      <c r="G40" s="47" t="s">
        <v>171</v>
      </c>
      <c r="H40" s="74"/>
    </row>
    <row r="41" spans="1:8" x14ac:dyDescent="0.35">
      <c r="A41" s="74"/>
      <c r="B41" s="47" t="s">
        <v>122</v>
      </c>
      <c r="C41" s="52">
        <v>403</v>
      </c>
      <c r="D41" s="109">
        <v>0.1</v>
      </c>
      <c r="E41" s="52">
        <v>2</v>
      </c>
      <c r="F41" s="111" t="s">
        <v>159</v>
      </c>
      <c r="G41" s="47" t="s">
        <v>159</v>
      </c>
      <c r="H41" s="74"/>
    </row>
    <row r="42" spans="1:8" x14ac:dyDescent="0.35">
      <c r="A42" s="74"/>
      <c r="B42" s="47" t="s">
        <v>113</v>
      </c>
      <c r="C42" s="52">
        <v>404</v>
      </c>
      <c r="D42" s="109">
        <v>0.65</v>
      </c>
      <c r="E42" s="52">
        <v>2</v>
      </c>
      <c r="F42" s="75" t="s">
        <v>237</v>
      </c>
      <c r="G42" s="47" t="s">
        <v>164</v>
      </c>
      <c r="H42" s="74"/>
    </row>
    <row r="43" spans="1:8" x14ac:dyDescent="0.35">
      <c r="A43" s="74"/>
      <c r="B43" s="46" t="s">
        <v>126</v>
      </c>
      <c r="C43" s="52">
        <v>407</v>
      </c>
      <c r="D43" s="110">
        <v>0.65</v>
      </c>
      <c r="E43" s="52">
        <v>10</v>
      </c>
      <c r="F43" s="111" t="s">
        <v>159</v>
      </c>
      <c r="G43" s="47" t="s">
        <v>159</v>
      </c>
      <c r="H43" s="74"/>
    </row>
    <row r="44" spans="1:8" ht="29" x14ac:dyDescent="0.35">
      <c r="A44" s="74"/>
      <c r="B44" s="46" t="s">
        <v>138</v>
      </c>
      <c r="C44" s="52">
        <v>502</v>
      </c>
      <c r="D44" s="109">
        <v>0.3</v>
      </c>
      <c r="E44" s="52">
        <v>20</v>
      </c>
      <c r="F44" s="75" t="s">
        <v>237</v>
      </c>
      <c r="G44" s="47" t="s">
        <v>430</v>
      </c>
      <c r="H44" s="74"/>
    </row>
    <row r="45" spans="1:8" x14ac:dyDescent="0.35">
      <c r="A45" s="74"/>
      <c r="B45" s="46" t="s">
        <v>139</v>
      </c>
      <c r="C45" s="52">
        <v>503</v>
      </c>
      <c r="D45" s="109">
        <v>0.25</v>
      </c>
      <c r="E45" s="52">
        <v>20</v>
      </c>
      <c r="F45" s="75" t="s">
        <v>237</v>
      </c>
      <c r="G45" s="47" t="s">
        <v>161</v>
      </c>
      <c r="H45" s="74"/>
    </row>
    <row r="46" spans="1:8" ht="29" x14ac:dyDescent="0.35">
      <c r="A46" s="74"/>
      <c r="B46" s="46" t="s">
        <v>93</v>
      </c>
      <c r="C46" s="52">
        <v>504</v>
      </c>
      <c r="D46" s="109">
        <v>0.25</v>
      </c>
      <c r="E46" s="52">
        <v>20</v>
      </c>
      <c r="F46" s="75" t="s">
        <v>237</v>
      </c>
      <c r="G46" s="47" t="s">
        <v>165</v>
      </c>
      <c r="H46" s="74"/>
    </row>
    <row r="47" spans="1:8" ht="29" x14ac:dyDescent="0.35">
      <c r="A47" s="74"/>
      <c r="B47" s="47" t="s">
        <v>104</v>
      </c>
      <c r="C47" s="52">
        <v>505</v>
      </c>
      <c r="D47" s="109">
        <v>0.5</v>
      </c>
      <c r="E47" s="52">
        <v>10</v>
      </c>
      <c r="F47" s="75" t="s">
        <v>237</v>
      </c>
      <c r="G47" s="47" t="s">
        <v>165</v>
      </c>
      <c r="H47" s="74"/>
    </row>
    <row r="48" spans="1:8" ht="29" x14ac:dyDescent="0.35">
      <c r="A48" s="74"/>
      <c r="B48" s="46" t="s">
        <v>100</v>
      </c>
      <c r="C48" s="52">
        <v>506</v>
      </c>
      <c r="D48" s="110">
        <v>0.55000000000000004</v>
      </c>
      <c r="E48" s="52">
        <v>10</v>
      </c>
      <c r="F48" s="75" t="s">
        <v>237</v>
      </c>
      <c r="G48" s="47" t="s">
        <v>165</v>
      </c>
      <c r="H48" s="74"/>
    </row>
    <row r="49" spans="1:8" ht="29" x14ac:dyDescent="0.35">
      <c r="A49" s="74"/>
      <c r="B49" s="47" t="s">
        <v>105</v>
      </c>
      <c r="C49" s="52">
        <v>507</v>
      </c>
      <c r="D49" s="110">
        <v>0.65</v>
      </c>
      <c r="E49" s="52">
        <v>10</v>
      </c>
      <c r="F49" s="75" t="s">
        <v>237</v>
      </c>
      <c r="G49" s="47" t="s">
        <v>165</v>
      </c>
      <c r="H49" s="74"/>
    </row>
    <row r="50" spans="1:8" ht="29" x14ac:dyDescent="0.35">
      <c r="A50" s="74"/>
      <c r="B50" s="47" t="s">
        <v>95</v>
      </c>
      <c r="C50" s="52">
        <v>510</v>
      </c>
      <c r="D50" s="110">
        <v>0.4</v>
      </c>
      <c r="E50" s="52">
        <v>10</v>
      </c>
      <c r="F50" s="111" t="s">
        <v>157</v>
      </c>
      <c r="G50" s="47" t="s">
        <v>172</v>
      </c>
      <c r="H50" s="74"/>
    </row>
    <row r="51" spans="1:8" x14ac:dyDescent="0.35">
      <c r="A51" s="74"/>
      <c r="B51" s="46" t="s">
        <v>99</v>
      </c>
      <c r="C51" s="52">
        <v>514</v>
      </c>
      <c r="D51" s="109">
        <v>0.8</v>
      </c>
      <c r="E51" s="52">
        <v>30</v>
      </c>
      <c r="F51" s="111" t="s">
        <v>157</v>
      </c>
      <c r="G51" s="47" t="s">
        <v>157</v>
      </c>
      <c r="H51" s="74"/>
    </row>
    <row r="52" spans="1:8" x14ac:dyDescent="0.35">
      <c r="A52" s="74"/>
      <c r="B52" s="46" t="s">
        <v>91</v>
      </c>
      <c r="C52" s="52">
        <v>515</v>
      </c>
      <c r="D52" s="109">
        <v>0.65</v>
      </c>
      <c r="E52" s="52">
        <v>30</v>
      </c>
      <c r="F52" s="111" t="s">
        <v>157</v>
      </c>
      <c r="G52" s="47" t="s">
        <v>157</v>
      </c>
      <c r="H52" s="74"/>
    </row>
    <row r="53" spans="1:8" ht="29" x14ac:dyDescent="0.35">
      <c r="A53" s="74"/>
      <c r="B53" s="47" t="s">
        <v>90</v>
      </c>
      <c r="C53" s="52">
        <v>516</v>
      </c>
      <c r="D53" s="109">
        <v>0.5</v>
      </c>
      <c r="E53" s="52">
        <v>20</v>
      </c>
      <c r="F53" s="75" t="s">
        <v>237</v>
      </c>
      <c r="G53" s="47" t="s">
        <v>173</v>
      </c>
      <c r="H53" s="74"/>
    </row>
    <row r="54" spans="1:8" x14ac:dyDescent="0.35">
      <c r="A54" s="74"/>
      <c r="B54" s="46" t="s">
        <v>89</v>
      </c>
      <c r="C54" s="52">
        <v>517</v>
      </c>
      <c r="D54" s="110">
        <v>0.28000000000000003</v>
      </c>
      <c r="E54" s="52">
        <v>20</v>
      </c>
      <c r="F54" s="75" t="s">
        <v>237</v>
      </c>
      <c r="G54" s="47" t="s">
        <v>164</v>
      </c>
      <c r="H54" s="74"/>
    </row>
    <row r="55" spans="1:8" ht="29" x14ac:dyDescent="0.35">
      <c r="A55" s="74"/>
      <c r="B55" s="46" t="s">
        <v>114</v>
      </c>
      <c r="C55" s="52">
        <v>518</v>
      </c>
      <c r="D55" s="109">
        <v>0.5</v>
      </c>
      <c r="E55" s="52">
        <v>10</v>
      </c>
      <c r="F55" s="75" t="s">
        <v>237</v>
      </c>
      <c r="G55" s="47" t="s">
        <v>180</v>
      </c>
      <c r="H55" s="74"/>
    </row>
    <row r="56" spans="1:8" ht="29" x14ac:dyDescent="0.35">
      <c r="A56" s="74"/>
      <c r="B56" s="46" t="s">
        <v>87</v>
      </c>
      <c r="C56" s="52">
        <v>519</v>
      </c>
      <c r="D56" s="109">
        <v>0.25</v>
      </c>
      <c r="E56" s="52">
        <v>10</v>
      </c>
      <c r="F56" s="111" t="s">
        <v>157</v>
      </c>
      <c r="G56" s="47" t="s">
        <v>174</v>
      </c>
      <c r="H56" s="74"/>
    </row>
    <row r="57" spans="1:8" ht="29" x14ac:dyDescent="0.35">
      <c r="A57" s="74"/>
      <c r="B57" s="46" t="s">
        <v>130</v>
      </c>
      <c r="C57" s="52">
        <v>520</v>
      </c>
      <c r="D57" s="109">
        <v>0.4</v>
      </c>
      <c r="E57" s="52">
        <v>10</v>
      </c>
      <c r="F57" s="111" t="s">
        <v>157</v>
      </c>
      <c r="G57" s="47" t="s">
        <v>174</v>
      </c>
      <c r="H57" s="74"/>
    </row>
    <row r="58" spans="1:8" ht="29" x14ac:dyDescent="0.35">
      <c r="A58" s="74"/>
      <c r="B58" s="46" t="s">
        <v>88</v>
      </c>
      <c r="C58" s="52">
        <v>521</v>
      </c>
      <c r="D58" s="109">
        <v>0.25</v>
      </c>
      <c r="E58" s="52">
        <v>10</v>
      </c>
      <c r="F58" s="111" t="s">
        <v>157</v>
      </c>
      <c r="G58" s="47" t="s">
        <v>174</v>
      </c>
      <c r="H58" s="74"/>
    </row>
    <row r="59" spans="1:8" ht="29" x14ac:dyDescent="0.35">
      <c r="A59" s="74"/>
      <c r="B59" s="46" t="s">
        <v>131</v>
      </c>
      <c r="C59" s="52">
        <v>522</v>
      </c>
      <c r="D59" s="109">
        <v>0.4</v>
      </c>
      <c r="E59" s="52">
        <v>10</v>
      </c>
      <c r="F59" s="111" t="s">
        <v>157</v>
      </c>
      <c r="G59" s="47" t="s">
        <v>174</v>
      </c>
      <c r="H59" s="74"/>
    </row>
    <row r="60" spans="1:8" x14ac:dyDescent="0.35">
      <c r="A60" s="74"/>
      <c r="B60" s="46" t="s">
        <v>94</v>
      </c>
      <c r="C60" s="52">
        <v>523</v>
      </c>
      <c r="D60" s="109">
        <v>0.95</v>
      </c>
      <c r="E60" s="52">
        <v>10</v>
      </c>
      <c r="F60" s="75" t="s">
        <v>159</v>
      </c>
      <c r="G60" s="75" t="s">
        <v>159</v>
      </c>
      <c r="H60" s="74"/>
    </row>
    <row r="61" spans="1:8" x14ac:dyDescent="0.35">
      <c r="A61" s="74"/>
      <c r="B61" s="47" t="s">
        <v>97</v>
      </c>
      <c r="C61" s="52">
        <v>525</v>
      </c>
      <c r="D61" s="109">
        <v>0.68</v>
      </c>
      <c r="E61" s="52">
        <v>10</v>
      </c>
      <c r="F61" s="75" t="s">
        <v>237</v>
      </c>
      <c r="G61" s="47" t="s">
        <v>175</v>
      </c>
      <c r="H61" s="74"/>
    </row>
    <row r="62" spans="1:8" ht="29" x14ac:dyDescent="0.35">
      <c r="A62" s="74"/>
      <c r="B62" s="46" t="s">
        <v>262</v>
      </c>
      <c r="C62" s="52">
        <v>532</v>
      </c>
      <c r="D62" s="110">
        <v>0.15</v>
      </c>
      <c r="E62" s="52">
        <v>10</v>
      </c>
      <c r="F62" s="75" t="s">
        <v>237</v>
      </c>
      <c r="G62" s="47" t="s">
        <v>165</v>
      </c>
      <c r="H62" s="74"/>
    </row>
    <row r="63" spans="1:8" ht="29" x14ac:dyDescent="0.35">
      <c r="A63" s="74"/>
      <c r="B63" s="46" t="s">
        <v>263</v>
      </c>
      <c r="C63" s="52">
        <v>533</v>
      </c>
      <c r="D63" s="109">
        <v>7.0000000000000007E-2</v>
      </c>
      <c r="E63" s="52">
        <v>5</v>
      </c>
      <c r="F63" s="75" t="s">
        <v>237</v>
      </c>
      <c r="G63" s="47" t="s">
        <v>176</v>
      </c>
      <c r="H63" s="74"/>
    </row>
    <row r="64" spans="1:8" ht="29" x14ac:dyDescent="0.35">
      <c r="A64" s="74"/>
      <c r="B64" s="46" t="s">
        <v>264</v>
      </c>
      <c r="C64" s="52">
        <v>534</v>
      </c>
      <c r="D64" s="109">
        <v>0.17</v>
      </c>
      <c r="E64" s="52">
        <v>4</v>
      </c>
      <c r="F64" s="75" t="s">
        <v>237</v>
      </c>
      <c r="G64" s="47" t="s">
        <v>176</v>
      </c>
      <c r="H64" s="74"/>
    </row>
    <row r="65" spans="1:8" x14ac:dyDescent="0.35">
      <c r="A65" s="74"/>
      <c r="B65" s="46" t="s">
        <v>140</v>
      </c>
      <c r="C65" s="52">
        <v>536</v>
      </c>
      <c r="D65" s="109">
        <v>0.31</v>
      </c>
      <c r="E65" s="52">
        <v>20</v>
      </c>
      <c r="F65" s="75" t="s">
        <v>237</v>
      </c>
      <c r="G65" s="47" t="s">
        <v>161</v>
      </c>
      <c r="H65" s="74"/>
    </row>
    <row r="66" spans="1:8" x14ac:dyDescent="0.35">
      <c r="A66" s="74"/>
      <c r="B66" s="46" t="s">
        <v>92</v>
      </c>
      <c r="C66" s="52">
        <v>537</v>
      </c>
      <c r="D66" s="109">
        <v>0.4</v>
      </c>
      <c r="E66" s="52">
        <v>20</v>
      </c>
      <c r="F66" s="75" t="s">
        <v>237</v>
      </c>
      <c r="G66" s="47" t="s">
        <v>161</v>
      </c>
      <c r="H66" s="74"/>
    </row>
    <row r="67" spans="1:8" ht="29" x14ac:dyDescent="0.35">
      <c r="A67" s="74"/>
      <c r="B67" s="46" t="s">
        <v>96</v>
      </c>
      <c r="C67" s="52">
        <v>538</v>
      </c>
      <c r="D67" s="109">
        <v>0.45</v>
      </c>
      <c r="E67" s="52">
        <v>20</v>
      </c>
      <c r="F67" s="75" t="s">
        <v>237</v>
      </c>
      <c r="G67" s="47" t="s">
        <v>165</v>
      </c>
      <c r="H67" s="74"/>
    </row>
    <row r="68" spans="1:8" ht="29" x14ac:dyDescent="0.35">
      <c r="A68" s="74"/>
      <c r="B68" s="46" t="s">
        <v>120</v>
      </c>
      <c r="C68" s="52">
        <v>540</v>
      </c>
      <c r="D68" s="109">
        <v>0.25</v>
      </c>
      <c r="E68" s="52">
        <v>10</v>
      </c>
      <c r="F68" s="75" t="s">
        <v>237</v>
      </c>
      <c r="G68" s="47" t="s">
        <v>165</v>
      </c>
      <c r="H68" s="74"/>
    </row>
    <row r="69" spans="1:8" ht="29" x14ac:dyDescent="0.35">
      <c r="A69" s="74"/>
      <c r="B69" s="46" t="s">
        <v>190</v>
      </c>
      <c r="C69" s="52">
        <v>541</v>
      </c>
      <c r="D69" s="109">
        <v>0.3</v>
      </c>
      <c r="E69" s="52">
        <v>20</v>
      </c>
      <c r="F69" s="75" t="s">
        <v>237</v>
      </c>
      <c r="G69" s="47" t="s">
        <v>165</v>
      </c>
      <c r="H69" s="74"/>
    </row>
    <row r="70" spans="1:8" ht="29" x14ac:dyDescent="0.35">
      <c r="A70" s="74"/>
      <c r="B70" s="46" t="s">
        <v>191</v>
      </c>
      <c r="C70" s="52">
        <v>542</v>
      </c>
      <c r="D70" s="109">
        <v>0.26</v>
      </c>
      <c r="E70" s="52">
        <v>10</v>
      </c>
      <c r="F70" s="75" t="s">
        <v>237</v>
      </c>
      <c r="G70" s="47" t="s">
        <v>165</v>
      </c>
      <c r="H70" s="74"/>
    </row>
    <row r="71" spans="1:8" ht="29" x14ac:dyDescent="0.35">
      <c r="A71" s="74"/>
      <c r="B71" s="46" t="s">
        <v>192</v>
      </c>
      <c r="C71" s="52">
        <v>543</v>
      </c>
      <c r="D71" s="109">
        <v>7.0000000000000007E-2</v>
      </c>
      <c r="E71" s="52">
        <v>5</v>
      </c>
      <c r="F71" s="75" t="s">
        <v>237</v>
      </c>
      <c r="G71" s="47" t="s">
        <v>165</v>
      </c>
      <c r="H71" s="74"/>
    </row>
    <row r="72" spans="1:8" ht="29" x14ac:dyDescent="0.35">
      <c r="A72" s="74"/>
      <c r="B72" s="46" t="s">
        <v>195</v>
      </c>
      <c r="C72" s="52">
        <v>544</v>
      </c>
      <c r="D72" s="109">
        <v>0.17</v>
      </c>
      <c r="E72" s="52">
        <v>4</v>
      </c>
      <c r="F72" s="75" t="s">
        <v>237</v>
      </c>
      <c r="G72" s="47" t="s">
        <v>165</v>
      </c>
      <c r="H72" s="74"/>
    </row>
    <row r="73" spans="1:8" x14ac:dyDescent="0.35">
      <c r="A73" s="74"/>
      <c r="B73" s="46" t="s">
        <v>194</v>
      </c>
      <c r="C73" s="52">
        <v>545</v>
      </c>
      <c r="D73" s="109">
        <v>0.15</v>
      </c>
      <c r="E73" s="52">
        <v>5</v>
      </c>
      <c r="F73" s="111" t="s">
        <v>157</v>
      </c>
      <c r="G73" s="47" t="s">
        <v>157</v>
      </c>
      <c r="H73" s="74"/>
    </row>
    <row r="74" spans="1:8" x14ac:dyDescent="0.35">
      <c r="A74" s="74"/>
      <c r="B74" s="46" t="s">
        <v>193</v>
      </c>
      <c r="C74" s="52">
        <v>547</v>
      </c>
      <c r="D74" s="109">
        <v>0.4</v>
      </c>
      <c r="E74" s="52">
        <v>10</v>
      </c>
      <c r="F74" s="111" t="s">
        <v>157</v>
      </c>
      <c r="G74" s="47" t="s">
        <v>157</v>
      </c>
      <c r="H74" s="74"/>
    </row>
    <row r="75" spans="1:8" x14ac:dyDescent="0.35">
      <c r="A75" s="74"/>
      <c r="B75" s="74"/>
      <c r="C75" s="74"/>
      <c r="D75" s="74"/>
      <c r="E75" s="74"/>
      <c r="F75" s="97"/>
      <c r="G75" s="147"/>
      <c r="H75" s="74"/>
    </row>
    <row r="76" spans="1:8" x14ac:dyDescent="0.35">
      <c r="A76" s="74"/>
      <c r="B76" s="74"/>
      <c r="C76" s="74"/>
      <c r="D76" s="74"/>
      <c r="E76" s="74"/>
      <c r="F76" s="97"/>
      <c r="G76" s="147"/>
      <c r="H76" s="74"/>
    </row>
    <row r="77" spans="1:8" x14ac:dyDescent="0.35">
      <c r="A77" s="74"/>
      <c r="B77" s="74"/>
      <c r="C77" s="74"/>
      <c r="D77" s="74"/>
      <c r="E77" s="74"/>
      <c r="F77" s="97"/>
      <c r="G77" s="147"/>
      <c r="H77" s="74"/>
    </row>
    <row r="78" spans="1:8" x14ac:dyDescent="0.35">
      <c r="A78" s="74"/>
      <c r="B78" s="106" t="s">
        <v>85</v>
      </c>
      <c r="C78" s="112" t="s">
        <v>84</v>
      </c>
      <c r="D78" s="74"/>
      <c r="E78" s="74"/>
      <c r="F78" s="97"/>
      <c r="G78" s="147"/>
      <c r="H78" s="74"/>
    </row>
    <row r="79" spans="1:8" x14ac:dyDescent="0.35">
      <c r="A79" s="74"/>
      <c r="B79" s="46" t="s">
        <v>123</v>
      </c>
      <c r="C79" s="52">
        <v>110</v>
      </c>
      <c r="D79" s="74"/>
      <c r="E79" s="74"/>
      <c r="F79" s="97"/>
      <c r="G79" s="147"/>
      <c r="H79" s="74"/>
    </row>
    <row r="80" spans="1:8" x14ac:dyDescent="0.35">
      <c r="A80" s="74"/>
      <c r="B80" s="46" t="s">
        <v>101</v>
      </c>
      <c r="C80" s="52">
        <v>131</v>
      </c>
      <c r="D80" s="74"/>
      <c r="E80" s="74"/>
      <c r="F80" s="97"/>
      <c r="G80" s="147"/>
      <c r="H80" s="74"/>
    </row>
    <row r="81" spans="1:8" x14ac:dyDescent="0.35">
      <c r="A81" s="74"/>
      <c r="B81" s="47" t="s">
        <v>122</v>
      </c>
      <c r="C81" s="52">
        <v>403</v>
      </c>
      <c r="D81" s="74"/>
      <c r="E81" s="74"/>
      <c r="F81" s="97"/>
      <c r="G81" s="147"/>
      <c r="H81" s="74"/>
    </row>
    <row r="82" spans="1:8" x14ac:dyDescent="0.35">
      <c r="A82" s="74"/>
      <c r="B82" s="46" t="s">
        <v>126</v>
      </c>
      <c r="C82" s="52">
        <v>407</v>
      </c>
      <c r="D82" s="74"/>
      <c r="E82" s="74"/>
      <c r="F82" s="97"/>
      <c r="G82" s="147"/>
      <c r="H82" s="74"/>
    </row>
    <row r="83" spans="1:8" x14ac:dyDescent="0.35">
      <c r="A83" s="74"/>
      <c r="B83" s="46" t="s">
        <v>425</v>
      </c>
      <c r="C83" s="52">
        <v>0</v>
      </c>
      <c r="D83" s="74"/>
      <c r="E83" s="74"/>
      <c r="F83" s="97"/>
      <c r="G83" s="147"/>
      <c r="H83" s="74"/>
    </row>
    <row r="84" spans="1:8" x14ac:dyDescent="0.35">
      <c r="A84" s="74"/>
      <c r="B84" s="74"/>
      <c r="C84" s="74"/>
      <c r="D84" s="74"/>
      <c r="E84" s="74"/>
      <c r="F84" s="97"/>
      <c r="G84" s="147"/>
      <c r="H84" s="74"/>
    </row>
  </sheetData>
  <sheetProtection algorithmName="SHA-512" hashValue="LApFe799Gza6osMjmf+zsvmQhGDEltIxclPvCxPE+fQjvP6maWLCap7TcTGMqfHDM9VK+rUDhhMy26Yb59P92g==" saltValue="ksYri9Ss/i27f32idweTBg==" spinCount="100000" sheet="1" objects="1" scenarios="1"/>
  <sortState xmlns:xlrd2="http://schemas.microsoft.com/office/spreadsheetml/2017/richdata2" ref="B5:F71">
    <sortCondition ref="B5:B71"/>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2FC740BCA03C479DA71D811169BFA1" ma:contentTypeVersion="5" ma:contentTypeDescription="Create a new document." ma:contentTypeScope="" ma:versionID="55c1fcfba0b50bee698a5af054f21b19">
  <xsd:schema xmlns:xsd="http://www.w3.org/2001/XMLSchema" xmlns:xs="http://www.w3.org/2001/XMLSchema" xmlns:p="http://schemas.microsoft.com/office/2006/metadata/properties" xmlns:ns2="12c48a06-edc6-4ccf-ab50-6f21e6b801cd" xmlns:ns3="6a71ecd6-7a08-4b40-8c69-f5ec8494976e" targetNamespace="http://schemas.microsoft.com/office/2006/metadata/properties" ma:root="true" ma:fieldsID="620b7003fcbb9a2700d630a39e7fc411" ns2:_="" ns3:_="">
    <xsd:import namespace="12c48a06-edc6-4ccf-ab50-6f21e6b801cd"/>
    <xsd:import namespace="6a71ecd6-7a08-4b40-8c69-f5ec8494976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c48a06-edc6-4ccf-ab50-6f21e6b801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a71ecd6-7a08-4b40-8c69-f5ec8494976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E06632-6169-4B3F-AFE7-9D49D1CC156E}">
  <ds:schemaRefs>
    <ds:schemaRef ds:uri="http://schemas.microsoft.com/office/2006/metadata/properties"/>
    <ds:schemaRef ds:uri="http://purl.org/dc/terms/"/>
    <ds:schemaRef ds:uri="http://purl.org/dc/dcmitype/"/>
    <ds:schemaRef ds:uri="81a4f861-95b9-4778-a1f2-b2822ccfe95a"/>
    <ds:schemaRef ds:uri="http://schemas.microsoft.com/office/2006/documentManagement/types"/>
    <ds:schemaRef ds:uri="http://purl.org/dc/elements/1.1/"/>
    <ds:schemaRef ds:uri="http://www.w3.org/XML/1998/namespace"/>
    <ds:schemaRef ds:uri="http://schemas.microsoft.com/office/infopath/2007/PartnerControls"/>
    <ds:schemaRef ds:uri="http://schemas.openxmlformats.org/package/2006/metadata/core-properties"/>
    <ds:schemaRef ds:uri="5654b5c5-2d4b-4b70-8cda-bbd2a2df3e63"/>
  </ds:schemaRefs>
</ds:datastoreItem>
</file>

<file path=customXml/itemProps2.xml><?xml version="1.0" encoding="utf-8"?>
<ds:datastoreItem xmlns:ds="http://schemas.openxmlformats.org/officeDocument/2006/customXml" ds:itemID="{C3F18689-68D8-4516-AEDD-5D80C4E10CEC}">
  <ds:schemaRefs>
    <ds:schemaRef ds:uri="http://schemas.microsoft.com/sharepoint/v3/contenttype/forms"/>
  </ds:schemaRefs>
</ds:datastoreItem>
</file>

<file path=customXml/itemProps3.xml><?xml version="1.0" encoding="utf-8"?>
<ds:datastoreItem xmlns:ds="http://schemas.openxmlformats.org/officeDocument/2006/customXml" ds:itemID="{95704B35-9751-49FE-8F45-EE02DA89D8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c48a06-edc6-4ccf-ab50-6f21e6b801cd"/>
    <ds:schemaRef ds:uri="6a71ecd6-7a08-4b40-8c69-f5ec849497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33</vt:i4>
      </vt:variant>
    </vt:vector>
  </HeadingPairs>
  <TitlesOfParts>
    <vt:vector size="45" baseType="lpstr">
      <vt:lpstr>Instructions</vt:lpstr>
      <vt:lpstr>ITS Delay Worksheet</vt:lpstr>
      <vt:lpstr>Emissions Reduction Worksheet</vt:lpstr>
      <vt:lpstr>Inputs &amp; Outputs</vt:lpstr>
      <vt:lpstr>Preventable Crash data</vt:lpstr>
      <vt:lpstr>Calculations</vt:lpstr>
      <vt:lpstr>Assumed Values</vt:lpstr>
      <vt:lpstr>Value of Statistical Life</vt:lpstr>
      <vt:lpstr>CRF Lookup Table</vt:lpstr>
      <vt:lpstr>Raw Crash data</vt:lpstr>
      <vt:lpstr>Ped bike commuter analysis data</vt:lpstr>
      <vt:lpstr>Growth Rates</vt:lpstr>
      <vt:lpstr>_2021_2045_Demand_Growth</vt:lpstr>
      <vt:lpstr>_2021_2045_V_C_Growth</vt:lpstr>
      <vt:lpstr>_2021_V_C_Ratio</vt:lpstr>
      <vt:lpstr>_2030_2030_Demand_Growth</vt:lpstr>
      <vt:lpstr>_2030_2045_Demand_Growth</vt:lpstr>
      <vt:lpstr>_2030_2045_V_C_Growth</vt:lpstr>
      <vt:lpstr>_2030_V_C_Ratio</vt:lpstr>
      <vt:lpstr>_2045_V_C_Ratio</vt:lpstr>
      <vt:lpstr>_Avg_Crash_Rate_per_100m_VMT</vt:lpstr>
      <vt:lpstr>Application_ID_Number</vt:lpstr>
      <vt:lpstr>Appropriate_Crash_Reduction_Factor1</vt:lpstr>
      <vt:lpstr>Appropriate_Crash_Reduction_Factor2</vt:lpstr>
      <vt:lpstr>Appropriate_Crash_Reduction_Factor3</vt:lpstr>
      <vt:lpstr>Base_Year</vt:lpstr>
      <vt:lpstr>CRIS_Titles</vt:lpstr>
      <vt:lpstr>'Assumed Values'!Print_Area</vt:lpstr>
      <vt:lpstr>Calculations!Print_Area</vt:lpstr>
      <vt:lpstr>'Emissions Reduction Worksheet'!Print_Area</vt:lpstr>
      <vt:lpstr>'Inputs &amp; Outputs'!Print_Area</vt:lpstr>
      <vt:lpstr>Instructions!Print_Area</vt:lpstr>
      <vt:lpstr>'ITS Delay Worksheet'!Print_Area</vt:lpstr>
      <vt:lpstr>Project_Title</vt:lpstr>
      <vt:lpstr>Real_Discount_Rate</vt:lpstr>
      <vt:lpstr>Service_Life1</vt:lpstr>
      <vt:lpstr>Service_Life2</vt:lpstr>
      <vt:lpstr>Service_Life3</vt:lpstr>
      <vt:lpstr>Sponsor_ID_Number__CSJ__etc.</vt:lpstr>
      <vt:lpstr>Value_of_Crash_Savings__2018_____000s</vt:lpstr>
      <vt:lpstr>Value_of_Statistical_Life_2018</vt:lpstr>
      <vt:lpstr>Year_Open_to_Traffic?</vt:lpstr>
      <vt:lpstr>Years_to_include_in_BCA_Analysis1</vt:lpstr>
      <vt:lpstr>Years_to_include_in_BCA_Analysis2</vt:lpstr>
      <vt:lpstr>Years_to_include_in_BCA_Analysis3</vt:lpstr>
    </vt:vector>
  </TitlesOfParts>
  <Company>Houston-Galveston Area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wurdlow</dc:creator>
  <cp:lastModifiedBy>Qing Li</cp:lastModifiedBy>
  <cp:lastPrinted>2018-08-02T18:58:13Z</cp:lastPrinted>
  <dcterms:created xsi:type="dcterms:W3CDTF">2012-07-25T15:48:32Z</dcterms:created>
  <dcterms:modified xsi:type="dcterms:W3CDTF">2023-09-15T15:39:56Z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0x010100412FC740BCA03C479DA71D811169BFA1</vt:lpwstr>
  </property>
</Properties>
</file>